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1.bin" ContentType="application/vnd.openxmlformats-officedocument.oleObject"/>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6.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7.xml" ContentType="application/vnd.openxmlformats-officedocument.drawing+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F8BD" lockStructure="1"/>
  <bookViews>
    <workbookView xWindow="-15" yWindow="7155" windowWidth="24030" windowHeight="7215" tabRatio="943"/>
  </bookViews>
  <sheets>
    <sheet name="LDC Info" sheetId="32" r:id="rId1"/>
    <sheet name="Index" sheetId="10" r:id="rId2"/>
    <sheet name="COS Flowchart" sheetId="26" r:id="rId3"/>
    <sheet name="List of Key References" sheetId="99" r:id="rId4"/>
    <sheet name="App.2-AA_Capital Projects" sheetId="11" r:id="rId5"/>
    <sheet name="App.2-AB_Capital Expenditures" sheetId="102" r:id="rId6"/>
    <sheet name="App. 2-AC_Customer Engagement" sheetId="110" r:id="rId7"/>
    <sheet name="App.2-B_Acct Instructions" sheetId="77" r:id="rId8"/>
    <sheet name="App.2-BA_Fixed Asset Cont" sheetId="100" r:id="rId9"/>
    <sheet name="Appendix 2-BB Service Life  " sheetId="109" r:id="rId10"/>
    <sheet name="App.2-CA_OldCGAAP_DepExp_2012" sheetId="58" r:id="rId11"/>
    <sheet name="App.2-CB_NewCGAAP_DepExp_2012" sheetId="59" r:id="rId12"/>
    <sheet name="App.2-CC_NewCGAAP_DepExp_2013" sheetId="60" r:id="rId13"/>
    <sheet name="App.2-CD_MIFRS_DepExp_2014" sheetId="61" r:id="rId14"/>
    <sheet name="App.2-CE_MIFRS_DepExp_2015" sheetId="62" r:id="rId15"/>
    <sheet name="App.2-CF_MIFRS_DepExp_2016" sheetId="120" r:id="rId16"/>
    <sheet name="App.2-CG_OldCGAAP_DepExp_2013" sheetId="87" r:id="rId17"/>
    <sheet name="App.2-CH_NewCGAAP_DepExp_2013" sheetId="88" r:id="rId18"/>
    <sheet name="App.2-CI_MIFRS_DepExp_2014" sheetId="89" r:id="rId19"/>
    <sheet name="App.2-CJ MIFRS_DepExp_2015" sheetId="90" r:id="rId20"/>
    <sheet name="App.2-CK MIFRS_DepExp_2016" sheetId="121" r:id="rId21"/>
    <sheet name="App.2-D_Overhead" sheetId="71" r:id="rId22"/>
    <sheet name="App.2-EA_Account 1575 (2015)" sheetId="118" r:id="rId23"/>
    <sheet name="App.2-EB_Account 1576 (2012)" sheetId="75" r:id="rId24"/>
    <sheet name="App.2-EC_Account 1576 (2013)" sheetId="119" r:id="rId25"/>
    <sheet name="App.2-FA Proposed REG Invest." sheetId="55" r:id="rId26"/>
    <sheet name="App.2-FB Calc of REG Improvemnt" sheetId="54" r:id="rId27"/>
    <sheet name="App.2-FC Calc of REG Expansion" sheetId="98" r:id="rId28"/>
    <sheet name="App.2-G SQI" sheetId="53" r:id="rId29"/>
    <sheet name="App.2-H_Other_Oper_Rev" sheetId="14" r:id="rId30"/>
    <sheet name="App_2-I LF_CDM" sheetId="122" r:id="rId31"/>
    <sheet name="App.2-IA_Act_Frcst_Data" sheetId="114" r:id="rId32"/>
    <sheet name="App.2-JA_OM&amp;A_Summary_Analys" sheetId="49" r:id="rId33"/>
    <sheet name="App.2-JB_OM&amp;A_Cost _Drivers" sheetId="15" r:id="rId34"/>
    <sheet name="App.2-JC_OMA Programs" sheetId="105" r:id="rId35"/>
    <sheet name="App.2-K_Employee Costs" sheetId="5" r:id="rId36"/>
    <sheet name="App.2-L_OM&amp;A_per_Cust_FTEE" sheetId="20" r:id="rId37"/>
    <sheet name="App.2-M_Regulatory_Costs" sheetId="12" r:id="rId38"/>
    <sheet name="App.2-N_Corp_Cost_Allocation" sheetId="18" r:id="rId39"/>
    <sheet name="App.2-OA Capital Structure" sheetId="50" r:id="rId40"/>
    <sheet name="App.2-OB_Debt Instruments" sheetId="6" r:id="rId41"/>
    <sheet name="App.2-P_Cost_Allocation" sheetId="33" r:id="rId42"/>
    <sheet name="App.2-PA_Res_Rate_Design" sheetId="126" r:id="rId43"/>
    <sheet name="App.2-Q_Cost of Serv. Emb. Dx" sheetId="34" r:id="rId44"/>
    <sheet name="App.2-R_Loss Factors" sheetId="21" r:id="rId45"/>
    <sheet name="App.2-S_Stranded Meters" sheetId="23" r:id="rId46"/>
    <sheet name="App.2-TA_1592_Tax_Variance" sheetId="78" r:id="rId47"/>
    <sheet name="App.2-TB_1592_HST-OVAT" sheetId="79" r:id="rId48"/>
    <sheet name="App.2-U_IFRS Transition Costs" sheetId="80" r:id="rId49"/>
    <sheet name="App.2-V_Rev_Reconciliation" sheetId="30" r:id="rId50"/>
    <sheet name="App.2-W_Bill Impacts" sheetId="123" r:id="rId51"/>
    <sheet name="App.2-W_Bill Impacts_hidden" sheetId="124" state="hidden" r:id="rId52"/>
    <sheet name="App.2-Y_MIFRS Summary Impacts" sheetId="81" r:id="rId53"/>
    <sheet name="App. 2-Z_Tariff" sheetId="101" r:id="rId54"/>
    <sheet name="lists" sheetId="106" state="hidden" r:id="rId55"/>
    <sheet name="lists2" sheetId="107" state="hidden" r:id="rId56"/>
    <sheet name="Sheet19" sheetId="96" state="hidden" r:id="rId57"/>
  </sheets>
  <externalReferences>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s>
  <definedNames>
    <definedName name="_xlnm._FilterDatabase" localSheetId="54" hidden="1">lists!$I$1:$I$120</definedName>
    <definedName name="_ftn1" localSheetId="7">'App.2-B_Acct Instructions'!#REF!</definedName>
    <definedName name="_ftnref1" localSheetId="7">'App.2-B_Acct Instructions'!#REF!</definedName>
    <definedName name="BI_LDCLIST">'[1]3. Rate Class Selection'!$B$19:$B$21</definedName>
    <definedName name="BI_SS" localSheetId="51">'App.2-W_Bill Impacts_hidden'!$A$2:$M$69</definedName>
    <definedName name="BridgeYear" localSheetId="42">'[2]LDC Info'!$E$26</definedName>
    <definedName name="BridgeYear" localSheetId="30">'LDC Info'!$E$26</definedName>
    <definedName name="BridgeYear" localSheetId="9">'[3]LDC Info'!$E$26</definedName>
    <definedName name="BridgeYear" localSheetId="54">'[4]LDC Info'!$E$26</definedName>
    <definedName name="BridgeYear">'LDC Info'!$E$26</definedName>
    <definedName name="contactf" localSheetId="15">#REF!</definedName>
    <definedName name="contactf" localSheetId="20">#REF!</definedName>
    <definedName name="contactf" localSheetId="22">#REF!</definedName>
    <definedName name="contactf" localSheetId="24">#REF!</definedName>
    <definedName name="contactf" localSheetId="42">#REF!</definedName>
    <definedName name="contactf" localSheetId="50">#REF!</definedName>
    <definedName name="contactf" localSheetId="51">#REF!</definedName>
    <definedName name="contactf" localSheetId="30">#REF!</definedName>
    <definedName name="contactf" localSheetId="9">#REF!</definedName>
    <definedName name="contactf">#REF!</definedName>
    <definedName name="CustomerAdministration" localSheetId="42">[2]lists!$Z$1:$Z$36</definedName>
    <definedName name="CustomerAdministration" localSheetId="30">lists!$Z$1:$Z$36</definedName>
    <definedName name="CustomerAdministration" localSheetId="9">[3]lists!$Z$1:$Z$36</definedName>
    <definedName name="CustomerAdministration">lists!$Z$1:$Z$36</definedName>
    <definedName name="EBNUMBER" localSheetId="42">'[2]LDC Info'!$E$16</definedName>
    <definedName name="EBNUMBER" localSheetId="30">'LDC Info'!$E$16</definedName>
    <definedName name="EBNUMBER" localSheetId="9">'[3]LDC Info'!$E$16</definedName>
    <definedName name="EBNUMBER" localSheetId="54">'[4]LDC Info'!$E$16</definedName>
    <definedName name="EBNUMBER">'LDC Info'!$E$16</definedName>
    <definedName name="_xlnm.Extract" localSheetId="54">lists!#REF!</definedName>
    <definedName name="Fixed_Charges" localSheetId="42">[2]lists!$I$1:$I$212</definedName>
    <definedName name="Fixed_Charges" localSheetId="30">lists!$I$1:$I$212</definedName>
    <definedName name="Fixed_Charges" localSheetId="9">[3]lists!$I$1:$I$185</definedName>
    <definedName name="Fixed_Charges">lists!$I$1:$I$212</definedName>
    <definedName name="histdate">[5]Financials!$E$76</definedName>
    <definedName name="Incr2000" localSheetId="15">#REF!</definedName>
    <definedName name="Incr2000" localSheetId="20">#REF!</definedName>
    <definedName name="Incr2000" localSheetId="22">#REF!</definedName>
    <definedName name="Incr2000" localSheetId="24">#REF!</definedName>
    <definedName name="Incr2000" localSheetId="42">#REF!</definedName>
    <definedName name="Incr2000" localSheetId="50">#REF!</definedName>
    <definedName name="Incr2000" localSheetId="51">#REF!</definedName>
    <definedName name="Incr2000" localSheetId="30">#REF!</definedName>
    <definedName name="Incr2000" localSheetId="9">#REF!</definedName>
    <definedName name="Incr2000">#REF!</definedName>
    <definedName name="infra" localSheetId="3">'List of Key References'!$B$41</definedName>
    <definedName name="IRMWG" localSheetId="7">'App.2-B_Acct Instructions'!#REF!</definedName>
    <definedName name="LDC_LIST" localSheetId="9">[6]lists!$AM$1:$AM$80</definedName>
    <definedName name="LDC_LIST" localSheetId="54">lists!$AM$1:$AM$88</definedName>
    <definedName name="LDC_LIST">[7]lists!$AM$1:$AM$80</definedName>
    <definedName name="LDCLIST" localSheetId="7">#REF!</definedName>
    <definedName name="LDCLIST" localSheetId="8">#REF!</definedName>
    <definedName name="LDCLIST" localSheetId="22">#REF!</definedName>
    <definedName name="LDCLIST" localSheetId="39">'[8]LDC Info'!$AA$3:$AA$79</definedName>
    <definedName name="LDCLIST" localSheetId="42">'[2]LDC Info'!$AA$3:$AA$99</definedName>
    <definedName name="LDCLIST" localSheetId="47">#REF!</definedName>
    <definedName name="LDCLIST" localSheetId="54">'[4]LDC Info'!$AA$3:$AA$98</definedName>
    <definedName name="LDCLIST">'LDC Info'!$AA$3:$AA$99</definedName>
    <definedName name="LDCNAMES">lists!$AL$1:$AL$78</definedName>
    <definedName name="LIMIT" localSheetId="15">#REF!</definedName>
    <definedName name="LIMIT" localSheetId="20">#REF!</definedName>
    <definedName name="LIMIT" localSheetId="22">#REF!</definedName>
    <definedName name="LIMIT" localSheetId="24">#REF!</definedName>
    <definedName name="LIMIT" localSheetId="42">#REF!</definedName>
    <definedName name="LIMIT" localSheetId="50">#REF!</definedName>
    <definedName name="LIMIT" localSheetId="51">#REF!</definedName>
    <definedName name="LIMIT" localSheetId="30">#REF!</definedName>
    <definedName name="LIMIT" localSheetId="9">#REF!</definedName>
    <definedName name="LIMIT">#REF!</definedName>
    <definedName name="LossFactors" localSheetId="42">[2]lists!$L$2:$L$15</definedName>
    <definedName name="LossFactors" localSheetId="30">lists!$L$2:$L$15</definedName>
    <definedName name="LossFactors" localSheetId="9">[3]lists!$L$2:$L$15</definedName>
    <definedName name="LossFactors">lists!$L$2:$L$15</definedName>
    <definedName name="man_beg_bud" localSheetId="15">#REF!</definedName>
    <definedName name="man_beg_bud" localSheetId="20">#REF!</definedName>
    <definedName name="man_beg_bud" localSheetId="22">#REF!</definedName>
    <definedName name="man_beg_bud" localSheetId="24">#REF!</definedName>
    <definedName name="man_beg_bud" localSheetId="42">#REF!</definedName>
    <definedName name="man_beg_bud" localSheetId="50">#REF!</definedName>
    <definedName name="man_beg_bud" localSheetId="51">#REF!</definedName>
    <definedName name="man_beg_bud" localSheetId="30">#REF!</definedName>
    <definedName name="man_beg_bud" localSheetId="9">#REF!</definedName>
    <definedName name="man_beg_bud">#REF!</definedName>
    <definedName name="man_end_bud" localSheetId="15">#REF!</definedName>
    <definedName name="man_end_bud" localSheetId="20">#REF!</definedName>
    <definedName name="man_end_bud" localSheetId="22">#REF!</definedName>
    <definedName name="man_end_bud" localSheetId="24">#REF!</definedName>
    <definedName name="man_end_bud" localSheetId="42">#REF!</definedName>
    <definedName name="man_end_bud" localSheetId="50">#REF!</definedName>
    <definedName name="man_end_bud" localSheetId="51">#REF!</definedName>
    <definedName name="man_end_bud" localSheetId="30">#REF!</definedName>
    <definedName name="man_end_bud" localSheetId="9">#REF!</definedName>
    <definedName name="man_end_bud">#REF!</definedName>
    <definedName name="man12ACT" localSheetId="15">#REF!</definedName>
    <definedName name="man12ACT" localSheetId="20">#REF!</definedName>
    <definedName name="man12ACT" localSheetId="22">#REF!</definedName>
    <definedName name="man12ACT" localSheetId="24">#REF!</definedName>
    <definedName name="man12ACT" localSheetId="42">#REF!</definedName>
    <definedName name="man12ACT" localSheetId="50">#REF!</definedName>
    <definedName name="man12ACT" localSheetId="51">#REF!</definedName>
    <definedName name="man12ACT" localSheetId="30">#REF!</definedName>
    <definedName name="man12ACT" localSheetId="9">#REF!</definedName>
    <definedName name="man12ACT">#REF!</definedName>
    <definedName name="MANBUD" localSheetId="15">#REF!</definedName>
    <definedName name="MANBUD" localSheetId="20">#REF!</definedName>
    <definedName name="MANBUD" localSheetId="22">#REF!</definedName>
    <definedName name="MANBUD" localSheetId="24">#REF!</definedName>
    <definedName name="MANBUD" localSheetId="42">#REF!</definedName>
    <definedName name="MANBUD" localSheetId="50">#REF!</definedName>
    <definedName name="MANBUD" localSheetId="51">#REF!</definedName>
    <definedName name="MANBUD" localSheetId="30">#REF!</definedName>
    <definedName name="MANBUD">#REF!</definedName>
    <definedName name="manCYACT" localSheetId="15">#REF!</definedName>
    <definedName name="manCYACT" localSheetId="20">#REF!</definedName>
    <definedName name="manCYACT" localSheetId="22">#REF!</definedName>
    <definedName name="manCYACT" localSheetId="24">#REF!</definedName>
    <definedName name="manCYACT" localSheetId="42">#REF!</definedName>
    <definedName name="manCYACT" localSheetId="50">#REF!</definedName>
    <definedName name="manCYACT" localSheetId="51">#REF!</definedName>
    <definedName name="manCYACT" localSheetId="30">#REF!</definedName>
    <definedName name="manCYACT">#REF!</definedName>
    <definedName name="manCYBUD" localSheetId="15">#REF!</definedName>
    <definedName name="manCYBUD" localSheetId="20">#REF!</definedName>
    <definedName name="manCYBUD" localSheetId="22">#REF!</definedName>
    <definedName name="manCYBUD" localSheetId="24">#REF!</definedName>
    <definedName name="manCYBUD" localSheetId="42">#REF!</definedName>
    <definedName name="manCYBUD" localSheetId="50">#REF!</definedName>
    <definedName name="manCYBUD" localSheetId="51">#REF!</definedName>
    <definedName name="manCYBUD" localSheetId="30">#REF!</definedName>
    <definedName name="manCYBUD">#REF!</definedName>
    <definedName name="manCYF" localSheetId="15">#REF!</definedName>
    <definedName name="manCYF" localSheetId="20">#REF!</definedName>
    <definedName name="manCYF" localSheetId="22">#REF!</definedName>
    <definedName name="manCYF" localSheetId="24">#REF!</definedName>
    <definedName name="manCYF" localSheetId="42">#REF!</definedName>
    <definedName name="manCYF" localSheetId="50">#REF!</definedName>
    <definedName name="manCYF" localSheetId="51">#REF!</definedName>
    <definedName name="manCYF" localSheetId="30">#REF!</definedName>
    <definedName name="manCYF">#REF!</definedName>
    <definedName name="MANEND" localSheetId="15">#REF!</definedName>
    <definedName name="MANEND" localSheetId="20">#REF!</definedName>
    <definedName name="MANEND" localSheetId="22">#REF!</definedName>
    <definedName name="MANEND" localSheetId="24">#REF!</definedName>
    <definedName name="MANEND" localSheetId="42">#REF!</definedName>
    <definedName name="MANEND" localSheetId="50">#REF!</definedName>
    <definedName name="MANEND" localSheetId="51">#REF!</definedName>
    <definedName name="MANEND" localSheetId="30">#REF!</definedName>
    <definedName name="MANEND">#REF!</definedName>
    <definedName name="manNYbud" localSheetId="15">#REF!</definedName>
    <definedName name="manNYbud" localSheetId="20">#REF!</definedName>
    <definedName name="manNYbud" localSheetId="22">#REF!</definedName>
    <definedName name="manNYbud" localSheetId="24">#REF!</definedName>
    <definedName name="manNYbud" localSheetId="42">#REF!</definedName>
    <definedName name="manNYbud" localSheetId="50">#REF!</definedName>
    <definedName name="manNYbud" localSheetId="51">#REF!</definedName>
    <definedName name="manNYbud" localSheetId="30">#REF!</definedName>
    <definedName name="manNYbud">#REF!</definedName>
    <definedName name="manpower_costs" localSheetId="15">#REF!</definedName>
    <definedName name="manpower_costs" localSheetId="20">#REF!</definedName>
    <definedName name="manpower_costs" localSheetId="22">#REF!</definedName>
    <definedName name="manpower_costs" localSheetId="24">#REF!</definedName>
    <definedName name="manpower_costs" localSheetId="42">#REF!</definedName>
    <definedName name="manpower_costs" localSheetId="50">#REF!</definedName>
    <definedName name="manpower_costs" localSheetId="51">#REF!</definedName>
    <definedName name="manpower_costs" localSheetId="30">#REF!</definedName>
    <definedName name="manpower_costs">#REF!</definedName>
    <definedName name="manPYACT" localSheetId="15">#REF!</definedName>
    <definedName name="manPYACT" localSheetId="20">#REF!</definedName>
    <definedName name="manPYACT" localSheetId="22">#REF!</definedName>
    <definedName name="manPYACT" localSheetId="24">#REF!</definedName>
    <definedName name="manPYACT" localSheetId="42">#REF!</definedName>
    <definedName name="manPYACT" localSheetId="50">#REF!</definedName>
    <definedName name="manPYACT" localSheetId="51">#REF!</definedName>
    <definedName name="manPYACT" localSheetId="30">#REF!</definedName>
    <definedName name="manPYACT">#REF!</definedName>
    <definedName name="MANSTART" localSheetId="15">#REF!</definedName>
    <definedName name="MANSTART" localSheetId="20">#REF!</definedName>
    <definedName name="MANSTART" localSheetId="22">#REF!</definedName>
    <definedName name="MANSTART" localSheetId="24">#REF!</definedName>
    <definedName name="MANSTART" localSheetId="42">#REF!</definedName>
    <definedName name="MANSTART" localSheetId="50">#REF!</definedName>
    <definedName name="MANSTART" localSheetId="51">#REF!</definedName>
    <definedName name="MANSTART" localSheetId="30">#REF!</definedName>
    <definedName name="MANSTART">#REF!</definedName>
    <definedName name="mat_beg_bud" localSheetId="15">#REF!</definedName>
    <definedName name="mat_beg_bud" localSheetId="20">#REF!</definedName>
    <definedName name="mat_beg_bud" localSheetId="22">#REF!</definedName>
    <definedName name="mat_beg_bud" localSheetId="24">#REF!</definedName>
    <definedName name="mat_beg_bud" localSheetId="42">#REF!</definedName>
    <definedName name="mat_beg_bud" localSheetId="50">#REF!</definedName>
    <definedName name="mat_beg_bud" localSheetId="51">#REF!</definedName>
    <definedName name="mat_beg_bud" localSheetId="30">#REF!</definedName>
    <definedName name="mat_beg_bud">#REF!</definedName>
    <definedName name="mat_end_bud" localSheetId="15">#REF!</definedName>
    <definedName name="mat_end_bud" localSheetId="20">#REF!</definedName>
    <definedName name="mat_end_bud" localSheetId="22">#REF!</definedName>
    <definedName name="mat_end_bud" localSheetId="24">#REF!</definedName>
    <definedName name="mat_end_bud" localSheetId="42">#REF!</definedName>
    <definedName name="mat_end_bud" localSheetId="50">#REF!</definedName>
    <definedName name="mat_end_bud" localSheetId="51">#REF!</definedName>
    <definedName name="mat_end_bud" localSheetId="30">#REF!</definedName>
    <definedName name="mat_end_bud">#REF!</definedName>
    <definedName name="mat12ACT" localSheetId="15">#REF!</definedName>
    <definedName name="mat12ACT" localSheetId="20">#REF!</definedName>
    <definedName name="mat12ACT" localSheetId="22">#REF!</definedName>
    <definedName name="mat12ACT" localSheetId="24">#REF!</definedName>
    <definedName name="mat12ACT" localSheetId="42">#REF!</definedName>
    <definedName name="mat12ACT" localSheetId="50">#REF!</definedName>
    <definedName name="mat12ACT" localSheetId="51">#REF!</definedName>
    <definedName name="mat12ACT" localSheetId="30">#REF!</definedName>
    <definedName name="mat12ACT">#REF!</definedName>
    <definedName name="MATBUD" localSheetId="15">#REF!</definedName>
    <definedName name="MATBUD" localSheetId="20">#REF!</definedName>
    <definedName name="MATBUD" localSheetId="22">#REF!</definedName>
    <definedName name="MATBUD" localSheetId="24">#REF!</definedName>
    <definedName name="MATBUD" localSheetId="42">#REF!</definedName>
    <definedName name="MATBUD" localSheetId="50">#REF!</definedName>
    <definedName name="MATBUD" localSheetId="51">#REF!</definedName>
    <definedName name="MATBUD" localSheetId="30">#REF!</definedName>
    <definedName name="MATBUD">#REF!</definedName>
    <definedName name="matCYACT" localSheetId="15">#REF!</definedName>
    <definedName name="matCYACT" localSheetId="20">#REF!</definedName>
    <definedName name="matCYACT" localSheetId="22">#REF!</definedName>
    <definedName name="matCYACT" localSheetId="24">#REF!</definedName>
    <definedName name="matCYACT" localSheetId="42">#REF!</definedName>
    <definedName name="matCYACT" localSheetId="50">#REF!</definedName>
    <definedName name="matCYACT" localSheetId="51">#REF!</definedName>
    <definedName name="matCYACT" localSheetId="30">#REF!</definedName>
    <definedName name="matCYACT">#REF!</definedName>
    <definedName name="matCYBUD" localSheetId="15">#REF!</definedName>
    <definedName name="matCYBUD" localSheetId="20">#REF!</definedName>
    <definedName name="matCYBUD" localSheetId="22">#REF!</definedName>
    <definedName name="matCYBUD" localSheetId="24">#REF!</definedName>
    <definedName name="matCYBUD" localSheetId="42">#REF!</definedName>
    <definedName name="matCYBUD" localSheetId="50">#REF!</definedName>
    <definedName name="matCYBUD" localSheetId="51">#REF!</definedName>
    <definedName name="matCYBUD" localSheetId="30">#REF!</definedName>
    <definedName name="matCYBUD">#REF!</definedName>
    <definedName name="matCYF" localSheetId="15">#REF!</definedName>
    <definedName name="matCYF" localSheetId="20">#REF!</definedName>
    <definedName name="matCYF" localSheetId="22">#REF!</definedName>
    <definedName name="matCYF" localSheetId="24">#REF!</definedName>
    <definedName name="matCYF" localSheetId="42">#REF!</definedName>
    <definedName name="matCYF" localSheetId="50">#REF!</definedName>
    <definedName name="matCYF" localSheetId="51">#REF!</definedName>
    <definedName name="matCYF" localSheetId="30">#REF!</definedName>
    <definedName name="matCYF">#REF!</definedName>
    <definedName name="MATEND" localSheetId="15">#REF!</definedName>
    <definedName name="MATEND" localSheetId="20">#REF!</definedName>
    <definedName name="MATEND" localSheetId="22">#REF!</definedName>
    <definedName name="MATEND" localSheetId="24">#REF!</definedName>
    <definedName name="MATEND" localSheetId="42">#REF!</definedName>
    <definedName name="MATEND" localSheetId="50">#REF!</definedName>
    <definedName name="MATEND" localSheetId="51">#REF!</definedName>
    <definedName name="MATEND" localSheetId="30">#REF!</definedName>
    <definedName name="MATEND">#REF!</definedName>
    <definedName name="material_costs" localSheetId="15">#REF!</definedName>
    <definedName name="material_costs" localSheetId="20">#REF!</definedName>
    <definedName name="material_costs" localSheetId="22">#REF!</definedName>
    <definedName name="material_costs" localSheetId="24">#REF!</definedName>
    <definedName name="material_costs" localSheetId="42">#REF!</definedName>
    <definedName name="material_costs" localSheetId="50">#REF!</definedName>
    <definedName name="material_costs" localSheetId="51">#REF!</definedName>
    <definedName name="material_costs" localSheetId="30">#REF!</definedName>
    <definedName name="material_costs">#REF!</definedName>
    <definedName name="matNYbud" localSheetId="15">#REF!</definedName>
    <definedName name="matNYbud" localSheetId="20">#REF!</definedName>
    <definedName name="matNYbud" localSheetId="22">#REF!</definedName>
    <definedName name="matNYbud" localSheetId="24">#REF!</definedName>
    <definedName name="matNYbud" localSheetId="42">#REF!</definedName>
    <definedName name="matNYbud" localSheetId="50">#REF!</definedName>
    <definedName name="matNYbud" localSheetId="51">#REF!</definedName>
    <definedName name="matNYbud" localSheetId="30">#REF!</definedName>
    <definedName name="matNYbud">#REF!</definedName>
    <definedName name="matPYACT" localSheetId="15">#REF!</definedName>
    <definedName name="matPYACT" localSheetId="20">#REF!</definedName>
    <definedName name="matPYACT" localSheetId="22">#REF!</definedName>
    <definedName name="matPYACT" localSheetId="24">#REF!</definedName>
    <definedName name="matPYACT" localSheetId="42">#REF!</definedName>
    <definedName name="matPYACT" localSheetId="50">#REF!</definedName>
    <definedName name="matPYACT" localSheetId="51">#REF!</definedName>
    <definedName name="matPYACT" localSheetId="30">#REF!</definedName>
    <definedName name="matPYACT">#REF!</definedName>
    <definedName name="MATSTART" localSheetId="15">#REF!</definedName>
    <definedName name="MATSTART" localSheetId="20">#REF!</definedName>
    <definedName name="MATSTART" localSheetId="22">#REF!</definedName>
    <definedName name="MATSTART" localSheetId="24">#REF!</definedName>
    <definedName name="MATSTART" localSheetId="42">#REF!</definedName>
    <definedName name="MATSTART" localSheetId="50">#REF!</definedName>
    <definedName name="MATSTART" localSheetId="51">#REF!</definedName>
    <definedName name="MATSTART" localSheetId="30">#REF!</definedName>
    <definedName name="MATSTART">#REF!</definedName>
    <definedName name="NonPayment" localSheetId="42">[2]lists!$AA$1:$AA$71</definedName>
    <definedName name="NonPayment" localSheetId="30">lists!$AA$1:$AA$71</definedName>
    <definedName name="NonPayment" localSheetId="9">[3]lists!$AA$1:$AA$71</definedName>
    <definedName name="NonPayment">lists!$AA$1:$AA$71</definedName>
    <definedName name="OLE_LINK1" localSheetId="3">'List of Key References'!$A$5</definedName>
    <definedName name="OLE_LINK7" localSheetId="3">'List of Key References'!$B$22</definedName>
    <definedName name="oth_beg_bud" localSheetId="15">#REF!</definedName>
    <definedName name="oth_beg_bud" localSheetId="20">#REF!</definedName>
    <definedName name="oth_beg_bud" localSheetId="22">#REF!</definedName>
    <definedName name="oth_beg_bud" localSheetId="24">#REF!</definedName>
    <definedName name="oth_beg_bud" localSheetId="42">#REF!</definedName>
    <definedName name="oth_beg_bud" localSheetId="50">#REF!</definedName>
    <definedName name="oth_beg_bud" localSheetId="51">#REF!</definedName>
    <definedName name="oth_beg_bud" localSheetId="30">#REF!</definedName>
    <definedName name="oth_beg_bud" localSheetId="9">#REF!</definedName>
    <definedName name="oth_beg_bud">#REF!</definedName>
    <definedName name="oth_end_bud" localSheetId="15">#REF!</definedName>
    <definedName name="oth_end_bud" localSheetId="20">#REF!</definedName>
    <definedName name="oth_end_bud" localSheetId="22">#REF!</definedName>
    <definedName name="oth_end_bud" localSheetId="24">#REF!</definedName>
    <definedName name="oth_end_bud" localSheetId="42">#REF!</definedName>
    <definedName name="oth_end_bud" localSheetId="50">#REF!</definedName>
    <definedName name="oth_end_bud" localSheetId="51">#REF!</definedName>
    <definedName name="oth_end_bud" localSheetId="30">#REF!</definedName>
    <definedName name="oth_end_bud" localSheetId="9">#REF!</definedName>
    <definedName name="oth_end_bud">#REF!</definedName>
    <definedName name="oth12ACT" localSheetId="15">#REF!</definedName>
    <definedName name="oth12ACT" localSheetId="20">#REF!</definedName>
    <definedName name="oth12ACT" localSheetId="22">#REF!</definedName>
    <definedName name="oth12ACT" localSheetId="24">#REF!</definedName>
    <definedName name="oth12ACT" localSheetId="42">#REF!</definedName>
    <definedName name="oth12ACT" localSheetId="50">#REF!</definedName>
    <definedName name="oth12ACT" localSheetId="51">#REF!</definedName>
    <definedName name="oth12ACT" localSheetId="30">#REF!</definedName>
    <definedName name="oth12ACT" localSheetId="9">#REF!</definedName>
    <definedName name="oth12ACT">#REF!</definedName>
    <definedName name="othCYACT" localSheetId="15">#REF!</definedName>
    <definedName name="othCYACT" localSheetId="20">#REF!</definedName>
    <definedName name="othCYACT" localSheetId="22">#REF!</definedName>
    <definedName name="othCYACT" localSheetId="24">#REF!</definedName>
    <definedName name="othCYACT" localSheetId="42">#REF!</definedName>
    <definedName name="othCYACT" localSheetId="50">#REF!</definedName>
    <definedName name="othCYACT" localSheetId="51">#REF!</definedName>
    <definedName name="othCYACT" localSheetId="30">#REF!</definedName>
    <definedName name="othCYACT">#REF!</definedName>
    <definedName name="othCYBUD" localSheetId="15">#REF!</definedName>
    <definedName name="othCYBUD" localSheetId="20">#REF!</definedName>
    <definedName name="othCYBUD" localSheetId="22">#REF!</definedName>
    <definedName name="othCYBUD" localSheetId="24">#REF!</definedName>
    <definedName name="othCYBUD" localSheetId="42">#REF!</definedName>
    <definedName name="othCYBUD" localSheetId="50">#REF!</definedName>
    <definedName name="othCYBUD" localSheetId="51">#REF!</definedName>
    <definedName name="othCYBUD" localSheetId="30">#REF!</definedName>
    <definedName name="othCYBUD">#REF!</definedName>
    <definedName name="othCYF" localSheetId="15">#REF!</definedName>
    <definedName name="othCYF" localSheetId="20">#REF!</definedName>
    <definedName name="othCYF" localSheetId="22">#REF!</definedName>
    <definedName name="othCYF" localSheetId="24">#REF!</definedName>
    <definedName name="othCYF" localSheetId="42">#REF!</definedName>
    <definedName name="othCYF" localSheetId="50">#REF!</definedName>
    <definedName name="othCYF" localSheetId="51">#REF!</definedName>
    <definedName name="othCYF" localSheetId="30">#REF!</definedName>
    <definedName name="othCYF">#REF!</definedName>
    <definedName name="OTHEND" localSheetId="15">#REF!</definedName>
    <definedName name="OTHEND" localSheetId="20">#REF!</definedName>
    <definedName name="OTHEND" localSheetId="22">#REF!</definedName>
    <definedName name="OTHEND" localSheetId="24">#REF!</definedName>
    <definedName name="OTHEND" localSheetId="42">#REF!</definedName>
    <definedName name="OTHEND" localSheetId="50">#REF!</definedName>
    <definedName name="OTHEND" localSheetId="51">#REF!</definedName>
    <definedName name="OTHEND" localSheetId="30">#REF!</definedName>
    <definedName name="OTHEND">#REF!</definedName>
    <definedName name="other_costs" localSheetId="15">#REF!</definedName>
    <definedName name="other_costs" localSheetId="20">#REF!</definedName>
    <definedName name="other_costs" localSheetId="22">#REF!</definedName>
    <definedName name="other_costs" localSheetId="24">#REF!</definedName>
    <definedName name="other_costs" localSheetId="42">#REF!</definedName>
    <definedName name="other_costs" localSheetId="50">#REF!</definedName>
    <definedName name="other_costs" localSheetId="51">#REF!</definedName>
    <definedName name="other_costs" localSheetId="30">#REF!</definedName>
    <definedName name="other_costs">#REF!</definedName>
    <definedName name="OTHERBUD" localSheetId="15">#REF!</definedName>
    <definedName name="OTHERBUD" localSheetId="20">#REF!</definedName>
    <definedName name="OTHERBUD" localSheetId="22">#REF!</definedName>
    <definedName name="OTHERBUD" localSheetId="24">#REF!</definedName>
    <definedName name="OTHERBUD" localSheetId="42">#REF!</definedName>
    <definedName name="OTHERBUD" localSheetId="50">#REF!</definedName>
    <definedName name="OTHERBUD" localSheetId="51">#REF!</definedName>
    <definedName name="OTHERBUD" localSheetId="30">#REF!</definedName>
    <definedName name="OTHERBUD">#REF!</definedName>
    <definedName name="othNYbud" localSheetId="15">#REF!</definedName>
    <definedName name="othNYbud" localSheetId="20">#REF!</definedName>
    <definedName name="othNYbud" localSheetId="22">#REF!</definedName>
    <definedName name="othNYbud" localSheetId="24">#REF!</definedName>
    <definedName name="othNYbud" localSheetId="42">#REF!</definedName>
    <definedName name="othNYbud" localSheetId="50">#REF!</definedName>
    <definedName name="othNYbud" localSheetId="51">#REF!</definedName>
    <definedName name="othNYbud" localSheetId="30">#REF!</definedName>
    <definedName name="othNYbud">#REF!</definedName>
    <definedName name="othPYACT" localSheetId="15">#REF!</definedName>
    <definedName name="othPYACT" localSheetId="20">#REF!</definedName>
    <definedName name="othPYACT" localSheetId="22">#REF!</definedName>
    <definedName name="othPYACT" localSheetId="24">#REF!</definedName>
    <definedName name="othPYACT" localSheetId="42">#REF!</definedName>
    <definedName name="othPYACT" localSheetId="50">#REF!</definedName>
    <definedName name="othPYACT" localSheetId="51">#REF!</definedName>
    <definedName name="othPYACT" localSheetId="30">#REF!</definedName>
    <definedName name="othPYACT">#REF!</definedName>
    <definedName name="OTHSTART" localSheetId="15">#REF!</definedName>
    <definedName name="OTHSTART" localSheetId="20">#REF!</definedName>
    <definedName name="OTHSTART" localSheetId="22">#REF!</definedName>
    <definedName name="OTHSTART" localSheetId="24">#REF!</definedName>
    <definedName name="OTHSTART" localSheetId="42">#REF!</definedName>
    <definedName name="OTHSTART" localSheetId="50">#REF!</definedName>
    <definedName name="OTHSTART" localSheetId="51">#REF!</definedName>
    <definedName name="OTHSTART" localSheetId="30">#REF!</definedName>
    <definedName name="OTHSTART">#REF!</definedName>
    <definedName name="_xlnm.Print_Area" localSheetId="53">'App. 2-Z_Tariff'!$A$1:$I$44</definedName>
    <definedName name="_xlnm.Print_Area" localSheetId="4">'App.2-AA_Capital Projects'!$A$1:$I$57</definedName>
    <definedName name="_xlnm.Print_Area" localSheetId="7">'App.2-B_Acct Instructions'!$A$1:$P$80</definedName>
    <definedName name="_xlnm.Print_Area" localSheetId="8">'App.2-BA_Fixed Asset Cont'!$A$504:$M$564</definedName>
    <definedName name="_xlnm.Print_Area" localSheetId="10">'App.2-CA_OldCGAAP_DepExp_2012'!$A$1:$L$64</definedName>
    <definedName name="_xlnm.Print_Area" localSheetId="11">'App.2-CB_NewCGAAP_DepExp_2012'!$A$1:$O$68</definedName>
    <definedName name="_xlnm.Print_Area" localSheetId="12">'App.2-CC_NewCGAAP_DepExp_2013'!$A$1:$K$63</definedName>
    <definedName name="_xlnm.Print_Area" localSheetId="13">'App.2-CD_MIFRS_DepExp_2014'!$A$1:$K$70</definedName>
    <definedName name="_xlnm.Print_Area" localSheetId="14">'App.2-CE_MIFRS_DepExp_2015'!$A$1:$K$64</definedName>
    <definedName name="_xlnm.Print_Area" localSheetId="15">'App.2-CF_MIFRS_DepExp_2016'!$A$1:$H$64</definedName>
    <definedName name="_xlnm.Print_Area" localSheetId="16">'App.2-CG_OldCGAAP_DepExp_2013'!$A$1:$L$65</definedName>
    <definedName name="_xlnm.Print_Area" localSheetId="17">'App.2-CH_NewCGAAP_DepExp_2013'!$A$1:$O$70</definedName>
    <definedName name="_xlnm.Print_Area" localSheetId="18">'App.2-CI_MIFRS_DepExp_2014'!$A$1:$K$72</definedName>
    <definedName name="_xlnm.Print_Area" localSheetId="19">'App.2-CJ MIFRS_DepExp_2015'!$A$1:$K$67</definedName>
    <definedName name="_xlnm.Print_Area" localSheetId="20">'App.2-CK MIFRS_DepExp_2016'!$A$1:$H$65</definedName>
    <definedName name="_xlnm.Print_Area" localSheetId="21">'App.2-D_Overhead'!$A$1:$H$40</definedName>
    <definedName name="_xlnm.Print_Area" localSheetId="24">'App.2-EC_Account 1576 (2013)'!$A$9:$J$40</definedName>
    <definedName name="_xlnm.Print_Area" localSheetId="29">'App.2-H_Other_Oper_Rev'!$A$10:$J$31</definedName>
    <definedName name="_xlnm.Print_Area" localSheetId="32">'App.2-JA_OM&amp;A_Summary_Analys'!$A$1:$M$61</definedName>
    <definedName name="_xlnm.Print_Area" localSheetId="33">'App.2-JB_OM&amp;A_Cost _Drivers'!$A$1:$H$66</definedName>
    <definedName name="_xlnm.Print_Area" localSheetId="34">'App.2-JC_OMA Programs'!$A$10:$J$51</definedName>
    <definedName name="_xlnm.Print_Area" localSheetId="35">'App.2-K_Employee Costs'!$A$1:$H$31</definedName>
    <definedName name="_xlnm.Print_Area" localSheetId="36">'App.2-L_OM&amp;A_per_Cust_FTEE'!$A$1:$I$29</definedName>
    <definedName name="_xlnm.Print_Area" localSheetId="37">'App.2-M_Regulatory_Costs'!$A$1:$K$47</definedName>
    <definedName name="_xlnm.Print_Area" localSheetId="38">'App.2-N_Corp_Cost_Allocation'!$A$1:$G$208</definedName>
    <definedName name="_xlnm.Print_Area" localSheetId="39">'App.2-OA Capital Structure'!$A$1:$P$58</definedName>
    <definedName name="_xlnm.Print_Area" localSheetId="40">'App.2-OB_Debt Instruments'!$A$1:$K$135</definedName>
    <definedName name="_xlnm.Print_Area" localSheetId="41">'App.2-P_Cost_Allocation'!$A$99:$F$115</definedName>
    <definedName name="_xlnm.Print_Area" localSheetId="43">'App.2-Q_Cost of Serv. Emb. Dx'!$A$1:$G$60</definedName>
    <definedName name="_xlnm.Print_Area" localSheetId="44">'App.2-R_Loss Factors'!$A$1:$H$71</definedName>
    <definedName name="_xlnm.Print_Area" localSheetId="45">'App.2-S_Stranded Meters'!$A$1:$H$94</definedName>
    <definedName name="_xlnm.Print_Area" localSheetId="46">'App.2-TA_1592_Tax_Variance'!$A$1:$E$57</definedName>
    <definedName name="_xlnm.Print_Area" localSheetId="47">'App.2-TB_1592_HST-OVAT'!$A$1:$K$32</definedName>
    <definedName name="_xlnm.Print_Area" localSheetId="48">'App.2-U_IFRS Transition Costs'!$A$1:$Q$35</definedName>
    <definedName name="_xlnm.Print_Area" localSheetId="49">'App.2-V_Rev_Reconciliation'!$A$1:$P$31</definedName>
    <definedName name="_xlnm.Print_Area" localSheetId="50">'App.2-W_Bill Impacts'!$C$1:$O$636</definedName>
    <definedName name="_xlnm.Print_Area" localSheetId="51">'App.2-W_Bill Impacts_hidden'!#REF!</definedName>
    <definedName name="_xlnm.Print_Area" localSheetId="2">'COS Flowchart'!$A$1:$G$39</definedName>
    <definedName name="_xlnm.Print_Area" localSheetId="1">Index!$A$1:$G$42</definedName>
    <definedName name="_xlnm.Print_Area" localSheetId="0">'LDC Info'!$A$1:$M$55</definedName>
    <definedName name="print_end" localSheetId="15">#REF!</definedName>
    <definedName name="print_end" localSheetId="20">#REF!</definedName>
    <definedName name="print_end" localSheetId="22">#REF!</definedName>
    <definedName name="print_end" localSheetId="24">#REF!</definedName>
    <definedName name="print_end" localSheetId="42">#REF!</definedName>
    <definedName name="print_end" localSheetId="50">#REF!</definedName>
    <definedName name="print_end" localSheetId="51">#REF!</definedName>
    <definedName name="print_end" localSheetId="30">#REF!</definedName>
    <definedName name="print_end" localSheetId="9">#REF!</definedName>
    <definedName name="print_end">#REF!</definedName>
    <definedName name="_xlnm.Print_Titles" localSheetId="31">'App.2-IA_Act_Frcst_Data'!$1:$11</definedName>
    <definedName name="Rate_Class" localSheetId="42">[2]lists!$A$1:$A$104</definedName>
    <definedName name="Rate_Class" localSheetId="9">[3]lists!$A$1:$A$104</definedName>
    <definedName name="Rate_Class">lists!$A$2:$A$105</definedName>
    <definedName name="RATE_CLASSES">lists!$A$1:$A$104</definedName>
    <definedName name="ratedescription" localSheetId="9">[9]hidden1!$D$1:$D$122</definedName>
    <definedName name="ratedescription">[10]hidden1!$D$1:$D$122</definedName>
    <definedName name="RebaseYear" localSheetId="42">'[2]LDC Info'!$E$28</definedName>
    <definedName name="RebaseYear" localSheetId="30">'LDC Info'!$E$28</definedName>
    <definedName name="RebaseYear" localSheetId="9">'[3]LDC Info'!$E$28</definedName>
    <definedName name="RebaseYear" localSheetId="54">'[4]LDC Info'!$E$28</definedName>
    <definedName name="RebaseYear">'LDC Info'!$E$28</definedName>
    <definedName name="SALBENF" localSheetId="15">#REF!</definedName>
    <definedName name="SALBENF" localSheetId="20">#REF!</definedName>
    <definedName name="SALBENF" localSheetId="22">#REF!</definedName>
    <definedName name="SALBENF" localSheetId="24">#REF!</definedName>
    <definedName name="SALBENF" localSheetId="42">#REF!</definedName>
    <definedName name="SALBENF" localSheetId="50">#REF!</definedName>
    <definedName name="SALBENF" localSheetId="51">#REF!</definedName>
    <definedName name="SALBENF" localSheetId="30">#REF!</definedName>
    <definedName name="SALBENF" localSheetId="9">#REF!</definedName>
    <definedName name="SALBENF">#REF!</definedName>
    <definedName name="salreg" localSheetId="15">#REF!</definedName>
    <definedName name="salreg" localSheetId="20">#REF!</definedName>
    <definedName name="salreg" localSheetId="22">#REF!</definedName>
    <definedName name="salreg" localSheetId="24">#REF!</definedName>
    <definedName name="salreg" localSheetId="42">#REF!</definedName>
    <definedName name="salreg" localSheetId="50">#REF!</definedName>
    <definedName name="salreg" localSheetId="51">#REF!</definedName>
    <definedName name="salreg" localSheetId="30">#REF!</definedName>
    <definedName name="salreg" localSheetId="9">#REF!</definedName>
    <definedName name="salreg">#REF!</definedName>
    <definedName name="SALREGF" localSheetId="15">#REF!</definedName>
    <definedName name="SALREGF" localSheetId="20">#REF!</definedName>
    <definedName name="SALREGF" localSheetId="22">#REF!</definedName>
    <definedName name="SALREGF" localSheetId="24">#REF!</definedName>
    <definedName name="SALREGF" localSheetId="42">#REF!</definedName>
    <definedName name="SALREGF" localSheetId="50">#REF!</definedName>
    <definedName name="SALREGF" localSheetId="51">#REF!</definedName>
    <definedName name="SALREGF" localSheetId="30">#REF!</definedName>
    <definedName name="SALREGF" localSheetId="9">#REF!</definedName>
    <definedName name="SALREGF">#REF!</definedName>
    <definedName name="TEMPA" localSheetId="15">#REF!</definedName>
    <definedName name="TEMPA" localSheetId="20">#REF!</definedName>
    <definedName name="TEMPA" localSheetId="22">#REF!</definedName>
    <definedName name="TEMPA" localSheetId="24">#REF!</definedName>
    <definedName name="TEMPA" localSheetId="42">#REF!</definedName>
    <definedName name="TEMPA" localSheetId="50">#REF!</definedName>
    <definedName name="TEMPA" localSheetId="51">#REF!</definedName>
    <definedName name="TEMPA" localSheetId="30">#REF!</definedName>
    <definedName name="TEMPA">#REF!</definedName>
    <definedName name="TestYear" localSheetId="42">'[2]LDC Info'!$E$24</definedName>
    <definedName name="TestYear" localSheetId="30">'LDC Info'!$E$24</definedName>
    <definedName name="TestYear" localSheetId="9">'[3]LDC Info'!$E$24</definedName>
    <definedName name="TestYear" localSheetId="54">'[4]LDC Info'!$E$24</definedName>
    <definedName name="TestYear">'LDC Info'!$E$24</definedName>
    <definedName name="total_dept" localSheetId="15">#REF!</definedName>
    <definedName name="total_dept" localSheetId="20">#REF!</definedName>
    <definedName name="total_dept" localSheetId="22">#REF!</definedName>
    <definedName name="total_dept" localSheetId="24">#REF!</definedName>
    <definedName name="total_dept" localSheetId="42">#REF!</definedName>
    <definedName name="total_dept" localSheetId="50">#REF!</definedName>
    <definedName name="total_dept" localSheetId="51">#REF!</definedName>
    <definedName name="total_dept" localSheetId="30">#REF!</definedName>
    <definedName name="total_dept" localSheetId="9">#REF!</definedName>
    <definedName name="total_dept">#REF!</definedName>
    <definedName name="total_manpower" localSheetId="15">#REF!</definedName>
    <definedName name="total_manpower" localSheetId="20">#REF!</definedName>
    <definedName name="total_manpower" localSheetId="22">#REF!</definedName>
    <definedName name="total_manpower" localSheetId="24">#REF!</definedName>
    <definedName name="total_manpower" localSheetId="42">#REF!</definedName>
    <definedName name="total_manpower" localSheetId="50">#REF!</definedName>
    <definedName name="total_manpower" localSheetId="51">#REF!</definedName>
    <definedName name="total_manpower" localSheetId="30">#REF!</definedName>
    <definedName name="total_manpower" localSheetId="9">#REF!</definedName>
    <definedName name="total_manpower">#REF!</definedName>
    <definedName name="total_material" localSheetId="15">#REF!</definedName>
    <definedName name="total_material" localSheetId="20">#REF!</definedName>
    <definedName name="total_material" localSheetId="22">#REF!</definedName>
    <definedName name="total_material" localSheetId="24">#REF!</definedName>
    <definedName name="total_material" localSheetId="42">#REF!</definedName>
    <definedName name="total_material" localSheetId="50">#REF!</definedName>
    <definedName name="total_material" localSheetId="51">#REF!</definedName>
    <definedName name="total_material" localSheetId="30">#REF!</definedName>
    <definedName name="total_material" localSheetId="9">#REF!</definedName>
    <definedName name="total_material">#REF!</definedName>
    <definedName name="total_other" localSheetId="15">#REF!</definedName>
    <definedName name="total_other" localSheetId="20">#REF!</definedName>
    <definedName name="total_other" localSheetId="22">#REF!</definedName>
    <definedName name="total_other" localSheetId="24">#REF!</definedName>
    <definedName name="total_other" localSheetId="42">#REF!</definedName>
    <definedName name="total_other" localSheetId="50">#REF!</definedName>
    <definedName name="total_other" localSheetId="51">#REF!</definedName>
    <definedName name="total_other" localSheetId="30">#REF!</definedName>
    <definedName name="total_other">#REF!</definedName>
    <definedName name="total_transportation" localSheetId="15">#REF!</definedName>
    <definedName name="total_transportation" localSheetId="20">#REF!</definedName>
    <definedName name="total_transportation" localSheetId="22">#REF!</definedName>
    <definedName name="total_transportation" localSheetId="24">#REF!</definedName>
    <definedName name="total_transportation" localSheetId="42">#REF!</definedName>
    <definedName name="total_transportation" localSheetId="50">#REF!</definedName>
    <definedName name="total_transportation" localSheetId="51">#REF!</definedName>
    <definedName name="total_transportation" localSheetId="30">#REF!</definedName>
    <definedName name="total_transportation">#REF!</definedName>
    <definedName name="TRANBUD" localSheetId="15">#REF!</definedName>
    <definedName name="TRANBUD" localSheetId="20">#REF!</definedName>
    <definedName name="TRANBUD" localSheetId="22">#REF!</definedName>
    <definedName name="TRANBUD" localSheetId="24">#REF!</definedName>
    <definedName name="TRANBUD" localSheetId="42">#REF!</definedName>
    <definedName name="TRANBUD" localSheetId="50">#REF!</definedName>
    <definedName name="TRANBUD" localSheetId="51">#REF!</definedName>
    <definedName name="TRANBUD" localSheetId="30">#REF!</definedName>
    <definedName name="TRANBUD">#REF!</definedName>
    <definedName name="TRANEND" localSheetId="15">#REF!</definedName>
    <definedName name="TRANEND" localSheetId="20">#REF!</definedName>
    <definedName name="TRANEND" localSheetId="22">#REF!</definedName>
    <definedName name="TRANEND" localSheetId="24">#REF!</definedName>
    <definedName name="TRANEND" localSheetId="42">#REF!</definedName>
    <definedName name="TRANEND" localSheetId="50">#REF!</definedName>
    <definedName name="TRANEND" localSheetId="51">#REF!</definedName>
    <definedName name="TRANEND" localSheetId="30">#REF!</definedName>
    <definedName name="TRANEND">#REF!</definedName>
    <definedName name="transportation_costs" localSheetId="15">#REF!</definedName>
    <definedName name="transportation_costs" localSheetId="20">#REF!</definedName>
    <definedName name="transportation_costs" localSheetId="22">#REF!</definedName>
    <definedName name="transportation_costs" localSheetId="24">#REF!</definedName>
    <definedName name="transportation_costs" localSheetId="42">#REF!</definedName>
    <definedName name="transportation_costs" localSheetId="50">#REF!</definedName>
    <definedName name="transportation_costs" localSheetId="51">#REF!</definedName>
    <definedName name="transportation_costs" localSheetId="30">#REF!</definedName>
    <definedName name="transportation_costs">#REF!</definedName>
    <definedName name="TRANSTART" localSheetId="15">#REF!</definedName>
    <definedName name="TRANSTART" localSheetId="20">#REF!</definedName>
    <definedName name="TRANSTART" localSheetId="22">#REF!</definedName>
    <definedName name="TRANSTART" localSheetId="24">#REF!</definedName>
    <definedName name="TRANSTART" localSheetId="42">#REF!</definedName>
    <definedName name="TRANSTART" localSheetId="50">#REF!</definedName>
    <definedName name="TRANSTART" localSheetId="51">#REF!</definedName>
    <definedName name="TRANSTART" localSheetId="30">#REF!</definedName>
    <definedName name="TRANSTART">#REF!</definedName>
    <definedName name="trn_beg_bud" localSheetId="15">#REF!</definedName>
    <definedName name="trn_beg_bud" localSheetId="20">#REF!</definedName>
    <definedName name="trn_beg_bud" localSheetId="22">#REF!</definedName>
    <definedName name="trn_beg_bud" localSheetId="24">#REF!</definedName>
    <definedName name="trn_beg_bud" localSheetId="42">#REF!</definedName>
    <definedName name="trn_beg_bud" localSheetId="50">#REF!</definedName>
    <definedName name="trn_beg_bud" localSheetId="51">#REF!</definedName>
    <definedName name="trn_beg_bud" localSheetId="30">#REF!</definedName>
    <definedName name="trn_beg_bud">#REF!</definedName>
    <definedName name="trn_end_bud" localSheetId="15">#REF!</definedName>
    <definedName name="trn_end_bud" localSheetId="20">#REF!</definedName>
    <definedName name="trn_end_bud" localSheetId="22">#REF!</definedName>
    <definedName name="trn_end_bud" localSheetId="24">#REF!</definedName>
    <definedName name="trn_end_bud" localSheetId="42">#REF!</definedName>
    <definedName name="trn_end_bud" localSheetId="50">#REF!</definedName>
    <definedName name="trn_end_bud" localSheetId="51">#REF!</definedName>
    <definedName name="trn_end_bud" localSheetId="30">#REF!</definedName>
    <definedName name="trn_end_bud">#REF!</definedName>
    <definedName name="trn12ACT" localSheetId="15">#REF!</definedName>
    <definedName name="trn12ACT" localSheetId="20">#REF!</definedName>
    <definedName name="trn12ACT" localSheetId="22">#REF!</definedName>
    <definedName name="trn12ACT" localSheetId="24">#REF!</definedName>
    <definedName name="trn12ACT" localSheetId="42">#REF!</definedName>
    <definedName name="trn12ACT" localSheetId="50">#REF!</definedName>
    <definedName name="trn12ACT" localSheetId="51">#REF!</definedName>
    <definedName name="trn12ACT" localSheetId="30">#REF!</definedName>
    <definedName name="trn12ACT">#REF!</definedName>
    <definedName name="trnCYACT" localSheetId="15">#REF!</definedName>
    <definedName name="trnCYACT" localSheetId="20">#REF!</definedName>
    <definedName name="trnCYACT" localSheetId="22">#REF!</definedName>
    <definedName name="trnCYACT" localSheetId="24">#REF!</definedName>
    <definedName name="trnCYACT" localSheetId="42">#REF!</definedName>
    <definedName name="trnCYACT" localSheetId="50">#REF!</definedName>
    <definedName name="trnCYACT" localSheetId="51">#REF!</definedName>
    <definedName name="trnCYACT" localSheetId="30">#REF!</definedName>
    <definedName name="trnCYACT">#REF!</definedName>
    <definedName name="trnCYBUD" localSheetId="15">#REF!</definedName>
    <definedName name="trnCYBUD" localSheetId="20">#REF!</definedName>
    <definedName name="trnCYBUD" localSheetId="22">#REF!</definedName>
    <definedName name="trnCYBUD" localSheetId="24">#REF!</definedName>
    <definedName name="trnCYBUD" localSheetId="42">#REF!</definedName>
    <definedName name="trnCYBUD" localSheetId="50">#REF!</definedName>
    <definedName name="trnCYBUD" localSheetId="51">#REF!</definedName>
    <definedName name="trnCYBUD" localSheetId="30">#REF!</definedName>
    <definedName name="trnCYBUD">#REF!</definedName>
    <definedName name="trnCYF" localSheetId="15">#REF!</definedName>
    <definedName name="trnCYF" localSheetId="20">#REF!</definedName>
    <definedName name="trnCYF" localSheetId="22">#REF!</definedName>
    <definedName name="trnCYF" localSheetId="24">#REF!</definedName>
    <definedName name="trnCYF" localSheetId="42">#REF!</definedName>
    <definedName name="trnCYF" localSheetId="50">#REF!</definedName>
    <definedName name="trnCYF" localSheetId="51">#REF!</definedName>
    <definedName name="trnCYF" localSheetId="30">#REF!</definedName>
    <definedName name="trnCYF">#REF!</definedName>
    <definedName name="trnNYbud" localSheetId="15">#REF!</definedName>
    <definedName name="trnNYbud" localSheetId="20">#REF!</definedName>
    <definedName name="trnNYbud" localSheetId="22">#REF!</definedName>
    <definedName name="trnNYbud" localSheetId="24">#REF!</definedName>
    <definedName name="trnNYbud" localSheetId="42">#REF!</definedName>
    <definedName name="trnNYbud" localSheetId="50">#REF!</definedName>
    <definedName name="trnNYbud" localSheetId="51">#REF!</definedName>
    <definedName name="trnNYbud" localSheetId="30">#REF!</definedName>
    <definedName name="trnNYbud">#REF!</definedName>
    <definedName name="trnPYACT" localSheetId="15">#REF!</definedName>
    <definedName name="trnPYACT" localSheetId="20">#REF!</definedName>
    <definedName name="trnPYACT" localSheetId="22">#REF!</definedName>
    <definedName name="trnPYACT" localSheetId="24">#REF!</definedName>
    <definedName name="trnPYACT" localSheetId="42">#REF!</definedName>
    <definedName name="trnPYACT" localSheetId="50">#REF!</definedName>
    <definedName name="trnPYACT" localSheetId="51">#REF!</definedName>
    <definedName name="trnPYACT" localSheetId="30">#REF!</definedName>
    <definedName name="trnPYACT">#REF!</definedName>
    <definedName name="Units" localSheetId="42">[2]lists!$N$2:$N$5</definedName>
    <definedName name="Units" localSheetId="30">lists!$N$2:$N$5</definedName>
    <definedName name="Units" localSheetId="9">[3]lists!$N$2:$N$5</definedName>
    <definedName name="Units">lists!$N$2:$N$5</definedName>
    <definedName name="Units1">lists!$O$2:$O$4</definedName>
    <definedName name="Units2">lists!$P$2:$P$3</definedName>
    <definedName name="Utility">[5]Financials!$A$1</definedName>
    <definedName name="utitliy1">[11]Financials!$A$1</definedName>
    <definedName name="WAGBENF" localSheetId="15">#REF!</definedName>
    <definedName name="WAGBENF" localSheetId="20">#REF!</definedName>
    <definedName name="WAGBENF" localSheetId="22">#REF!</definedName>
    <definedName name="WAGBENF" localSheetId="24">#REF!</definedName>
    <definedName name="WAGBENF" localSheetId="42">#REF!</definedName>
    <definedName name="WAGBENF" localSheetId="50">#REF!</definedName>
    <definedName name="WAGBENF" localSheetId="51">#REF!</definedName>
    <definedName name="WAGBENF" localSheetId="30">#REF!</definedName>
    <definedName name="WAGBENF" localSheetId="9">#REF!</definedName>
    <definedName name="WAGBENF">#REF!</definedName>
    <definedName name="wagdob" localSheetId="15">#REF!</definedName>
    <definedName name="wagdob" localSheetId="20">#REF!</definedName>
    <definedName name="wagdob" localSheetId="22">#REF!</definedName>
    <definedName name="wagdob" localSheetId="24">#REF!</definedName>
    <definedName name="wagdob" localSheetId="42">#REF!</definedName>
    <definedName name="wagdob" localSheetId="50">#REF!</definedName>
    <definedName name="wagdob" localSheetId="51">#REF!</definedName>
    <definedName name="wagdob" localSheetId="30">#REF!</definedName>
    <definedName name="wagdob" localSheetId="9">#REF!</definedName>
    <definedName name="wagdob">#REF!</definedName>
    <definedName name="wagdobf" localSheetId="15">#REF!</definedName>
    <definedName name="wagdobf" localSheetId="20">#REF!</definedName>
    <definedName name="wagdobf" localSheetId="22">#REF!</definedName>
    <definedName name="wagdobf" localSheetId="24">#REF!</definedName>
    <definedName name="wagdobf" localSheetId="42">#REF!</definedName>
    <definedName name="wagdobf" localSheetId="50">#REF!</definedName>
    <definedName name="wagdobf" localSheetId="51">#REF!</definedName>
    <definedName name="wagdobf" localSheetId="30">#REF!</definedName>
    <definedName name="wagdobf" localSheetId="9">#REF!</definedName>
    <definedName name="wagdobf">#REF!</definedName>
    <definedName name="wagreg" localSheetId="15">#REF!</definedName>
    <definedName name="wagreg" localSheetId="20">#REF!</definedName>
    <definedName name="wagreg" localSheetId="22">#REF!</definedName>
    <definedName name="wagreg" localSheetId="24">#REF!</definedName>
    <definedName name="wagreg" localSheetId="42">#REF!</definedName>
    <definedName name="wagreg" localSheetId="50">#REF!</definedName>
    <definedName name="wagreg" localSheetId="51">#REF!</definedName>
    <definedName name="wagreg" localSheetId="30">#REF!</definedName>
    <definedName name="wagreg">#REF!</definedName>
    <definedName name="wagregf" localSheetId="15">#REF!</definedName>
    <definedName name="wagregf" localSheetId="20">#REF!</definedName>
    <definedName name="wagregf" localSheetId="22">#REF!</definedName>
    <definedName name="wagregf" localSheetId="24">#REF!</definedName>
    <definedName name="wagregf" localSheetId="42">#REF!</definedName>
    <definedName name="wagregf" localSheetId="50">#REF!</definedName>
    <definedName name="wagregf" localSheetId="51">#REF!</definedName>
    <definedName name="wagregf" localSheetId="30">#REF!</definedName>
    <definedName name="wagregf">#REF!</definedName>
  </definedNames>
  <calcPr calcId="145621" iterate="1"/>
</workbook>
</file>

<file path=xl/calcChain.xml><?xml version="1.0" encoding="utf-8"?>
<calcChain xmlns="http://schemas.openxmlformats.org/spreadsheetml/2006/main">
  <c r="G17" i="15" l="1"/>
  <c r="H46" i="105"/>
  <c r="H41" i="105"/>
  <c r="H36" i="105"/>
  <c r="H30" i="105"/>
  <c r="I22" i="49"/>
  <c r="I20" i="49"/>
  <c r="I16" i="49"/>
  <c r="J405" i="100"/>
  <c r="E405" i="100"/>
  <c r="F18" i="71"/>
  <c r="F17" i="71"/>
  <c r="J529" i="100"/>
  <c r="E520" i="100"/>
  <c r="J467" i="100"/>
  <c r="E467" i="100"/>
  <c r="J127" i="6" l="1"/>
  <c r="J126" i="6"/>
  <c r="I14" i="20" l="1"/>
  <c r="H14" i="20"/>
  <c r="E16" i="49" l="1"/>
  <c r="E15" i="49"/>
  <c r="K54" i="49" l="1"/>
  <c r="M49" i="49" l="1"/>
  <c r="J37" i="119" l="1"/>
  <c r="N18" i="30" l="1"/>
  <c r="N17" i="30"/>
  <c r="C16" i="30"/>
  <c r="G80" i="114" l="1"/>
  <c r="G79" i="114"/>
  <c r="D22" i="30" s="1"/>
  <c r="F80" i="114"/>
  <c r="F79" i="114"/>
  <c r="C22" i="30" s="1"/>
  <c r="G72" i="114"/>
  <c r="G71" i="114"/>
  <c r="L36" i="123" s="1"/>
  <c r="G70" i="114"/>
  <c r="D21" i="30" s="1"/>
  <c r="F72" i="114"/>
  <c r="F71" i="114"/>
  <c r="F70" i="114"/>
  <c r="C21" i="30" s="1"/>
  <c r="G63" i="114"/>
  <c r="G62" i="114"/>
  <c r="L37" i="123" s="1"/>
  <c r="G61" i="114"/>
  <c r="D20" i="30" s="1"/>
  <c r="F63" i="114"/>
  <c r="F62" i="114"/>
  <c r="F61" i="114"/>
  <c r="C20" i="30" s="1"/>
  <c r="G52" i="114"/>
  <c r="D19" i="30" s="1"/>
  <c r="F52" i="114"/>
  <c r="C19" i="30" s="1"/>
  <c r="G43" i="114"/>
  <c r="D18" i="30" s="1"/>
  <c r="F43" i="114"/>
  <c r="C18" i="30" s="1"/>
  <c r="G36" i="114"/>
  <c r="G35" i="114"/>
  <c r="L32" i="123" s="1"/>
  <c r="F36" i="114"/>
  <c r="F35" i="114"/>
  <c r="G34" i="114"/>
  <c r="D17" i="30" s="1"/>
  <c r="F34" i="114"/>
  <c r="C17" i="30" s="1"/>
  <c r="G26" i="114"/>
  <c r="F26" i="114"/>
  <c r="G25" i="114"/>
  <c r="F25" i="114"/>
  <c r="D16" i="30" s="1"/>
  <c r="G17" i="114"/>
  <c r="F17" i="114"/>
  <c r="G16" i="114"/>
  <c r="F16" i="114"/>
  <c r="C15" i="30" l="1"/>
  <c r="D15" i="30"/>
  <c r="L30" i="123"/>
  <c r="F15" i="30"/>
  <c r="L31" i="123"/>
  <c r="F16" i="30"/>
  <c r="M37" i="123"/>
  <c r="G20" i="30"/>
  <c r="M32" i="123"/>
  <c r="G17" i="30"/>
  <c r="M36" i="123"/>
  <c r="G21" i="30"/>
  <c r="F22" i="30"/>
  <c r="L35" i="123"/>
  <c r="E88" i="122" l="1"/>
  <c r="K45" i="50" l="1"/>
  <c r="K41" i="50"/>
  <c r="K40" i="50"/>
  <c r="C46" i="71" l="1"/>
  <c r="D46" i="71"/>
  <c r="E46" i="71"/>
  <c r="F46" i="71"/>
  <c r="C47" i="71"/>
  <c r="D47" i="71"/>
  <c r="E47" i="71"/>
  <c r="F47" i="71"/>
  <c r="C48" i="71"/>
  <c r="D48" i="71"/>
  <c r="E48" i="71"/>
  <c r="F48" i="71"/>
  <c r="C49" i="71"/>
  <c r="D49" i="71"/>
  <c r="E49" i="71"/>
  <c r="F49" i="71"/>
  <c r="B49" i="71"/>
  <c r="B48" i="71"/>
  <c r="B47" i="71"/>
  <c r="B46" i="71"/>
  <c r="E50" i="71"/>
  <c r="H47" i="105" l="1"/>
  <c r="G47" i="105"/>
  <c r="H38" i="105"/>
  <c r="G38" i="105"/>
  <c r="H32" i="105"/>
  <c r="G32" i="105"/>
  <c r="G46" i="105"/>
  <c r="H27" i="105"/>
  <c r="G27" i="105"/>
  <c r="F46" i="15"/>
  <c r="F47" i="15"/>
  <c r="G54" i="15"/>
  <c r="G29" i="15"/>
  <c r="J139" i="14" l="1"/>
  <c r="I139" i="14"/>
  <c r="J15" i="14"/>
  <c r="J24" i="14"/>
  <c r="J21" i="14"/>
  <c r="J17" i="14"/>
  <c r="I24" i="14"/>
  <c r="I30" i="14" s="1"/>
  <c r="I29" i="14"/>
  <c r="I21" i="14"/>
  <c r="I17" i="14"/>
  <c r="I15" i="14"/>
  <c r="C42" i="121" l="1"/>
  <c r="G42" i="90"/>
  <c r="C42" i="90"/>
  <c r="J195" i="11" l="1"/>
  <c r="J191" i="11"/>
  <c r="J171" i="11"/>
  <c r="J80" i="11"/>
  <c r="H171" i="11"/>
  <c r="H172" i="11" s="1"/>
  <c r="H195" i="11"/>
  <c r="H191" i="11"/>
  <c r="H166" i="11"/>
  <c r="J166" i="11"/>
  <c r="J172" i="11" s="1"/>
  <c r="J144" i="11"/>
  <c r="H144" i="11"/>
  <c r="H145" i="11" s="1"/>
  <c r="J140" i="11"/>
  <c r="H140" i="11"/>
  <c r="J136" i="11"/>
  <c r="J118" i="11"/>
  <c r="H136" i="11"/>
  <c r="H118" i="11"/>
  <c r="H80" i="11"/>
  <c r="J75" i="11"/>
  <c r="J66" i="11"/>
  <c r="H75" i="11"/>
  <c r="H66" i="11"/>
  <c r="H57" i="11"/>
  <c r="J57" i="11"/>
  <c r="J414" i="100"/>
  <c r="J417" i="100"/>
  <c r="J407" i="100"/>
  <c r="P405" i="100"/>
  <c r="P406" i="100"/>
  <c r="J400" i="100"/>
  <c r="J399" i="100"/>
  <c r="J398" i="100"/>
  <c r="J397" i="100"/>
  <c r="J396" i="100"/>
  <c r="J388" i="100"/>
  <c r="E400" i="100"/>
  <c r="E399" i="100"/>
  <c r="E398" i="100"/>
  <c r="E397" i="100"/>
  <c r="E396" i="100"/>
  <c r="J81" i="11" l="1"/>
  <c r="H81" i="11"/>
  <c r="H198" i="11" s="1"/>
  <c r="H200" i="11" s="1"/>
  <c r="J145" i="11"/>
  <c r="J198" i="11" s="1"/>
  <c r="J200" i="11" s="1"/>
  <c r="O398" i="100"/>
  <c r="L610" i="123"/>
  <c r="K610" i="123"/>
  <c r="J610" i="123"/>
  <c r="M529" i="123" l="1"/>
  <c r="K540" i="123"/>
  <c r="L540" i="123" s="1"/>
  <c r="K470" i="123"/>
  <c r="J470" i="123"/>
  <c r="L400" i="123"/>
  <c r="K400" i="123"/>
  <c r="J400" i="123"/>
  <c r="L330" i="123"/>
  <c r="K330" i="123"/>
  <c r="J330" i="123"/>
  <c r="K260" i="123"/>
  <c r="J260" i="123"/>
  <c r="K190" i="123"/>
  <c r="J190" i="123"/>
  <c r="L401" i="123" l="1"/>
  <c r="A54" i="49" l="1"/>
  <c r="K46" i="49"/>
  <c r="K48" i="49" s="1"/>
  <c r="O45" i="49"/>
  <c r="M45" i="49"/>
  <c r="N45" i="49" s="1"/>
  <c r="L45" i="49"/>
  <c r="K45" i="49"/>
  <c r="J45" i="49"/>
  <c r="I45" i="49"/>
  <c r="G45" i="49"/>
  <c r="H45" i="49" s="1"/>
  <c r="E45" i="49"/>
  <c r="C45" i="49"/>
  <c r="F45" i="49" s="1"/>
  <c r="B45" i="49"/>
  <c r="O44" i="49"/>
  <c r="M44" i="49"/>
  <c r="N44" i="49" s="1"/>
  <c r="L44" i="49"/>
  <c r="K44" i="49"/>
  <c r="J44" i="49"/>
  <c r="I44" i="49"/>
  <c r="F44" i="49"/>
  <c r="E44" i="49"/>
  <c r="D44" i="49"/>
  <c r="C44" i="49"/>
  <c r="B44" i="49"/>
  <c r="O43" i="49"/>
  <c r="M43" i="49"/>
  <c r="N43" i="49" s="1"/>
  <c r="L43" i="49"/>
  <c r="K43" i="49"/>
  <c r="I43" i="49"/>
  <c r="E43" i="49"/>
  <c r="J43" i="49" s="1"/>
  <c r="C43" i="49"/>
  <c r="B43" i="49"/>
  <c r="D43" i="49" s="1"/>
  <c r="O42" i="49"/>
  <c r="M42" i="49"/>
  <c r="L42" i="49"/>
  <c r="K42" i="49"/>
  <c r="I42" i="49"/>
  <c r="J42" i="49" s="1"/>
  <c r="E42" i="49"/>
  <c r="E46" i="49" s="1"/>
  <c r="E48" i="49" s="1"/>
  <c r="D42" i="49"/>
  <c r="C42" i="49"/>
  <c r="C46" i="49" s="1"/>
  <c r="B42" i="49"/>
  <c r="O41" i="49"/>
  <c r="P41" i="49" s="1"/>
  <c r="M41" i="49"/>
  <c r="N41" i="49" s="1"/>
  <c r="K41" i="49"/>
  <c r="F41" i="49"/>
  <c r="E41" i="49"/>
  <c r="D41" i="49"/>
  <c r="C41" i="49"/>
  <c r="B41" i="49"/>
  <c r="P40" i="49"/>
  <c r="O40" i="49"/>
  <c r="N40" i="49"/>
  <c r="L40" i="49"/>
  <c r="K40" i="49"/>
  <c r="I40" i="49"/>
  <c r="G40" i="49"/>
  <c r="D40" i="49"/>
  <c r="C40" i="49"/>
  <c r="B40" i="49"/>
  <c r="G36" i="49"/>
  <c r="D36" i="49"/>
  <c r="D37" i="49" s="1"/>
  <c r="B36" i="49"/>
  <c r="I35" i="49"/>
  <c r="H35" i="49"/>
  <c r="G35" i="49"/>
  <c r="F35" i="49"/>
  <c r="E35" i="49"/>
  <c r="D35" i="49"/>
  <c r="B35" i="49"/>
  <c r="I34" i="49"/>
  <c r="H34" i="49"/>
  <c r="G34" i="49"/>
  <c r="F34" i="49"/>
  <c r="E34" i="49"/>
  <c r="G44" i="49" s="1"/>
  <c r="H44" i="49" s="1"/>
  <c r="D34" i="49"/>
  <c r="C34" i="49"/>
  <c r="B34" i="49"/>
  <c r="I33" i="49"/>
  <c r="H33" i="49"/>
  <c r="G33" i="49"/>
  <c r="F33" i="49"/>
  <c r="E33" i="49"/>
  <c r="G43" i="49" s="1"/>
  <c r="H43" i="49" s="1"/>
  <c r="D33" i="49"/>
  <c r="C33" i="49"/>
  <c r="B33" i="49"/>
  <c r="I32" i="49"/>
  <c r="H32" i="49"/>
  <c r="G32" i="49"/>
  <c r="F32" i="49"/>
  <c r="D32" i="49"/>
  <c r="C32" i="49"/>
  <c r="B32" i="49"/>
  <c r="I31" i="49"/>
  <c r="H31" i="49"/>
  <c r="G31" i="49"/>
  <c r="D31" i="49"/>
  <c r="C31" i="49"/>
  <c r="B31" i="49"/>
  <c r="I30" i="49"/>
  <c r="H30" i="49"/>
  <c r="G30" i="49"/>
  <c r="F30" i="49"/>
  <c r="D30" i="49"/>
  <c r="C30" i="49"/>
  <c r="B30" i="49"/>
  <c r="G26" i="49"/>
  <c r="D26" i="49"/>
  <c r="E24" i="49"/>
  <c r="I23" i="49"/>
  <c r="H23" i="49"/>
  <c r="H24" i="49" s="1"/>
  <c r="G23" i="49"/>
  <c r="F23" i="49"/>
  <c r="E23" i="49"/>
  <c r="D23" i="49"/>
  <c r="D24" i="49" s="1"/>
  <c r="C23" i="49"/>
  <c r="C26" i="49" s="1"/>
  <c r="B23" i="49"/>
  <c r="F22" i="49"/>
  <c r="C22" i="49"/>
  <c r="C35" i="49" s="1"/>
  <c r="C20" i="49"/>
  <c r="I17" i="49"/>
  <c r="H17" i="49"/>
  <c r="H18" i="49" s="1"/>
  <c r="G17" i="49"/>
  <c r="D17" i="49"/>
  <c r="C17" i="49"/>
  <c r="B17" i="49"/>
  <c r="B26" i="49" s="1"/>
  <c r="F16" i="49"/>
  <c r="E32" i="49"/>
  <c r="G42" i="49" s="1"/>
  <c r="H42" i="49" s="1"/>
  <c r="C16" i="49"/>
  <c r="F15" i="49"/>
  <c r="I41" i="49" s="1"/>
  <c r="E31" i="49"/>
  <c r="C15" i="49"/>
  <c r="I13" i="49"/>
  <c r="H13" i="49"/>
  <c r="M40" i="49" s="1"/>
  <c r="G13" i="49"/>
  <c r="F13" i="49"/>
  <c r="E13" i="49"/>
  <c r="D13" i="49"/>
  <c r="C13" i="49"/>
  <c r="B13" i="49"/>
  <c r="N1" i="49"/>
  <c r="I26" i="49" l="1"/>
  <c r="M46" i="49"/>
  <c r="M48" i="49" s="1"/>
  <c r="P44" i="49"/>
  <c r="P43" i="49"/>
  <c r="P42" i="49"/>
  <c r="H36" i="49"/>
  <c r="H37" i="49" s="1"/>
  <c r="I36" i="49"/>
  <c r="P45" i="49"/>
  <c r="H26" i="49"/>
  <c r="H27" i="49" s="1"/>
  <c r="I24" i="49"/>
  <c r="O46" i="49"/>
  <c r="O48" i="49" s="1"/>
  <c r="I19" i="49"/>
  <c r="I18" i="49"/>
  <c r="E36" i="49"/>
  <c r="E37" i="49" s="1"/>
  <c r="G41" i="49"/>
  <c r="G46" i="49" s="1"/>
  <c r="G48" i="49" s="1"/>
  <c r="G49" i="49" s="1"/>
  <c r="G50" i="49" s="1"/>
  <c r="E17" i="49"/>
  <c r="E18" i="49" s="1"/>
  <c r="J41" i="49"/>
  <c r="J46" i="49" s="1"/>
  <c r="J48" i="49" s="1"/>
  <c r="I46" i="49"/>
  <c r="I48" i="49" s="1"/>
  <c r="I49" i="49" s="1"/>
  <c r="I50" i="49" s="1"/>
  <c r="L41" i="49"/>
  <c r="L46" i="49" s="1"/>
  <c r="L48" i="49" s="1"/>
  <c r="C48" i="49"/>
  <c r="D27" i="49"/>
  <c r="C36" i="49"/>
  <c r="E49" i="49"/>
  <c r="E50" i="49" s="1"/>
  <c r="F24" i="49"/>
  <c r="F43" i="49"/>
  <c r="F17" i="49"/>
  <c r="D18" i="49"/>
  <c r="G24" i="49"/>
  <c r="F31" i="49"/>
  <c r="F36" i="49" s="1"/>
  <c r="F42" i="49"/>
  <c r="F46" i="49" s="1"/>
  <c r="F48" i="49" s="1"/>
  <c r="N42" i="49"/>
  <c r="N46" i="49" s="1"/>
  <c r="N48" i="49" s="1"/>
  <c r="B46" i="49"/>
  <c r="B48" i="49" s="1"/>
  <c r="I25" i="49"/>
  <c r="D45" i="49"/>
  <c r="D46" i="49" s="1"/>
  <c r="D48" i="49" s="1"/>
  <c r="O49" i="49" l="1"/>
  <c r="O50" i="49" s="1"/>
  <c r="P53" i="49"/>
  <c r="H41" i="49"/>
  <c r="H46" i="49" s="1"/>
  <c r="H48" i="49" s="1"/>
  <c r="K51" i="49"/>
  <c r="I37" i="49"/>
  <c r="P46" i="49"/>
  <c r="P48" i="49" s="1"/>
  <c r="I27" i="49"/>
  <c r="E26" i="49"/>
  <c r="I53" i="49"/>
  <c r="G18" i="49"/>
  <c r="F18" i="49"/>
  <c r="K49" i="49"/>
  <c r="K50" i="49" s="1"/>
  <c r="F26" i="49"/>
  <c r="G37" i="49"/>
  <c r="F37" i="49"/>
  <c r="M50" i="49"/>
  <c r="P52" i="49" l="1"/>
  <c r="F27" i="49"/>
  <c r="G27" i="49"/>
  <c r="E85" i="122" l="1"/>
  <c r="E86" i="122"/>
  <c r="E87" i="122"/>
  <c r="E84" i="122"/>
  <c r="I176" i="123" l="1"/>
  <c r="K109" i="123"/>
  <c r="J107" i="123"/>
  <c r="J599" i="123" l="1"/>
  <c r="J596" i="123"/>
  <c r="J386" i="123"/>
  <c r="J319" i="123"/>
  <c r="J316" i="123"/>
  <c r="J249" i="123"/>
  <c r="J246" i="123"/>
  <c r="H63" i="123" l="1"/>
  <c r="I63" i="123"/>
  <c r="J63" i="123"/>
  <c r="K63" i="123"/>
  <c r="L63" i="123"/>
  <c r="M63" i="123"/>
  <c r="N63" i="123"/>
  <c r="O63" i="123"/>
  <c r="H64" i="123"/>
  <c r="I64" i="123"/>
  <c r="J64" i="123"/>
  <c r="K64" i="123"/>
  <c r="L64" i="123"/>
  <c r="M64" i="123"/>
  <c r="N64" i="123"/>
  <c r="O64" i="123"/>
  <c r="H65" i="123"/>
  <c r="I65" i="123"/>
  <c r="J65" i="123"/>
  <c r="K65" i="123"/>
  <c r="L65" i="123"/>
  <c r="M65" i="123"/>
  <c r="N65" i="123"/>
  <c r="O65" i="123"/>
  <c r="H66" i="123"/>
  <c r="I66" i="123"/>
  <c r="J66" i="123"/>
  <c r="K66" i="123"/>
  <c r="L66" i="123"/>
  <c r="M66" i="123"/>
  <c r="N66" i="123"/>
  <c r="O66" i="123"/>
  <c r="H67" i="123"/>
  <c r="I67" i="123"/>
  <c r="J67" i="123"/>
  <c r="K67" i="123"/>
  <c r="L67" i="123"/>
  <c r="M67" i="123"/>
  <c r="N67" i="123"/>
  <c r="O67" i="123"/>
  <c r="H68" i="123"/>
  <c r="I68" i="123"/>
  <c r="J68" i="123"/>
  <c r="K68" i="123"/>
  <c r="L68" i="123"/>
  <c r="M68" i="123"/>
  <c r="N68" i="123"/>
  <c r="O68" i="123"/>
  <c r="H69" i="123"/>
  <c r="I69" i="123"/>
  <c r="J69" i="123"/>
  <c r="K69" i="123"/>
  <c r="L69" i="123"/>
  <c r="M69" i="123"/>
  <c r="N69" i="123"/>
  <c r="O69" i="123"/>
  <c r="H70" i="123"/>
  <c r="I70" i="123"/>
  <c r="J70" i="123"/>
  <c r="K70" i="123"/>
  <c r="L70" i="123"/>
  <c r="M70" i="123"/>
  <c r="N70" i="123"/>
  <c r="O70" i="123"/>
  <c r="H71" i="123"/>
  <c r="I71" i="123"/>
  <c r="J71" i="123"/>
  <c r="K71" i="123"/>
  <c r="L71" i="123"/>
  <c r="M71" i="123"/>
  <c r="N71" i="123"/>
  <c r="O71" i="123"/>
  <c r="H72" i="123"/>
  <c r="I72" i="123"/>
  <c r="J72" i="123"/>
  <c r="K72" i="123"/>
  <c r="L72" i="123"/>
  <c r="M72" i="123"/>
  <c r="N72" i="123"/>
  <c r="O72" i="123"/>
  <c r="H73" i="123"/>
  <c r="I73" i="123"/>
  <c r="J73" i="123"/>
  <c r="K73" i="123"/>
  <c r="L73" i="123"/>
  <c r="M73" i="123"/>
  <c r="N73" i="123"/>
  <c r="O73" i="123"/>
  <c r="H74" i="123"/>
  <c r="I74" i="123"/>
  <c r="J74" i="123"/>
  <c r="K74" i="123"/>
  <c r="L74" i="123"/>
  <c r="M74" i="123"/>
  <c r="N74" i="123"/>
  <c r="O74" i="123"/>
  <c r="E574" i="123"/>
  <c r="H633" i="123" s="1"/>
  <c r="E573" i="123"/>
  <c r="J616" i="123" s="1"/>
  <c r="K616" i="123" s="1"/>
  <c r="E572" i="123"/>
  <c r="G615" i="123" s="1"/>
  <c r="H615" i="123" s="1"/>
  <c r="K596" i="123"/>
  <c r="E569" i="123"/>
  <c r="E568" i="123"/>
  <c r="I616" i="123"/>
  <c r="F616" i="123"/>
  <c r="G610" i="123"/>
  <c r="H610" i="123" s="1"/>
  <c r="M610" i="123" s="1"/>
  <c r="K609" i="123"/>
  <c r="L609" i="123" s="1"/>
  <c r="M609" i="123" s="1"/>
  <c r="H609" i="123"/>
  <c r="J604" i="123"/>
  <c r="K604" i="123" s="1"/>
  <c r="K602" i="123"/>
  <c r="L602" i="123" s="1"/>
  <c r="M602" i="123" s="1"/>
  <c r="J598" i="123"/>
  <c r="K598" i="123" s="1"/>
  <c r="J590" i="123"/>
  <c r="K590" i="123" s="1"/>
  <c r="K584" i="123"/>
  <c r="H584" i="123"/>
  <c r="L584" i="123" s="1"/>
  <c r="M584" i="123" s="1"/>
  <c r="K583" i="123"/>
  <c r="L583" i="123" s="1"/>
  <c r="M583" i="123" s="1"/>
  <c r="H583" i="123"/>
  <c r="L582" i="123"/>
  <c r="M582" i="123" s="1"/>
  <c r="K582" i="123"/>
  <c r="H582" i="123"/>
  <c r="K581" i="123"/>
  <c r="H581" i="123"/>
  <c r="K580" i="123"/>
  <c r="L580" i="123" s="1"/>
  <c r="M580" i="123" s="1"/>
  <c r="H580" i="123"/>
  <c r="K579" i="123"/>
  <c r="H579" i="123"/>
  <c r="A579" i="123"/>
  <c r="A580" i="123" s="1"/>
  <c r="A581" i="123" s="1"/>
  <c r="A582" i="123" s="1"/>
  <c r="A583" i="123" s="1"/>
  <c r="A584" i="123" s="1"/>
  <c r="A585" i="123" s="1"/>
  <c r="A586" i="123" s="1"/>
  <c r="A587" i="123" s="1"/>
  <c r="A588" i="123" s="1"/>
  <c r="A589" i="123" s="1"/>
  <c r="A590" i="123" s="1"/>
  <c r="A591" i="123" s="1"/>
  <c r="A592" i="123" s="1"/>
  <c r="A593" i="123" s="1"/>
  <c r="A594" i="123" s="1"/>
  <c r="A595" i="123" s="1"/>
  <c r="A596" i="123" s="1"/>
  <c r="A597" i="123" s="1"/>
  <c r="A598" i="123" s="1"/>
  <c r="A599" i="123" s="1"/>
  <c r="A600" i="123" s="1"/>
  <c r="A601" i="123" s="1"/>
  <c r="A602" i="123" s="1"/>
  <c r="A603" i="123" s="1"/>
  <c r="A604" i="123" s="1"/>
  <c r="A605" i="123" s="1"/>
  <c r="A606" i="123" s="1"/>
  <c r="A607" i="123" s="1"/>
  <c r="A608" i="123" s="1"/>
  <c r="A609" i="123" s="1"/>
  <c r="A610" i="123" s="1"/>
  <c r="E504" i="123"/>
  <c r="H563" i="123" s="1"/>
  <c r="E503" i="123"/>
  <c r="J546" i="123" s="1"/>
  <c r="K546" i="123" s="1"/>
  <c r="E502" i="123"/>
  <c r="G543" i="123" s="1"/>
  <c r="H543" i="123" s="1"/>
  <c r="J535" i="123"/>
  <c r="K535" i="123" s="1"/>
  <c r="E499" i="123"/>
  <c r="E498" i="123"/>
  <c r="I546" i="123"/>
  <c r="F546" i="123"/>
  <c r="J542" i="123"/>
  <c r="K542" i="123" s="1"/>
  <c r="G540" i="123"/>
  <c r="H540" i="123" s="1"/>
  <c r="M540" i="123" s="1"/>
  <c r="K539" i="123"/>
  <c r="L539" i="123" s="1"/>
  <c r="M539" i="123" s="1"/>
  <c r="H539" i="123"/>
  <c r="K532" i="123"/>
  <c r="H532" i="123"/>
  <c r="J524" i="123"/>
  <c r="K524" i="123" s="1"/>
  <c r="J520" i="123"/>
  <c r="K520" i="123" s="1"/>
  <c r="J516" i="123"/>
  <c r="K516" i="123" s="1"/>
  <c r="K514" i="123"/>
  <c r="H514" i="123"/>
  <c r="L514" i="123" s="1"/>
  <c r="M514" i="123" s="1"/>
  <c r="K513" i="123"/>
  <c r="L513" i="123" s="1"/>
  <c r="M513" i="123" s="1"/>
  <c r="H513" i="123"/>
  <c r="L512" i="123"/>
  <c r="M512" i="123" s="1"/>
  <c r="K512" i="123"/>
  <c r="H512" i="123"/>
  <c r="K511" i="123"/>
  <c r="L511" i="123" s="1"/>
  <c r="M511" i="123" s="1"/>
  <c r="H511" i="123"/>
  <c r="K510" i="123"/>
  <c r="H510" i="123"/>
  <c r="L510" i="123" s="1"/>
  <c r="M510" i="123" s="1"/>
  <c r="K509" i="123"/>
  <c r="L509" i="123" s="1"/>
  <c r="M509" i="123" s="1"/>
  <c r="H509" i="123"/>
  <c r="A509" i="123"/>
  <c r="A510" i="123" s="1"/>
  <c r="A511" i="123" s="1"/>
  <c r="A512" i="123" s="1"/>
  <c r="A513" i="123" s="1"/>
  <c r="A514" i="123" s="1"/>
  <c r="A515" i="123" s="1"/>
  <c r="A516" i="123" s="1"/>
  <c r="A517" i="123" s="1"/>
  <c r="A518" i="123" s="1"/>
  <c r="A519" i="123" s="1"/>
  <c r="A520" i="123" s="1"/>
  <c r="A521" i="123" s="1"/>
  <c r="A522" i="123" s="1"/>
  <c r="A523" i="123" s="1"/>
  <c r="A524" i="123" s="1"/>
  <c r="A525" i="123" s="1"/>
  <c r="A526" i="123" s="1"/>
  <c r="A527" i="123" s="1"/>
  <c r="A528" i="123" s="1"/>
  <c r="A529" i="123" s="1"/>
  <c r="A530" i="123" s="1"/>
  <c r="A531" i="123" s="1"/>
  <c r="A532" i="123" s="1"/>
  <c r="A533" i="123" s="1"/>
  <c r="A534" i="123" s="1"/>
  <c r="A535" i="123" s="1"/>
  <c r="A536" i="123" s="1"/>
  <c r="A537" i="123" s="1"/>
  <c r="A538" i="123" s="1"/>
  <c r="A539" i="123" s="1"/>
  <c r="A540" i="123" s="1"/>
  <c r="E434" i="123"/>
  <c r="H493" i="123" s="1"/>
  <c r="E433" i="123"/>
  <c r="J473" i="123" s="1"/>
  <c r="K473" i="123" s="1"/>
  <c r="E432" i="123"/>
  <c r="G475" i="123" s="1"/>
  <c r="H475" i="123" s="1"/>
  <c r="E431" i="123"/>
  <c r="E429" i="123"/>
  <c r="E428" i="123"/>
  <c r="I476" i="123"/>
  <c r="F476" i="123"/>
  <c r="G470" i="123"/>
  <c r="H470" i="123" s="1"/>
  <c r="M470" i="123" s="1"/>
  <c r="K469" i="123"/>
  <c r="H469" i="123"/>
  <c r="J467" i="123"/>
  <c r="K467" i="123" s="1"/>
  <c r="G465" i="123"/>
  <c r="H465" i="123" s="1"/>
  <c r="K462" i="123"/>
  <c r="H462" i="123"/>
  <c r="L462" i="123" s="1"/>
  <c r="M462" i="123" s="1"/>
  <c r="J454" i="123"/>
  <c r="K454" i="123" s="1"/>
  <c r="J446" i="123"/>
  <c r="K446" i="123" s="1"/>
  <c r="K444" i="123"/>
  <c r="H444" i="123"/>
  <c r="L444" i="123" s="1"/>
  <c r="M444" i="123" s="1"/>
  <c r="K443" i="123"/>
  <c r="L443" i="123" s="1"/>
  <c r="M443" i="123" s="1"/>
  <c r="H443" i="123"/>
  <c r="K442" i="123"/>
  <c r="H442" i="123"/>
  <c r="L442" i="123" s="1"/>
  <c r="M442" i="123" s="1"/>
  <c r="K441" i="123"/>
  <c r="H441" i="123"/>
  <c r="K440" i="123"/>
  <c r="H440" i="123"/>
  <c r="L440" i="123" s="1"/>
  <c r="M440" i="123" s="1"/>
  <c r="K439" i="123"/>
  <c r="H439" i="123"/>
  <c r="A439" i="123"/>
  <c r="A440" i="123" s="1"/>
  <c r="A441" i="123" s="1"/>
  <c r="A442" i="123" s="1"/>
  <c r="A443" i="123" s="1"/>
  <c r="A444" i="123" s="1"/>
  <c r="A445" i="123" s="1"/>
  <c r="A446" i="123" s="1"/>
  <c r="A447" i="123" s="1"/>
  <c r="A448" i="123" s="1"/>
  <c r="A449" i="123" s="1"/>
  <c r="A450" i="123" s="1"/>
  <c r="A451" i="123" s="1"/>
  <c r="A452" i="123" s="1"/>
  <c r="A453" i="123" s="1"/>
  <c r="A454" i="123" s="1"/>
  <c r="A455" i="123" s="1"/>
  <c r="A456" i="123" s="1"/>
  <c r="A457" i="123" s="1"/>
  <c r="A458" i="123" s="1"/>
  <c r="A459" i="123" s="1"/>
  <c r="A460" i="123" s="1"/>
  <c r="A461" i="123" s="1"/>
  <c r="A462" i="123" s="1"/>
  <c r="A463" i="123" s="1"/>
  <c r="A464" i="123" s="1"/>
  <c r="A465" i="123" s="1"/>
  <c r="A466" i="123" s="1"/>
  <c r="A467" i="123" s="1"/>
  <c r="A468" i="123" s="1"/>
  <c r="A469" i="123" s="1"/>
  <c r="A470" i="123" s="1"/>
  <c r="E364" i="123"/>
  <c r="H423" i="123" s="1"/>
  <c r="E363" i="123"/>
  <c r="J403" i="123" s="1"/>
  <c r="K403" i="123" s="1"/>
  <c r="E362" i="123"/>
  <c r="G389" i="123"/>
  <c r="H389" i="123" s="1"/>
  <c r="E359" i="123"/>
  <c r="E358" i="123"/>
  <c r="I406" i="123"/>
  <c r="F406" i="123"/>
  <c r="G403" i="123"/>
  <c r="H403" i="123" s="1"/>
  <c r="G400" i="123"/>
  <c r="H400" i="123" s="1"/>
  <c r="M400" i="123" s="1"/>
  <c r="K399" i="123"/>
  <c r="L399" i="123" s="1"/>
  <c r="M399" i="123" s="1"/>
  <c r="H399" i="123"/>
  <c r="G398" i="123"/>
  <c r="H398" i="123" s="1"/>
  <c r="G397" i="123"/>
  <c r="H397" i="123" s="1"/>
  <c r="K392" i="123"/>
  <c r="H392" i="123"/>
  <c r="F391" i="123"/>
  <c r="G391" i="123" s="1"/>
  <c r="H391" i="123" s="1"/>
  <c r="J389" i="123"/>
  <c r="K389" i="123" s="1"/>
  <c r="G387" i="123"/>
  <c r="H387" i="123" s="1"/>
  <c r="G383" i="123"/>
  <c r="H383" i="123" s="1"/>
  <c r="G380" i="123"/>
  <c r="H380" i="123" s="1"/>
  <c r="G379" i="123"/>
  <c r="H379" i="123" s="1"/>
  <c r="J377" i="123"/>
  <c r="K377" i="123" s="1"/>
  <c r="G375" i="123"/>
  <c r="H375" i="123" s="1"/>
  <c r="K374" i="123"/>
  <c r="H374" i="123"/>
  <c r="L374" i="123" s="1"/>
  <c r="M374" i="123" s="1"/>
  <c r="K373" i="123"/>
  <c r="L373" i="123" s="1"/>
  <c r="M373" i="123" s="1"/>
  <c r="H373" i="123"/>
  <c r="L372" i="123"/>
  <c r="M372" i="123" s="1"/>
  <c r="K372" i="123"/>
  <c r="H372" i="123"/>
  <c r="K371" i="123"/>
  <c r="L371" i="123" s="1"/>
  <c r="M371" i="123" s="1"/>
  <c r="H371" i="123"/>
  <c r="K370" i="123"/>
  <c r="L370" i="123" s="1"/>
  <c r="M370" i="123" s="1"/>
  <c r="H370" i="123"/>
  <c r="K369" i="123"/>
  <c r="L369" i="123" s="1"/>
  <c r="M369" i="123" s="1"/>
  <c r="H369" i="123"/>
  <c r="A369" i="123"/>
  <c r="A370" i="123" s="1"/>
  <c r="A371" i="123" s="1"/>
  <c r="A372" i="123" s="1"/>
  <c r="A373" i="123" s="1"/>
  <c r="A374" i="123" s="1"/>
  <c r="A375" i="123" s="1"/>
  <c r="A376" i="123" s="1"/>
  <c r="A377" i="123" s="1"/>
  <c r="A378" i="123" s="1"/>
  <c r="A379" i="123" s="1"/>
  <c r="A380" i="123" s="1"/>
  <c r="A381" i="123" s="1"/>
  <c r="A382" i="123" s="1"/>
  <c r="A383" i="123" s="1"/>
  <c r="A384" i="123" s="1"/>
  <c r="A385" i="123" s="1"/>
  <c r="A386" i="123" s="1"/>
  <c r="A387" i="123" s="1"/>
  <c r="A388" i="123" s="1"/>
  <c r="A389" i="123" s="1"/>
  <c r="A390" i="123" s="1"/>
  <c r="A391" i="123" s="1"/>
  <c r="A392" i="123" s="1"/>
  <c r="A393" i="123" s="1"/>
  <c r="A394" i="123" s="1"/>
  <c r="A395" i="123" s="1"/>
  <c r="A396" i="123" s="1"/>
  <c r="A397" i="123" s="1"/>
  <c r="A398" i="123" s="1"/>
  <c r="A399" i="123" s="1"/>
  <c r="A400" i="123" s="1"/>
  <c r="E294" i="123"/>
  <c r="H353" i="123" s="1"/>
  <c r="E293" i="123"/>
  <c r="J336" i="123" s="1"/>
  <c r="K336" i="123" s="1"/>
  <c r="E292" i="123"/>
  <c r="G335" i="123" s="1"/>
  <c r="H335" i="123" s="1"/>
  <c r="G324" i="123"/>
  <c r="H324" i="123" s="1"/>
  <c r="E289" i="123"/>
  <c r="E288" i="123"/>
  <c r="A299" i="123" s="1"/>
  <c r="A300" i="123" s="1"/>
  <c r="A301" i="123" s="1"/>
  <c r="A302" i="123" s="1"/>
  <c r="A303" i="123" s="1"/>
  <c r="A304" i="123" s="1"/>
  <c r="A305" i="123" s="1"/>
  <c r="A306" i="123" s="1"/>
  <c r="A307" i="123" s="1"/>
  <c r="A308" i="123" s="1"/>
  <c r="A309" i="123" s="1"/>
  <c r="A310" i="123" s="1"/>
  <c r="A311" i="123" s="1"/>
  <c r="A312" i="123" s="1"/>
  <c r="A313" i="123" s="1"/>
  <c r="A314" i="123" s="1"/>
  <c r="A315" i="123" s="1"/>
  <c r="A316" i="123" s="1"/>
  <c r="A317" i="123" s="1"/>
  <c r="A318" i="123" s="1"/>
  <c r="A319" i="123" s="1"/>
  <c r="A320" i="123" s="1"/>
  <c r="A321" i="123" s="1"/>
  <c r="A322" i="123" s="1"/>
  <c r="A323" i="123" s="1"/>
  <c r="A324" i="123" s="1"/>
  <c r="A325" i="123" s="1"/>
  <c r="A326" i="123" s="1"/>
  <c r="A327" i="123" s="1"/>
  <c r="A328" i="123" s="1"/>
  <c r="A329" i="123" s="1"/>
  <c r="A330" i="123" s="1"/>
  <c r="I336" i="123"/>
  <c r="F336" i="123"/>
  <c r="G330" i="123"/>
  <c r="H330" i="123" s="1"/>
  <c r="M330" i="123" s="1"/>
  <c r="K329" i="123"/>
  <c r="L329" i="123" s="1"/>
  <c r="M329" i="123" s="1"/>
  <c r="H329" i="123"/>
  <c r="G325" i="123"/>
  <c r="H325" i="123" s="1"/>
  <c r="K322" i="123"/>
  <c r="H322" i="123"/>
  <c r="L322" i="123" s="1"/>
  <c r="M322" i="123" s="1"/>
  <c r="F321" i="123"/>
  <c r="G321" i="123" s="1"/>
  <c r="H321" i="123" s="1"/>
  <c r="G318" i="123"/>
  <c r="H318" i="123" s="1"/>
  <c r="G314" i="123"/>
  <c r="H314" i="123" s="1"/>
  <c r="J311" i="123"/>
  <c r="K311" i="123" s="1"/>
  <c r="G309" i="123"/>
  <c r="H309" i="123" s="1"/>
  <c r="G306" i="123"/>
  <c r="H306" i="123" s="1"/>
  <c r="K304" i="123"/>
  <c r="H304" i="123"/>
  <c r="L304" i="123" s="1"/>
  <c r="M304" i="123" s="1"/>
  <c r="K303" i="123"/>
  <c r="L303" i="123" s="1"/>
  <c r="M303" i="123" s="1"/>
  <c r="H303" i="123"/>
  <c r="K302" i="123"/>
  <c r="H302" i="123"/>
  <c r="L302" i="123" s="1"/>
  <c r="M302" i="123" s="1"/>
  <c r="K301" i="123"/>
  <c r="H301" i="123"/>
  <c r="K300" i="123"/>
  <c r="H300" i="123"/>
  <c r="L300" i="123" s="1"/>
  <c r="M300" i="123" s="1"/>
  <c r="K299" i="123"/>
  <c r="L299" i="123" s="1"/>
  <c r="M299" i="123" s="1"/>
  <c r="H299" i="123"/>
  <c r="E224" i="123"/>
  <c r="H283" i="123" s="1"/>
  <c r="E223" i="123"/>
  <c r="J263" i="123" s="1"/>
  <c r="K263" i="123" s="1"/>
  <c r="E222" i="123"/>
  <c r="G255" i="123"/>
  <c r="H255" i="123" s="1"/>
  <c r="E219" i="123"/>
  <c r="E218" i="123"/>
  <c r="I266" i="123"/>
  <c r="F266" i="123"/>
  <c r="G263" i="123"/>
  <c r="H263" i="123" s="1"/>
  <c r="J262" i="123"/>
  <c r="K262" i="123" s="1"/>
  <c r="G260" i="123"/>
  <c r="H260" i="123" s="1"/>
  <c r="M260" i="123" s="1"/>
  <c r="K259" i="123"/>
  <c r="L259" i="123" s="1"/>
  <c r="M259" i="123" s="1"/>
  <c r="H259" i="123"/>
  <c r="G258" i="123"/>
  <c r="H258" i="123" s="1"/>
  <c r="K252" i="123"/>
  <c r="H252" i="123"/>
  <c r="F251" i="123"/>
  <c r="G251" i="123" s="1"/>
  <c r="H251" i="123" s="1"/>
  <c r="J248" i="123"/>
  <c r="K248" i="123" s="1"/>
  <c r="G244" i="123"/>
  <c r="H244" i="123" s="1"/>
  <c r="G241" i="123"/>
  <c r="H241" i="123" s="1"/>
  <c r="J237" i="123"/>
  <c r="K237" i="123" s="1"/>
  <c r="K234" i="123"/>
  <c r="L234" i="123" s="1"/>
  <c r="M234" i="123" s="1"/>
  <c r="H234" i="123"/>
  <c r="K233" i="123"/>
  <c r="L233" i="123" s="1"/>
  <c r="M233" i="123" s="1"/>
  <c r="H233" i="123"/>
  <c r="L232" i="123"/>
  <c r="M232" i="123" s="1"/>
  <c r="K232" i="123"/>
  <c r="H232" i="123"/>
  <c r="K231" i="123"/>
  <c r="H231" i="123"/>
  <c r="L231" i="123" s="1"/>
  <c r="M231" i="123" s="1"/>
  <c r="K230" i="123"/>
  <c r="L230" i="123" s="1"/>
  <c r="M230" i="123" s="1"/>
  <c r="H230" i="123"/>
  <c r="K229" i="123"/>
  <c r="L229" i="123" s="1"/>
  <c r="M229" i="123" s="1"/>
  <c r="H229" i="123"/>
  <c r="A229" i="123"/>
  <c r="A230" i="123" s="1"/>
  <c r="A231" i="123" s="1"/>
  <c r="A232" i="123" s="1"/>
  <c r="A233" i="123" s="1"/>
  <c r="A234" i="123" s="1"/>
  <c r="A235" i="123" s="1"/>
  <c r="A236" i="123" s="1"/>
  <c r="A237" i="123" s="1"/>
  <c r="A238" i="123" s="1"/>
  <c r="A239" i="123" s="1"/>
  <c r="A240" i="123" s="1"/>
  <c r="A241" i="123" s="1"/>
  <c r="A242" i="123" s="1"/>
  <c r="A243" i="123" s="1"/>
  <c r="A244" i="123" s="1"/>
  <c r="A245" i="123" s="1"/>
  <c r="A246" i="123" s="1"/>
  <c r="A247" i="123" s="1"/>
  <c r="A248" i="123" s="1"/>
  <c r="A249" i="123" s="1"/>
  <c r="A250" i="123" s="1"/>
  <c r="A251" i="123" s="1"/>
  <c r="A252" i="123" s="1"/>
  <c r="A253" i="123" s="1"/>
  <c r="A254" i="123" s="1"/>
  <c r="A255" i="123" s="1"/>
  <c r="A256" i="123" s="1"/>
  <c r="A257" i="123" s="1"/>
  <c r="A258" i="123" s="1"/>
  <c r="A259" i="123" s="1"/>
  <c r="A260" i="123" s="1"/>
  <c r="E154" i="123"/>
  <c r="H213" i="123" s="1"/>
  <c r="E153" i="123"/>
  <c r="J187" i="123" s="1"/>
  <c r="K187" i="123" s="1"/>
  <c r="E152" i="123"/>
  <c r="G188" i="123" s="1"/>
  <c r="H188" i="123" s="1"/>
  <c r="E151" i="123"/>
  <c r="E149" i="123"/>
  <c r="E148" i="123"/>
  <c r="I196" i="123"/>
  <c r="F196" i="123"/>
  <c r="J194" i="123"/>
  <c r="K194" i="123" s="1"/>
  <c r="G194" i="123"/>
  <c r="H194" i="123" s="1"/>
  <c r="J193" i="123"/>
  <c r="K193" i="123" s="1"/>
  <c r="G193" i="123"/>
  <c r="H193" i="123" s="1"/>
  <c r="J192" i="123"/>
  <c r="K192" i="123" s="1"/>
  <c r="G192" i="123"/>
  <c r="H192" i="123" s="1"/>
  <c r="G190" i="123"/>
  <c r="H190" i="123" s="1"/>
  <c r="M190" i="123" s="1"/>
  <c r="K189" i="123"/>
  <c r="L189" i="123" s="1"/>
  <c r="M189" i="123" s="1"/>
  <c r="H189" i="123"/>
  <c r="G187" i="123"/>
  <c r="H187" i="123" s="1"/>
  <c r="K182" i="123"/>
  <c r="L182" i="123" s="1"/>
  <c r="M182" i="123" s="1"/>
  <c r="H182" i="123"/>
  <c r="J179" i="123"/>
  <c r="K179" i="123" s="1"/>
  <c r="G178" i="123"/>
  <c r="H178" i="123" s="1"/>
  <c r="J176" i="123"/>
  <c r="K176" i="123" s="1"/>
  <c r="G172" i="123"/>
  <c r="H172" i="123" s="1"/>
  <c r="J170" i="123"/>
  <c r="K170" i="123" s="1"/>
  <c r="G169" i="123"/>
  <c r="H169" i="123" s="1"/>
  <c r="G168" i="123"/>
  <c r="H168" i="123" s="1"/>
  <c r="G167" i="123"/>
  <c r="H167" i="123" s="1"/>
  <c r="G166" i="123"/>
  <c r="H166" i="123" s="1"/>
  <c r="G165" i="123"/>
  <c r="H165" i="123" s="1"/>
  <c r="K164" i="123"/>
  <c r="L164" i="123" s="1"/>
  <c r="M164" i="123" s="1"/>
  <c r="H164" i="123"/>
  <c r="K163" i="123"/>
  <c r="L163" i="123" s="1"/>
  <c r="M163" i="123" s="1"/>
  <c r="H163" i="123"/>
  <c r="K162" i="123"/>
  <c r="H162" i="123"/>
  <c r="K161" i="123"/>
  <c r="L161" i="123" s="1"/>
  <c r="M161" i="123" s="1"/>
  <c r="H161" i="123"/>
  <c r="K160" i="123"/>
  <c r="L160" i="123" s="1"/>
  <c r="M160" i="123" s="1"/>
  <c r="H160" i="123"/>
  <c r="K159" i="123"/>
  <c r="L159" i="123" s="1"/>
  <c r="M159" i="123" s="1"/>
  <c r="H159" i="123"/>
  <c r="A159" i="123"/>
  <c r="A160" i="123" s="1"/>
  <c r="A161" i="123" s="1"/>
  <c r="A162" i="123" s="1"/>
  <c r="A163" i="123" s="1"/>
  <c r="A164" i="123" s="1"/>
  <c r="A165" i="123" s="1"/>
  <c r="A166" i="123" s="1"/>
  <c r="A167" i="123" s="1"/>
  <c r="A168" i="123" s="1"/>
  <c r="A169" i="123" s="1"/>
  <c r="A170" i="123" s="1"/>
  <c r="A171" i="123" s="1"/>
  <c r="A172" i="123" s="1"/>
  <c r="A173" i="123" s="1"/>
  <c r="A174" i="123" s="1"/>
  <c r="A175" i="123" s="1"/>
  <c r="A176" i="123" s="1"/>
  <c r="A177" i="123" s="1"/>
  <c r="A178" i="123" s="1"/>
  <c r="A179" i="123" s="1"/>
  <c r="A180" i="123" s="1"/>
  <c r="A181" i="123" s="1"/>
  <c r="A182" i="123" s="1"/>
  <c r="A183" i="123" s="1"/>
  <c r="A184" i="123" s="1"/>
  <c r="A185" i="123" s="1"/>
  <c r="A186" i="123" s="1"/>
  <c r="A187" i="123" s="1"/>
  <c r="A188" i="123" s="1"/>
  <c r="A189" i="123" s="1"/>
  <c r="A190" i="123" s="1"/>
  <c r="E84" i="123"/>
  <c r="H143" i="123" s="1"/>
  <c r="E83" i="123"/>
  <c r="E82" i="123"/>
  <c r="E81" i="123"/>
  <c r="J115" i="123" s="1"/>
  <c r="K115" i="123" s="1"/>
  <c r="G126" i="123"/>
  <c r="H126" i="123" s="1"/>
  <c r="E79" i="123"/>
  <c r="E78" i="123"/>
  <c r="J126" i="123"/>
  <c r="K126" i="123" s="1"/>
  <c r="I126" i="123"/>
  <c r="I111" i="123" s="1"/>
  <c r="J111" i="123" s="1"/>
  <c r="K111" i="123" s="1"/>
  <c r="F126" i="123"/>
  <c r="J125" i="123"/>
  <c r="K125" i="123" s="1"/>
  <c r="G125" i="123"/>
  <c r="H125" i="123" s="1"/>
  <c r="J124" i="123"/>
  <c r="K124" i="123" s="1"/>
  <c r="G124" i="123"/>
  <c r="H124" i="123" s="1"/>
  <c r="J123" i="123"/>
  <c r="K123" i="123" s="1"/>
  <c r="G123" i="123"/>
  <c r="H123" i="123" s="1"/>
  <c r="J122" i="123"/>
  <c r="K122" i="123" s="1"/>
  <c r="G122" i="123"/>
  <c r="H122" i="123" s="1"/>
  <c r="J121" i="123"/>
  <c r="K121" i="123" s="1"/>
  <c r="L121" i="123" s="1"/>
  <c r="G120" i="123"/>
  <c r="H120" i="123" s="1"/>
  <c r="M120" i="123" s="1"/>
  <c r="K119" i="123"/>
  <c r="H119" i="123"/>
  <c r="J118" i="123"/>
  <c r="K118" i="123" s="1"/>
  <c r="G118" i="123"/>
  <c r="H118" i="123" s="1"/>
  <c r="J117" i="123"/>
  <c r="K117" i="123" s="1"/>
  <c r="G117" i="123"/>
  <c r="H117" i="123" s="1"/>
  <c r="J114" i="123"/>
  <c r="K114" i="123" s="1"/>
  <c r="G114" i="123"/>
  <c r="H114" i="123" s="1"/>
  <c r="M112" i="123"/>
  <c r="L112" i="123"/>
  <c r="K112" i="123"/>
  <c r="H112" i="123"/>
  <c r="J110" i="123"/>
  <c r="K110" i="123" s="1"/>
  <c r="G110" i="123"/>
  <c r="H110" i="123" s="1"/>
  <c r="G109" i="123"/>
  <c r="H109" i="123" s="1"/>
  <c r="K108" i="123"/>
  <c r="G108" i="123"/>
  <c r="H108" i="123" s="1"/>
  <c r="K107" i="123"/>
  <c r="G107" i="123"/>
  <c r="H107" i="123" s="1"/>
  <c r="J106" i="123"/>
  <c r="K106" i="123" s="1"/>
  <c r="G106" i="123"/>
  <c r="H106" i="123" s="1"/>
  <c r="J104" i="123"/>
  <c r="K104" i="123" s="1"/>
  <c r="G104" i="123"/>
  <c r="H104" i="123" s="1"/>
  <c r="J103" i="123"/>
  <c r="K103" i="123" s="1"/>
  <c r="G103" i="123"/>
  <c r="H103" i="123" s="1"/>
  <c r="J102" i="123"/>
  <c r="K102" i="123" s="1"/>
  <c r="G102" i="123"/>
  <c r="H102" i="123" s="1"/>
  <c r="J101" i="123"/>
  <c r="K101" i="123" s="1"/>
  <c r="G101" i="123"/>
  <c r="H101" i="123" s="1"/>
  <c r="J100" i="123"/>
  <c r="K100" i="123" s="1"/>
  <c r="G100" i="123"/>
  <c r="H100" i="123" s="1"/>
  <c r="J99" i="123"/>
  <c r="K99" i="123" s="1"/>
  <c r="G99" i="123"/>
  <c r="H99" i="123" s="1"/>
  <c r="J98" i="123"/>
  <c r="K98" i="123" s="1"/>
  <c r="G98" i="123"/>
  <c r="H98" i="123" s="1"/>
  <c r="J97" i="123"/>
  <c r="K97" i="123" s="1"/>
  <c r="G97" i="123"/>
  <c r="H97" i="123" s="1"/>
  <c r="J96" i="123"/>
  <c r="K96" i="123" s="1"/>
  <c r="G96" i="123"/>
  <c r="H96" i="123" s="1"/>
  <c r="J95" i="123"/>
  <c r="K95" i="123" s="1"/>
  <c r="G95" i="123"/>
  <c r="H95" i="123" s="1"/>
  <c r="M94" i="123"/>
  <c r="L94" i="123"/>
  <c r="K94" i="123"/>
  <c r="H94" i="123"/>
  <c r="K93" i="123"/>
  <c r="L93" i="123" s="1"/>
  <c r="M93" i="123" s="1"/>
  <c r="H93" i="123"/>
  <c r="K92" i="123"/>
  <c r="H92" i="123"/>
  <c r="K91" i="123"/>
  <c r="H91" i="123"/>
  <c r="L91" i="123" s="1"/>
  <c r="M91" i="123" s="1"/>
  <c r="M90" i="123"/>
  <c r="L90" i="123"/>
  <c r="K90" i="123"/>
  <c r="H90" i="123"/>
  <c r="K89" i="123"/>
  <c r="H89" i="123"/>
  <c r="A89" i="123"/>
  <c r="A90" i="123" s="1"/>
  <c r="A91" i="123" s="1"/>
  <c r="A92" i="123" s="1"/>
  <c r="A93" i="123" s="1"/>
  <c r="A94" i="123" s="1"/>
  <c r="A95" i="123" s="1"/>
  <c r="A96" i="123" s="1"/>
  <c r="A97" i="123" s="1"/>
  <c r="A98" i="123" s="1"/>
  <c r="A99" i="123" s="1"/>
  <c r="A100" i="123" s="1"/>
  <c r="A101" i="123" s="1"/>
  <c r="A102" i="123" s="1"/>
  <c r="A103" i="123" s="1"/>
  <c r="A104" i="123" s="1"/>
  <c r="A105" i="123" s="1"/>
  <c r="A106" i="123" s="1"/>
  <c r="A107" i="123" s="1"/>
  <c r="A108" i="123" s="1"/>
  <c r="A109" i="123" s="1"/>
  <c r="A110" i="123" s="1"/>
  <c r="A111" i="123" s="1"/>
  <c r="A112" i="123" s="1"/>
  <c r="A113" i="123" s="1"/>
  <c r="A114" i="123" s="1"/>
  <c r="A115" i="123" s="1"/>
  <c r="A116" i="123" s="1"/>
  <c r="A117" i="123" s="1"/>
  <c r="A118" i="123" s="1"/>
  <c r="A119" i="123" s="1"/>
  <c r="A120" i="123" s="1"/>
  <c r="J327" i="123" l="1"/>
  <c r="K327" i="123" s="1"/>
  <c r="J333" i="123"/>
  <c r="K333" i="123" s="1"/>
  <c r="J607" i="123"/>
  <c r="J613" i="123"/>
  <c r="K613" i="123" s="1"/>
  <c r="L252" i="123"/>
  <c r="M252" i="123" s="1"/>
  <c r="L392" i="123"/>
  <c r="M392" i="123" s="1"/>
  <c r="L532" i="123"/>
  <c r="M532" i="123" s="1"/>
  <c r="L581" i="123"/>
  <c r="M581" i="123" s="1"/>
  <c r="L579" i="123"/>
  <c r="M579" i="123" s="1"/>
  <c r="L469" i="123"/>
  <c r="M469" i="123" s="1"/>
  <c r="L441" i="123"/>
  <c r="M441" i="123" s="1"/>
  <c r="L439" i="123"/>
  <c r="M439" i="123" s="1"/>
  <c r="L301" i="123"/>
  <c r="M301" i="123" s="1"/>
  <c r="L162" i="123"/>
  <c r="M162" i="123" s="1"/>
  <c r="L119" i="123"/>
  <c r="M119" i="123" s="1"/>
  <c r="L92" i="123"/>
  <c r="M92" i="123" s="1"/>
  <c r="L89" i="123"/>
  <c r="M89" i="123" s="1"/>
  <c r="J612" i="123"/>
  <c r="K612" i="123" s="1"/>
  <c r="J615" i="123"/>
  <c r="K615" i="123" s="1"/>
  <c r="L615" i="123" s="1"/>
  <c r="M615" i="123" s="1"/>
  <c r="G607" i="123"/>
  <c r="H607" i="123" s="1"/>
  <c r="G613" i="123"/>
  <c r="H613" i="123" s="1"/>
  <c r="L613" i="123" s="1"/>
  <c r="M613" i="123" s="1"/>
  <c r="G608" i="123"/>
  <c r="H608" i="123" s="1"/>
  <c r="J592" i="123"/>
  <c r="K592" i="123" s="1"/>
  <c r="L592" i="123" s="1"/>
  <c r="M592" i="123" s="1"/>
  <c r="J600" i="123"/>
  <c r="K600" i="123" s="1"/>
  <c r="J605" i="123"/>
  <c r="K605" i="123" s="1"/>
  <c r="J586" i="123"/>
  <c r="K586" i="123" s="1"/>
  <c r="J594" i="123"/>
  <c r="K594" i="123" s="1"/>
  <c r="J588" i="123"/>
  <c r="K588" i="123" s="1"/>
  <c r="J585" i="123"/>
  <c r="K585" i="123" s="1"/>
  <c r="G587" i="123"/>
  <c r="H587" i="123" s="1"/>
  <c r="G588" i="123"/>
  <c r="H588" i="123" s="1"/>
  <c r="L588" i="123" s="1"/>
  <c r="M588" i="123" s="1"/>
  <c r="J589" i="123"/>
  <c r="K589" i="123" s="1"/>
  <c r="G591" i="123"/>
  <c r="H591" i="123" s="1"/>
  <c r="G592" i="123"/>
  <c r="H592" i="123" s="1"/>
  <c r="J593" i="123"/>
  <c r="K593" i="123" s="1"/>
  <c r="G596" i="123"/>
  <c r="H596" i="123" s="1"/>
  <c r="J597" i="123"/>
  <c r="K597" i="123" s="1"/>
  <c r="G599" i="123"/>
  <c r="H599" i="123" s="1"/>
  <c r="G600" i="123"/>
  <c r="H600" i="123" s="1"/>
  <c r="G604" i="123"/>
  <c r="H604" i="123" s="1"/>
  <c r="G612" i="123"/>
  <c r="H612" i="123" s="1"/>
  <c r="J614" i="123"/>
  <c r="K614" i="123" s="1"/>
  <c r="G616" i="123"/>
  <c r="H616" i="123" s="1"/>
  <c r="G585" i="123"/>
  <c r="H585" i="123" s="1"/>
  <c r="G586" i="123"/>
  <c r="H586" i="123" s="1"/>
  <c r="L586" i="123" s="1"/>
  <c r="M586" i="123" s="1"/>
  <c r="J587" i="123"/>
  <c r="K587" i="123" s="1"/>
  <c r="L587" i="123" s="1"/>
  <c r="M587" i="123" s="1"/>
  <c r="G589" i="123"/>
  <c r="H589" i="123" s="1"/>
  <c r="G590" i="123"/>
  <c r="H590" i="123" s="1"/>
  <c r="L590" i="123" s="1"/>
  <c r="M590" i="123" s="1"/>
  <c r="J591" i="123"/>
  <c r="K591" i="123" s="1"/>
  <c r="G593" i="123"/>
  <c r="H593" i="123" s="1"/>
  <c r="G594" i="123"/>
  <c r="H594" i="123" s="1"/>
  <c r="G597" i="123"/>
  <c r="H597" i="123" s="1"/>
  <c r="G598" i="123"/>
  <c r="H598" i="123" s="1"/>
  <c r="L598" i="123" s="1"/>
  <c r="M598" i="123" s="1"/>
  <c r="K599" i="123"/>
  <c r="L599" i="123" s="1"/>
  <c r="M599" i="123" s="1"/>
  <c r="G605" i="123"/>
  <c r="H605" i="123" s="1"/>
  <c r="J608" i="123"/>
  <c r="K608" i="123" s="1"/>
  <c r="G614" i="123"/>
  <c r="H614" i="123" s="1"/>
  <c r="I601" i="123"/>
  <c r="J601" i="123" s="1"/>
  <c r="K601" i="123" s="1"/>
  <c r="F601" i="123"/>
  <c r="G601" i="123" s="1"/>
  <c r="H601" i="123" s="1"/>
  <c r="A612" i="123"/>
  <c r="A613" i="123" s="1"/>
  <c r="A614" i="123" s="1"/>
  <c r="A615" i="123" s="1"/>
  <c r="A616" i="123" s="1"/>
  <c r="A617" i="123" s="1"/>
  <c r="A618" i="123" s="1"/>
  <c r="A619" i="123" s="1"/>
  <c r="A620" i="123" s="1"/>
  <c r="A621" i="123" s="1"/>
  <c r="A622" i="123" s="1"/>
  <c r="A623" i="123" s="1"/>
  <c r="A624" i="123" s="1"/>
  <c r="A625" i="123" s="1"/>
  <c r="A626" i="123" s="1"/>
  <c r="A627" i="123" s="1"/>
  <c r="A628" i="123" s="1"/>
  <c r="A629" i="123" s="1"/>
  <c r="A630" i="123" s="1"/>
  <c r="A631" i="123" s="1"/>
  <c r="A632" i="123" s="1"/>
  <c r="A633" i="123" s="1"/>
  <c r="A634" i="123" s="1"/>
  <c r="A635" i="123" s="1"/>
  <c r="A611" i="123"/>
  <c r="L604" i="123"/>
  <c r="M604" i="123" s="1"/>
  <c r="L596" i="123"/>
  <c r="M596" i="123" s="1"/>
  <c r="L616" i="123"/>
  <c r="M616" i="123" s="1"/>
  <c r="J537" i="123"/>
  <c r="J545" i="123"/>
  <c r="K545" i="123" s="1"/>
  <c r="G538" i="123"/>
  <c r="H538" i="123" s="1"/>
  <c r="G537" i="123"/>
  <c r="H537" i="123" s="1"/>
  <c r="J518" i="123"/>
  <c r="K518" i="123" s="1"/>
  <c r="L518" i="123" s="1"/>
  <c r="M518" i="123" s="1"/>
  <c r="K526" i="123"/>
  <c r="L526" i="123" s="1"/>
  <c r="J528" i="123"/>
  <c r="K528" i="123" s="1"/>
  <c r="J534" i="123"/>
  <c r="K534" i="123" s="1"/>
  <c r="J522" i="123"/>
  <c r="K522" i="123" s="1"/>
  <c r="L522" i="123" s="1"/>
  <c r="M522" i="123" s="1"/>
  <c r="J530" i="123"/>
  <c r="K530" i="123" s="1"/>
  <c r="J515" i="123"/>
  <c r="K515" i="123" s="1"/>
  <c r="G517" i="123"/>
  <c r="H517" i="123" s="1"/>
  <c r="G518" i="123"/>
  <c r="H518" i="123" s="1"/>
  <c r="J519" i="123"/>
  <c r="K519" i="123" s="1"/>
  <c r="G521" i="123"/>
  <c r="H521" i="123" s="1"/>
  <c r="G522" i="123"/>
  <c r="H522" i="123" s="1"/>
  <c r="J523" i="123"/>
  <c r="K523" i="123" s="1"/>
  <c r="G526" i="123"/>
  <c r="H526" i="123" s="1"/>
  <c r="J527" i="123"/>
  <c r="K527" i="123" s="1"/>
  <c r="G529" i="123"/>
  <c r="H529" i="123" s="1"/>
  <c r="G530" i="123"/>
  <c r="H530" i="123" s="1"/>
  <c r="G534" i="123"/>
  <c r="H534" i="123" s="1"/>
  <c r="G542" i="123"/>
  <c r="H542" i="123" s="1"/>
  <c r="L542" i="123" s="1"/>
  <c r="M542" i="123" s="1"/>
  <c r="J544" i="123"/>
  <c r="K544" i="123" s="1"/>
  <c r="J543" i="123"/>
  <c r="K543" i="123" s="1"/>
  <c r="L543" i="123" s="1"/>
  <c r="M543" i="123" s="1"/>
  <c r="G545" i="123"/>
  <c r="H545" i="123" s="1"/>
  <c r="L545" i="123" s="1"/>
  <c r="M545" i="123" s="1"/>
  <c r="G546" i="123"/>
  <c r="H546" i="123" s="1"/>
  <c r="L546" i="123" s="1"/>
  <c r="M546" i="123" s="1"/>
  <c r="G515" i="123"/>
  <c r="H515" i="123" s="1"/>
  <c r="G516" i="123"/>
  <c r="H516" i="123" s="1"/>
  <c r="L516" i="123" s="1"/>
  <c r="M516" i="123" s="1"/>
  <c r="J517" i="123"/>
  <c r="K517" i="123" s="1"/>
  <c r="L517" i="123" s="1"/>
  <c r="M517" i="123" s="1"/>
  <c r="G519" i="123"/>
  <c r="H519" i="123" s="1"/>
  <c r="G520" i="123"/>
  <c r="H520" i="123" s="1"/>
  <c r="J521" i="123"/>
  <c r="K521" i="123" s="1"/>
  <c r="G523" i="123"/>
  <c r="H523" i="123" s="1"/>
  <c r="G524" i="123"/>
  <c r="H524" i="123" s="1"/>
  <c r="L524" i="123" s="1"/>
  <c r="M524" i="123" s="1"/>
  <c r="G527" i="123"/>
  <c r="H527" i="123" s="1"/>
  <c r="G528" i="123"/>
  <c r="H528" i="123" s="1"/>
  <c r="J529" i="123"/>
  <c r="K529" i="123" s="1"/>
  <c r="L529" i="123" s="1"/>
  <c r="G535" i="123"/>
  <c r="H535" i="123" s="1"/>
  <c r="L535" i="123" s="1"/>
  <c r="M535" i="123" s="1"/>
  <c r="J538" i="123"/>
  <c r="K538" i="123" s="1"/>
  <c r="J541" i="123"/>
  <c r="K541" i="123" s="1"/>
  <c r="L541" i="123" s="1"/>
  <c r="G544" i="123"/>
  <c r="H544" i="123" s="1"/>
  <c r="I531" i="123"/>
  <c r="J531" i="123" s="1"/>
  <c r="K531" i="123" s="1"/>
  <c r="L520" i="123"/>
  <c r="M520" i="123" s="1"/>
  <c r="F531" i="123"/>
  <c r="G531" i="123" s="1"/>
  <c r="H531" i="123" s="1"/>
  <c r="L531" i="123" s="1"/>
  <c r="M531" i="123" s="1"/>
  <c r="A542" i="123"/>
  <c r="A543" i="123" s="1"/>
  <c r="A544" i="123" s="1"/>
  <c r="A545" i="123" s="1"/>
  <c r="A546" i="123" s="1"/>
  <c r="A547" i="123" s="1"/>
  <c r="A548" i="123" s="1"/>
  <c r="A549" i="123" s="1"/>
  <c r="A550" i="123" s="1"/>
  <c r="A551" i="123" s="1"/>
  <c r="A552" i="123" s="1"/>
  <c r="A553" i="123" s="1"/>
  <c r="A554" i="123" s="1"/>
  <c r="A555" i="123" s="1"/>
  <c r="A556" i="123" s="1"/>
  <c r="A557" i="123" s="1"/>
  <c r="A558" i="123" s="1"/>
  <c r="A559" i="123" s="1"/>
  <c r="A560" i="123" s="1"/>
  <c r="A561" i="123" s="1"/>
  <c r="A562" i="123" s="1"/>
  <c r="A563" i="123" s="1"/>
  <c r="A564" i="123" s="1"/>
  <c r="A565" i="123" s="1"/>
  <c r="A541" i="123"/>
  <c r="K525" i="123"/>
  <c r="J472" i="123"/>
  <c r="K472" i="123" s="1"/>
  <c r="J476" i="123"/>
  <c r="K476" i="123" s="1"/>
  <c r="J475" i="123"/>
  <c r="K475" i="123" s="1"/>
  <c r="G467" i="123"/>
  <c r="H467" i="123" s="1"/>
  <c r="L467" i="123" s="1"/>
  <c r="M467" i="123" s="1"/>
  <c r="G473" i="123"/>
  <c r="H473" i="123" s="1"/>
  <c r="G468" i="123"/>
  <c r="H468" i="123" s="1"/>
  <c r="G464" i="123"/>
  <c r="H464" i="123" s="1"/>
  <c r="J448" i="123"/>
  <c r="K448" i="123" s="1"/>
  <c r="J456" i="123"/>
  <c r="K456" i="123" s="1"/>
  <c r="L456" i="123" s="1"/>
  <c r="J465" i="123"/>
  <c r="K465" i="123" s="1"/>
  <c r="L465" i="123" s="1"/>
  <c r="M465" i="123" s="1"/>
  <c r="J450" i="123"/>
  <c r="K450" i="123" s="1"/>
  <c r="J458" i="123"/>
  <c r="K458" i="123" s="1"/>
  <c r="J452" i="123"/>
  <c r="K452" i="123" s="1"/>
  <c r="J460" i="123"/>
  <c r="K460" i="123" s="1"/>
  <c r="G445" i="123"/>
  <c r="H445" i="123" s="1"/>
  <c r="G446" i="123"/>
  <c r="H446" i="123" s="1"/>
  <c r="L446" i="123" s="1"/>
  <c r="M446" i="123" s="1"/>
  <c r="J447" i="123"/>
  <c r="K447" i="123" s="1"/>
  <c r="G449" i="123"/>
  <c r="H449" i="123" s="1"/>
  <c r="G450" i="123"/>
  <c r="H450" i="123" s="1"/>
  <c r="L450" i="123" s="1"/>
  <c r="M450" i="123" s="1"/>
  <c r="J451" i="123"/>
  <c r="K451" i="123" s="1"/>
  <c r="G453" i="123"/>
  <c r="H453" i="123" s="1"/>
  <c r="G454" i="123"/>
  <c r="H454" i="123" s="1"/>
  <c r="G457" i="123"/>
  <c r="H457" i="123" s="1"/>
  <c r="G458" i="123"/>
  <c r="H458" i="123" s="1"/>
  <c r="J459" i="123"/>
  <c r="K459" i="123" s="1"/>
  <c r="J464" i="123"/>
  <c r="K464" i="123" s="1"/>
  <c r="G472" i="123"/>
  <c r="H472" i="123" s="1"/>
  <c r="J474" i="123"/>
  <c r="K474" i="123" s="1"/>
  <c r="L454" i="123"/>
  <c r="M454" i="123" s="1"/>
  <c r="G476" i="123"/>
  <c r="H476" i="123" s="1"/>
  <c r="L476" i="123" s="1"/>
  <c r="M476" i="123" s="1"/>
  <c r="L473" i="123"/>
  <c r="M473" i="123" s="1"/>
  <c r="J445" i="123"/>
  <c r="K445" i="123" s="1"/>
  <c r="G447" i="123"/>
  <c r="H447" i="123" s="1"/>
  <c r="G448" i="123"/>
  <c r="H448" i="123" s="1"/>
  <c r="L448" i="123" s="1"/>
  <c r="M448" i="123" s="1"/>
  <c r="J449" i="123"/>
  <c r="K449" i="123" s="1"/>
  <c r="L449" i="123" s="1"/>
  <c r="M449" i="123" s="1"/>
  <c r="G451" i="123"/>
  <c r="H451" i="123" s="1"/>
  <c r="G452" i="123"/>
  <c r="H452" i="123" s="1"/>
  <c r="L452" i="123" s="1"/>
  <c r="M452" i="123" s="1"/>
  <c r="J453" i="123"/>
  <c r="K453" i="123" s="1"/>
  <c r="G456" i="123"/>
  <c r="H456" i="123" s="1"/>
  <c r="J457" i="123"/>
  <c r="K457" i="123" s="1"/>
  <c r="G459" i="123"/>
  <c r="H459" i="123" s="1"/>
  <c r="G460" i="123"/>
  <c r="H460" i="123" s="1"/>
  <c r="L460" i="123" s="1"/>
  <c r="M460" i="123" s="1"/>
  <c r="J468" i="123"/>
  <c r="K468" i="123" s="1"/>
  <c r="L468" i="123" s="1"/>
  <c r="M468" i="123" s="1"/>
  <c r="J471" i="123"/>
  <c r="K471" i="123" s="1"/>
  <c r="L471" i="123" s="1"/>
  <c r="G474" i="123"/>
  <c r="H474" i="123" s="1"/>
  <c r="F461" i="123"/>
  <c r="G461" i="123" s="1"/>
  <c r="H461" i="123" s="1"/>
  <c r="I461" i="123"/>
  <c r="J461" i="123" s="1"/>
  <c r="K461" i="123" s="1"/>
  <c r="L475" i="123"/>
  <c r="M475" i="123" s="1"/>
  <c r="A472" i="123"/>
  <c r="A473" i="123" s="1"/>
  <c r="A474" i="123" s="1"/>
  <c r="A475" i="123" s="1"/>
  <c r="A476" i="123" s="1"/>
  <c r="A477" i="123" s="1"/>
  <c r="A478" i="123" s="1"/>
  <c r="A479" i="123" s="1"/>
  <c r="A480" i="123" s="1"/>
  <c r="A481" i="123" s="1"/>
  <c r="A482" i="123" s="1"/>
  <c r="A483" i="123" s="1"/>
  <c r="A484" i="123" s="1"/>
  <c r="A485" i="123" s="1"/>
  <c r="A486" i="123" s="1"/>
  <c r="A487" i="123" s="1"/>
  <c r="A488" i="123" s="1"/>
  <c r="A489" i="123" s="1"/>
  <c r="A490" i="123" s="1"/>
  <c r="A491" i="123" s="1"/>
  <c r="A492" i="123" s="1"/>
  <c r="A493" i="123" s="1"/>
  <c r="A494" i="123" s="1"/>
  <c r="A495" i="123" s="1"/>
  <c r="A471" i="123"/>
  <c r="J402" i="123"/>
  <c r="K402" i="123" s="1"/>
  <c r="J406" i="123"/>
  <c r="K406" i="123" s="1"/>
  <c r="J405" i="123"/>
  <c r="K405" i="123" s="1"/>
  <c r="L405" i="123" s="1"/>
  <c r="M405" i="123" s="1"/>
  <c r="J397" i="123"/>
  <c r="K397" i="123" s="1"/>
  <c r="J375" i="123"/>
  <c r="K375" i="123" s="1"/>
  <c r="L375" i="123" s="1"/>
  <c r="M375" i="123" s="1"/>
  <c r="G378" i="123"/>
  <c r="H378" i="123" s="1"/>
  <c r="G381" i="123"/>
  <c r="H381" i="123" s="1"/>
  <c r="L381" i="123" s="1"/>
  <c r="M381" i="123" s="1"/>
  <c r="J383" i="123"/>
  <c r="K383" i="123" s="1"/>
  <c r="L383" i="123" s="1"/>
  <c r="M383" i="123" s="1"/>
  <c r="J387" i="123"/>
  <c r="K387" i="123" s="1"/>
  <c r="L387" i="123" s="1"/>
  <c r="M387" i="123" s="1"/>
  <c r="G390" i="123"/>
  <c r="H390" i="123" s="1"/>
  <c r="J394" i="123"/>
  <c r="K394" i="123" s="1"/>
  <c r="L394" i="123" s="1"/>
  <c r="M394" i="123" s="1"/>
  <c r="J395" i="123"/>
  <c r="K395" i="123" s="1"/>
  <c r="G376" i="123"/>
  <c r="H376" i="123" s="1"/>
  <c r="J381" i="123"/>
  <c r="K381" i="123" s="1"/>
  <c r="G384" i="123"/>
  <c r="H384" i="123" s="1"/>
  <c r="G388" i="123"/>
  <c r="H388" i="123" s="1"/>
  <c r="G377" i="123"/>
  <c r="H377" i="123" s="1"/>
  <c r="J379" i="123"/>
  <c r="K379" i="123" s="1"/>
  <c r="L379" i="123" s="1"/>
  <c r="M379" i="123" s="1"/>
  <c r="G382" i="123"/>
  <c r="H382" i="123" s="1"/>
  <c r="G386" i="123"/>
  <c r="H386" i="123" s="1"/>
  <c r="L377" i="123"/>
  <c r="M377" i="123" s="1"/>
  <c r="L389" i="123"/>
  <c r="M389" i="123" s="1"/>
  <c r="L397" i="123"/>
  <c r="M397" i="123" s="1"/>
  <c r="J378" i="123"/>
  <c r="K378" i="123" s="1"/>
  <c r="J382" i="123"/>
  <c r="K382" i="123" s="1"/>
  <c r="K386" i="123"/>
  <c r="L386" i="123" s="1"/>
  <c r="M386" i="123" s="1"/>
  <c r="J390" i="123"/>
  <c r="K390" i="123" s="1"/>
  <c r="L390" i="123" s="1"/>
  <c r="M390" i="123" s="1"/>
  <c r="G394" i="123"/>
  <c r="H394" i="123" s="1"/>
  <c r="G402" i="123"/>
  <c r="H402" i="123" s="1"/>
  <c r="L402" i="123" s="1"/>
  <c r="M402" i="123" s="1"/>
  <c r="J404" i="123"/>
  <c r="K404" i="123" s="1"/>
  <c r="L403" i="123"/>
  <c r="M403" i="123" s="1"/>
  <c r="G405" i="123"/>
  <c r="H405" i="123" s="1"/>
  <c r="G406" i="123"/>
  <c r="H406" i="123" s="1"/>
  <c r="J376" i="123"/>
  <c r="K376" i="123" s="1"/>
  <c r="J380" i="123"/>
  <c r="K380" i="123" s="1"/>
  <c r="L380" i="123" s="1"/>
  <c r="M380" i="123" s="1"/>
  <c r="J384" i="123"/>
  <c r="K384" i="123" s="1"/>
  <c r="J388" i="123"/>
  <c r="K388" i="123" s="1"/>
  <c r="G395" i="123"/>
  <c r="H395" i="123" s="1"/>
  <c r="L395" i="123" s="1"/>
  <c r="M395" i="123" s="1"/>
  <c r="J398" i="123"/>
  <c r="K398" i="123" s="1"/>
  <c r="L398" i="123" s="1"/>
  <c r="M398" i="123" s="1"/>
  <c r="J401" i="123"/>
  <c r="K401" i="123" s="1"/>
  <c r="G404" i="123"/>
  <c r="H404" i="123" s="1"/>
  <c r="I391" i="123"/>
  <c r="J391" i="123" s="1"/>
  <c r="K391" i="123" s="1"/>
  <c r="L391" i="123" s="1"/>
  <c r="M391" i="123" s="1"/>
  <c r="A402" i="123"/>
  <c r="A403" i="123" s="1"/>
  <c r="A404" i="123" s="1"/>
  <c r="A405" i="123" s="1"/>
  <c r="A406" i="123" s="1"/>
  <c r="A407" i="123" s="1"/>
  <c r="A408" i="123" s="1"/>
  <c r="A409" i="123" s="1"/>
  <c r="A410" i="123" s="1"/>
  <c r="A411" i="123" s="1"/>
  <c r="A412" i="123" s="1"/>
  <c r="A413" i="123" s="1"/>
  <c r="A414" i="123" s="1"/>
  <c r="A415" i="123" s="1"/>
  <c r="A416" i="123" s="1"/>
  <c r="A417" i="123" s="1"/>
  <c r="A418" i="123" s="1"/>
  <c r="A419" i="123" s="1"/>
  <c r="A420" i="123" s="1"/>
  <c r="A421" i="123" s="1"/>
  <c r="A422" i="123" s="1"/>
  <c r="A423" i="123" s="1"/>
  <c r="A424" i="123" s="1"/>
  <c r="A425" i="123" s="1"/>
  <c r="A401" i="123"/>
  <c r="J332" i="123"/>
  <c r="K332" i="123" s="1"/>
  <c r="J335" i="123"/>
  <c r="K335" i="123" s="1"/>
  <c r="G327" i="123"/>
  <c r="H327" i="123" s="1"/>
  <c r="L327" i="123" s="1"/>
  <c r="M327" i="123" s="1"/>
  <c r="G333" i="123"/>
  <c r="H333" i="123" s="1"/>
  <c r="G328" i="123"/>
  <c r="H328" i="123" s="1"/>
  <c r="G307" i="123"/>
  <c r="H307" i="123" s="1"/>
  <c r="L307" i="123" s="1"/>
  <c r="M307" i="123" s="1"/>
  <c r="J309" i="123"/>
  <c r="K309" i="123" s="1"/>
  <c r="L309" i="123" s="1"/>
  <c r="M309" i="123" s="1"/>
  <c r="G312" i="123"/>
  <c r="H312" i="123" s="1"/>
  <c r="G316" i="123"/>
  <c r="H316" i="123" s="1"/>
  <c r="G319" i="123"/>
  <c r="H319" i="123" s="1"/>
  <c r="J325" i="123"/>
  <c r="K325" i="123" s="1"/>
  <c r="L325" i="123" s="1"/>
  <c r="M325" i="123" s="1"/>
  <c r="G305" i="123"/>
  <c r="H305" i="123" s="1"/>
  <c r="J307" i="123"/>
  <c r="K307" i="123" s="1"/>
  <c r="G310" i="123"/>
  <c r="H310" i="123" s="1"/>
  <c r="G313" i="123"/>
  <c r="H313" i="123" s="1"/>
  <c r="G317" i="123"/>
  <c r="H317" i="123" s="1"/>
  <c r="K319" i="123"/>
  <c r="J305" i="123"/>
  <c r="K305" i="123" s="1"/>
  <c r="G308" i="123"/>
  <c r="H308" i="123" s="1"/>
  <c r="G311" i="123"/>
  <c r="H311" i="123" s="1"/>
  <c r="L311" i="123" s="1"/>
  <c r="M311" i="123" s="1"/>
  <c r="J313" i="123"/>
  <c r="K313" i="123" s="1"/>
  <c r="J317" i="123"/>
  <c r="K317" i="123" s="1"/>
  <c r="G320" i="123"/>
  <c r="H320" i="123" s="1"/>
  <c r="J306" i="123"/>
  <c r="K306" i="123" s="1"/>
  <c r="L306" i="123" s="1"/>
  <c r="M306" i="123" s="1"/>
  <c r="J310" i="123"/>
  <c r="K310" i="123" s="1"/>
  <c r="J314" i="123"/>
  <c r="K314" i="123" s="1"/>
  <c r="L314" i="123" s="1"/>
  <c r="M314" i="123" s="1"/>
  <c r="J318" i="123"/>
  <c r="K318" i="123" s="1"/>
  <c r="L318" i="123" s="1"/>
  <c r="M318" i="123" s="1"/>
  <c r="I321" i="123"/>
  <c r="J321" i="123" s="1"/>
  <c r="K321" i="123" s="1"/>
  <c r="L321" i="123" s="1"/>
  <c r="M321" i="123" s="1"/>
  <c r="J324" i="123"/>
  <c r="K324" i="123" s="1"/>
  <c r="L324" i="123" s="1"/>
  <c r="M324" i="123" s="1"/>
  <c r="G332" i="123"/>
  <c r="H332" i="123" s="1"/>
  <c r="L332" i="123" s="1"/>
  <c r="M332" i="123" s="1"/>
  <c r="J334" i="123"/>
  <c r="K334" i="123" s="1"/>
  <c r="G336" i="123"/>
  <c r="H336" i="123" s="1"/>
  <c r="L336" i="123" s="1"/>
  <c r="M336" i="123" s="1"/>
  <c r="J308" i="123"/>
  <c r="K308" i="123" s="1"/>
  <c r="J312" i="123"/>
  <c r="K312" i="123" s="1"/>
  <c r="K316" i="123"/>
  <c r="J320" i="123"/>
  <c r="K320" i="123" s="1"/>
  <c r="J328" i="123"/>
  <c r="K328" i="123" s="1"/>
  <c r="L328" i="123" s="1"/>
  <c r="M328" i="123" s="1"/>
  <c r="J331" i="123"/>
  <c r="K331" i="123" s="1"/>
  <c r="L331" i="123" s="1"/>
  <c r="G334" i="123"/>
  <c r="H334" i="123" s="1"/>
  <c r="A332" i="123"/>
  <c r="A333" i="123" s="1"/>
  <c r="A334" i="123" s="1"/>
  <c r="A335" i="123" s="1"/>
  <c r="A336" i="123" s="1"/>
  <c r="A337" i="123" s="1"/>
  <c r="A338" i="123" s="1"/>
  <c r="A339" i="123" s="1"/>
  <c r="A340" i="123" s="1"/>
  <c r="A341" i="123" s="1"/>
  <c r="A342" i="123" s="1"/>
  <c r="A343" i="123" s="1"/>
  <c r="A344" i="123" s="1"/>
  <c r="A345" i="123" s="1"/>
  <c r="A346" i="123" s="1"/>
  <c r="A347" i="123" s="1"/>
  <c r="A348" i="123" s="1"/>
  <c r="A349" i="123" s="1"/>
  <c r="A350" i="123" s="1"/>
  <c r="A351" i="123" s="1"/>
  <c r="A352" i="123" s="1"/>
  <c r="A353" i="123" s="1"/>
  <c r="A354" i="123" s="1"/>
  <c r="A355" i="123" s="1"/>
  <c r="A331" i="123"/>
  <c r="L335" i="123"/>
  <c r="M335" i="123" s="1"/>
  <c r="J266" i="123"/>
  <c r="K266" i="123" s="1"/>
  <c r="J265" i="123"/>
  <c r="K265" i="123" s="1"/>
  <c r="J257" i="123"/>
  <c r="K257" i="123" s="1"/>
  <c r="J235" i="123"/>
  <c r="K235" i="123" s="1"/>
  <c r="J238" i="123"/>
  <c r="K238" i="123" s="1"/>
  <c r="L238" i="123" s="1"/>
  <c r="M238" i="123" s="1"/>
  <c r="J241" i="123"/>
  <c r="K241" i="123" s="1"/>
  <c r="G246" i="123"/>
  <c r="H246" i="123" s="1"/>
  <c r="K249" i="123"/>
  <c r="G236" i="123"/>
  <c r="H236" i="123" s="1"/>
  <c r="J239" i="123"/>
  <c r="K239" i="123" s="1"/>
  <c r="J242" i="123"/>
  <c r="K242" i="123" s="1"/>
  <c r="G247" i="123"/>
  <c r="H247" i="123" s="1"/>
  <c r="G250" i="123"/>
  <c r="H250" i="123" s="1"/>
  <c r="G254" i="123"/>
  <c r="H254" i="123" s="1"/>
  <c r="G237" i="123"/>
  <c r="H237" i="123" s="1"/>
  <c r="G240" i="123"/>
  <c r="H240" i="123" s="1"/>
  <c r="J243" i="123"/>
  <c r="K243" i="123" s="1"/>
  <c r="J247" i="123"/>
  <c r="K247" i="123" s="1"/>
  <c r="L237" i="123"/>
  <c r="M237" i="123" s="1"/>
  <c r="G235" i="123"/>
  <c r="H235" i="123" s="1"/>
  <c r="J236" i="123"/>
  <c r="K236" i="123" s="1"/>
  <c r="G238" i="123"/>
  <c r="H238" i="123" s="1"/>
  <c r="G243" i="123"/>
  <c r="H243" i="123" s="1"/>
  <c r="J244" i="123"/>
  <c r="K244" i="123" s="1"/>
  <c r="L244" i="123" s="1"/>
  <c r="M244" i="123" s="1"/>
  <c r="G249" i="123"/>
  <c r="H249" i="123" s="1"/>
  <c r="J250" i="123"/>
  <c r="K250" i="123" s="1"/>
  <c r="J255" i="123"/>
  <c r="K255" i="123" s="1"/>
  <c r="L255" i="123" s="1"/>
  <c r="M255" i="123" s="1"/>
  <c r="G262" i="123"/>
  <c r="H262" i="123" s="1"/>
  <c r="L262" i="123" s="1"/>
  <c r="M262" i="123" s="1"/>
  <c r="J264" i="123"/>
  <c r="K264" i="123" s="1"/>
  <c r="L263" i="123"/>
  <c r="M263" i="123" s="1"/>
  <c r="G265" i="123"/>
  <c r="H265" i="123" s="1"/>
  <c r="G266" i="123"/>
  <c r="H266" i="123" s="1"/>
  <c r="L241" i="123"/>
  <c r="M241" i="123" s="1"/>
  <c r="G239" i="123"/>
  <c r="H239" i="123" s="1"/>
  <c r="J240" i="123"/>
  <c r="K240" i="123" s="1"/>
  <c r="G242" i="123"/>
  <c r="H242" i="123" s="1"/>
  <c r="L242" i="123" s="1"/>
  <c r="M242" i="123" s="1"/>
  <c r="K246" i="123"/>
  <c r="L246" i="123" s="1"/>
  <c r="M246" i="123" s="1"/>
  <c r="G248" i="123"/>
  <c r="H248" i="123" s="1"/>
  <c r="L248" i="123" s="1"/>
  <c r="M248" i="123" s="1"/>
  <c r="I251" i="123"/>
  <c r="J251" i="123" s="1"/>
  <c r="K251" i="123" s="1"/>
  <c r="L251" i="123" s="1"/>
  <c r="M251" i="123" s="1"/>
  <c r="J254" i="123"/>
  <c r="K254" i="123" s="1"/>
  <c r="G257" i="123"/>
  <c r="H257" i="123" s="1"/>
  <c r="L257" i="123" s="1"/>
  <c r="M257" i="123" s="1"/>
  <c r="J258" i="123"/>
  <c r="K258" i="123" s="1"/>
  <c r="L258" i="123" s="1"/>
  <c r="M258" i="123" s="1"/>
  <c r="J261" i="123"/>
  <c r="K261" i="123" s="1"/>
  <c r="L261" i="123" s="1"/>
  <c r="G264" i="123"/>
  <c r="H264" i="123" s="1"/>
  <c r="A262" i="123"/>
  <c r="A263" i="123" s="1"/>
  <c r="A264" i="123" s="1"/>
  <c r="A265" i="123" s="1"/>
  <c r="A266" i="123" s="1"/>
  <c r="A267" i="123" s="1"/>
  <c r="A268" i="123" s="1"/>
  <c r="A269" i="123" s="1"/>
  <c r="A270" i="123" s="1"/>
  <c r="A271" i="123" s="1"/>
  <c r="A272" i="123" s="1"/>
  <c r="A273" i="123" s="1"/>
  <c r="A274" i="123" s="1"/>
  <c r="A275" i="123" s="1"/>
  <c r="A276" i="123" s="1"/>
  <c r="A277" i="123" s="1"/>
  <c r="A278" i="123" s="1"/>
  <c r="A279" i="123" s="1"/>
  <c r="A280" i="123" s="1"/>
  <c r="A281" i="123" s="1"/>
  <c r="A282" i="123" s="1"/>
  <c r="A283" i="123" s="1"/>
  <c r="A284" i="123" s="1"/>
  <c r="A285" i="123" s="1"/>
  <c r="A261" i="123"/>
  <c r="L236" i="123"/>
  <c r="M236" i="123" s="1"/>
  <c r="J185" i="123"/>
  <c r="K185" i="123" s="1"/>
  <c r="J188" i="123"/>
  <c r="K188" i="123" s="1"/>
  <c r="J191" i="123"/>
  <c r="K191" i="123" s="1"/>
  <c r="L191" i="123" s="1"/>
  <c r="J195" i="123"/>
  <c r="K195" i="123" s="1"/>
  <c r="J196" i="123"/>
  <c r="K196" i="123" s="1"/>
  <c r="G195" i="123"/>
  <c r="H195" i="123" s="1"/>
  <c r="G196" i="123"/>
  <c r="H196" i="123" s="1"/>
  <c r="G185" i="123"/>
  <c r="H185" i="123" s="1"/>
  <c r="J165" i="123"/>
  <c r="K165" i="123" s="1"/>
  <c r="L165" i="123" s="1"/>
  <c r="M165" i="123" s="1"/>
  <c r="J167" i="123"/>
  <c r="K167" i="123" s="1"/>
  <c r="L167" i="123" s="1"/>
  <c r="J169" i="123"/>
  <c r="K169" i="123" s="1"/>
  <c r="L169" i="123" s="1"/>
  <c r="M169" i="123" s="1"/>
  <c r="G171" i="123"/>
  <c r="H171" i="123" s="1"/>
  <c r="J172" i="123"/>
  <c r="K172" i="123" s="1"/>
  <c r="G174" i="123"/>
  <c r="H174" i="123" s="1"/>
  <c r="G177" i="123"/>
  <c r="H177" i="123" s="1"/>
  <c r="J178" i="123"/>
  <c r="K178" i="123" s="1"/>
  <c r="L178" i="123" s="1"/>
  <c r="G180" i="123"/>
  <c r="H180" i="123" s="1"/>
  <c r="G184" i="123"/>
  <c r="H184" i="123" s="1"/>
  <c r="G173" i="123"/>
  <c r="H173" i="123" s="1"/>
  <c r="J174" i="123"/>
  <c r="K174" i="123" s="1"/>
  <c r="J177" i="123"/>
  <c r="K177" i="123" s="1"/>
  <c r="G179" i="123"/>
  <c r="H179" i="123" s="1"/>
  <c r="L179" i="123" s="1"/>
  <c r="J180" i="123"/>
  <c r="K180" i="123" s="1"/>
  <c r="J184" i="123"/>
  <c r="K184" i="123" s="1"/>
  <c r="J166" i="123"/>
  <c r="K166" i="123" s="1"/>
  <c r="L166" i="123" s="1"/>
  <c r="M166" i="123" s="1"/>
  <c r="J168" i="123"/>
  <c r="K168" i="123" s="1"/>
  <c r="L168" i="123" s="1"/>
  <c r="M168" i="123" s="1"/>
  <c r="G170" i="123"/>
  <c r="H170" i="123" s="1"/>
  <c r="L170" i="123" s="1"/>
  <c r="M170" i="123" s="1"/>
  <c r="J171" i="123"/>
  <c r="K171" i="123" s="1"/>
  <c r="L171" i="123" s="1"/>
  <c r="M171" i="123" s="1"/>
  <c r="J173" i="123"/>
  <c r="K173" i="123" s="1"/>
  <c r="G176" i="123"/>
  <c r="H176" i="123" s="1"/>
  <c r="L176" i="123" s="1"/>
  <c r="L187" i="123"/>
  <c r="M187" i="123" s="1"/>
  <c r="L192" i="123"/>
  <c r="M192" i="123" s="1"/>
  <c r="L194" i="123"/>
  <c r="M194" i="123" s="1"/>
  <c r="L193" i="123"/>
  <c r="M193" i="123" s="1"/>
  <c r="I181" i="123"/>
  <c r="J181" i="123" s="1"/>
  <c r="K181" i="123" s="1"/>
  <c r="F181" i="123"/>
  <c r="G181" i="123" s="1"/>
  <c r="H181" i="123" s="1"/>
  <c r="L172" i="123"/>
  <c r="M172" i="123" s="1"/>
  <c r="L188" i="123"/>
  <c r="M188" i="123" s="1"/>
  <c r="A192" i="123"/>
  <c r="A193" i="123" s="1"/>
  <c r="A194" i="123" s="1"/>
  <c r="A195" i="123" s="1"/>
  <c r="A196" i="123" s="1"/>
  <c r="A197" i="123" s="1"/>
  <c r="A198" i="123" s="1"/>
  <c r="A199" i="123" s="1"/>
  <c r="A200" i="123" s="1"/>
  <c r="A201" i="123" s="1"/>
  <c r="A202" i="123" s="1"/>
  <c r="A203" i="123" s="1"/>
  <c r="A204" i="123" s="1"/>
  <c r="A205" i="123" s="1"/>
  <c r="A206" i="123" s="1"/>
  <c r="A207" i="123" s="1"/>
  <c r="A208" i="123" s="1"/>
  <c r="A209" i="123" s="1"/>
  <c r="A210" i="123" s="1"/>
  <c r="A211" i="123" s="1"/>
  <c r="A212" i="123" s="1"/>
  <c r="A213" i="123" s="1"/>
  <c r="A214" i="123" s="1"/>
  <c r="A215" i="123" s="1"/>
  <c r="A191" i="123"/>
  <c r="L123" i="123"/>
  <c r="M123" i="123" s="1"/>
  <c r="G115" i="123"/>
  <c r="H115" i="123" s="1"/>
  <c r="L115" i="123" s="1"/>
  <c r="M115" i="123" s="1"/>
  <c r="H105" i="123"/>
  <c r="L107" i="123"/>
  <c r="L109" i="123"/>
  <c r="L124" i="123"/>
  <c r="M124" i="123" s="1"/>
  <c r="L95" i="123"/>
  <c r="L99" i="123"/>
  <c r="M99" i="123" s="1"/>
  <c r="L101" i="123"/>
  <c r="M101" i="123" s="1"/>
  <c r="L103" i="123"/>
  <c r="M103" i="123" s="1"/>
  <c r="L108" i="123"/>
  <c r="F111" i="123"/>
  <c r="G111" i="123" s="1"/>
  <c r="H111" i="123" s="1"/>
  <c r="L111" i="123" s="1"/>
  <c r="M111" i="123" s="1"/>
  <c r="L97" i="123"/>
  <c r="M97" i="123" s="1"/>
  <c r="L98" i="123"/>
  <c r="M98" i="123" s="1"/>
  <c r="L102" i="123"/>
  <c r="M102" i="123" s="1"/>
  <c r="L114" i="123"/>
  <c r="M114" i="123" s="1"/>
  <c r="L117" i="123"/>
  <c r="M117" i="123" s="1"/>
  <c r="A121" i="123"/>
  <c r="A122" i="123"/>
  <c r="A123" i="123" s="1"/>
  <c r="A124" i="123" s="1"/>
  <c r="A125" i="123" s="1"/>
  <c r="A126" i="123" s="1"/>
  <c r="A127" i="123" s="1"/>
  <c r="A128" i="123" s="1"/>
  <c r="A129" i="123" s="1"/>
  <c r="A130" i="123" s="1"/>
  <c r="A131" i="123" s="1"/>
  <c r="A132" i="123" s="1"/>
  <c r="A133" i="123" s="1"/>
  <c r="A134" i="123" s="1"/>
  <c r="A135" i="123" s="1"/>
  <c r="A136" i="123" s="1"/>
  <c r="A137" i="123" s="1"/>
  <c r="A138" i="123" s="1"/>
  <c r="A139" i="123" s="1"/>
  <c r="A140" i="123" s="1"/>
  <c r="A141" i="123" s="1"/>
  <c r="A142" i="123" s="1"/>
  <c r="A143" i="123" s="1"/>
  <c r="A144" i="123" s="1"/>
  <c r="A145" i="123" s="1"/>
  <c r="L106" i="123"/>
  <c r="L110" i="123"/>
  <c r="M110" i="123" s="1"/>
  <c r="L125" i="123"/>
  <c r="M125" i="123" s="1"/>
  <c r="L126" i="123"/>
  <c r="M126" i="123" s="1"/>
  <c r="L96" i="123"/>
  <c r="M96" i="123" s="1"/>
  <c r="L100" i="123"/>
  <c r="M100" i="123" s="1"/>
  <c r="L104" i="123"/>
  <c r="M104" i="123" s="1"/>
  <c r="L118" i="123"/>
  <c r="M118" i="123" s="1"/>
  <c r="L122" i="123"/>
  <c r="M122" i="123" s="1"/>
  <c r="K105" i="123"/>
  <c r="L600" i="123" l="1"/>
  <c r="M600" i="123" s="1"/>
  <c r="L530" i="123"/>
  <c r="M530" i="123" s="1"/>
  <c r="L472" i="123"/>
  <c r="M472" i="123" s="1"/>
  <c r="L538" i="123"/>
  <c r="M538" i="123" s="1"/>
  <c r="L607" i="123"/>
  <c r="M607" i="123" s="1"/>
  <c r="L537" i="123"/>
  <c r="M537" i="123" s="1"/>
  <c r="K537" i="123"/>
  <c r="L266" i="123"/>
  <c r="M266" i="123" s="1"/>
  <c r="L333" i="123"/>
  <c r="M333" i="123" s="1"/>
  <c r="K607" i="123"/>
  <c r="J611" i="123"/>
  <c r="K611" i="123" s="1"/>
  <c r="L611" i="123" s="1"/>
  <c r="L250" i="123"/>
  <c r="M250" i="123" s="1"/>
  <c r="L247" i="123"/>
  <c r="M247" i="123" s="1"/>
  <c r="L239" i="123"/>
  <c r="M239" i="123" s="1"/>
  <c r="L458" i="123"/>
  <c r="L235" i="123"/>
  <c r="M235" i="123" s="1"/>
  <c r="L608" i="123"/>
  <c r="M608" i="123" s="1"/>
  <c r="K595" i="123"/>
  <c r="L595" i="123" s="1"/>
  <c r="L605" i="123"/>
  <c r="M605" i="123" s="1"/>
  <c r="L591" i="123"/>
  <c r="M591" i="123" s="1"/>
  <c r="L534" i="123"/>
  <c r="M534" i="123" s="1"/>
  <c r="L521" i="123"/>
  <c r="M521" i="123" s="1"/>
  <c r="L528" i="123"/>
  <c r="K455" i="123"/>
  <c r="K463" i="123" s="1"/>
  <c r="L453" i="123"/>
  <c r="M453" i="123" s="1"/>
  <c r="L464" i="123"/>
  <c r="M464" i="123" s="1"/>
  <c r="L457" i="123"/>
  <c r="L445" i="123"/>
  <c r="M445" i="123" s="1"/>
  <c r="L406" i="123"/>
  <c r="M406" i="123" s="1"/>
  <c r="H385" i="123"/>
  <c r="H393" i="123" s="1"/>
  <c r="L378" i="123"/>
  <c r="M378" i="123" s="1"/>
  <c r="L388" i="123"/>
  <c r="M388" i="123" s="1"/>
  <c r="L382" i="123"/>
  <c r="M382" i="123" s="1"/>
  <c r="L384" i="123"/>
  <c r="M384" i="123" s="1"/>
  <c r="L376" i="123"/>
  <c r="M376" i="123" s="1"/>
  <c r="L308" i="123"/>
  <c r="M308" i="123" s="1"/>
  <c r="H315" i="123"/>
  <c r="H323" i="123" s="1"/>
  <c r="L310" i="123"/>
  <c r="M310" i="123" s="1"/>
  <c r="L312" i="123"/>
  <c r="M312" i="123" s="1"/>
  <c r="L319" i="123"/>
  <c r="M319" i="123" s="1"/>
  <c r="L320" i="123"/>
  <c r="M320" i="123" s="1"/>
  <c r="L316" i="123"/>
  <c r="M316" i="123" s="1"/>
  <c r="L317" i="123"/>
  <c r="M317" i="123" s="1"/>
  <c r="L305" i="123"/>
  <c r="M305" i="123" s="1"/>
  <c r="K315" i="123"/>
  <c r="K323" i="123" s="1"/>
  <c r="L265" i="123"/>
  <c r="M265" i="123" s="1"/>
  <c r="K245" i="123"/>
  <c r="K253" i="123" s="1"/>
  <c r="L254" i="123"/>
  <c r="M254" i="123" s="1"/>
  <c r="L243" i="123"/>
  <c r="M243" i="123" s="1"/>
  <c r="L240" i="123"/>
  <c r="M240" i="123" s="1"/>
  <c r="L249" i="123"/>
  <c r="M249" i="123" s="1"/>
  <c r="H245" i="123"/>
  <c r="H253" i="123" s="1"/>
  <c r="L174" i="123"/>
  <c r="M174" i="123" s="1"/>
  <c r="L195" i="123"/>
  <c r="M195" i="123" s="1"/>
  <c r="L196" i="123"/>
  <c r="M196" i="123" s="1"/>
  <c r="L184" i="123"/>
  <c r="M184" i="123" s="1"/>
  <c r="L180" i="123"/>
  <c r="M180" i="123" s="1"/>
  <c r="K175" i="123"/>
  <c r="K183" i="123" s="1"/>
  <c r="H175" i="123"/>
  <c r="L173" i="123"/>
  <c r="M173" i="123" s="1"/>
  <c r="L177" i="123"/>
  <c r="M95" i="123"/>
  <c r="L612" i="123"/>
  <c r="M612" i="123" s="1"/>
  <c r="H595" i="123"/>
  <c r="L597" i="123"/>
  <c r="M597" i="123" s="1"/>
  <c r="L585" i="123"/>
  <c r="M585" i="123" s="1"/>
  <c r="L594" i="123"/>
  <c r="M594" i="123" s="1"/>
  <c r="L589" i="123"/>
  <c r="M589" i="123" s="1"/>
  <c r="H603" i="123"/>
  <c r="H606" i="123" s="1"/>
  <c r="L593" i="123"/>
  <c r="M593" i="123" s="1"/>
  <c r="L614" i="123"/>
  <c r="M614" i="123" s="1"/>
  <c r="L601" i="123"/>
  <c r="M601" i="123" s="1"/>
  <c r="H525" i="123"/>
  <c r="H533" i="123" s="1"/>
  <c r="H536" i="123" s="1"/>
  <c r="L527" i="123"/>
  <c r="L515" i="123"/>
  <c r="M515" i="123" s="1"/>
  <c r="L519" i="123"/>
  <c r="M519" i="123" s="1"/>
  <c r="L523" i="123"/>
  <c r="M523" i="123" s="1"/>
  <c r="L544" i="123"/>
  <c r="M544" i="123" s="1"/>
  <c r="K533" i="123"/>
  <c r="L461" i="123"/>
  <c r="M461" i="123" s="1"/>
  <c r="H455" i="123"/>
  <c r="L459" i="123"/>
  <c r="L447" i="123"/>
  <c r="M447" i="123" s="1"/>
  <c r="L474" i="123"/>
  <c r="M474" i="123" s="1"/>
  <c r="L451" i="123"/>
  <c r="M451" i="123" s="1"/>
  <c r="K385" i="123"/>
  <c r="K393" i="123" s="1"/>
  <c r="L404" i="123"/>
  <c r="M404" i="123" s="1"/>
  <c r="H396" i="123"/>
  <c r="L334" i="123"/>
  <c r="M334" i="123" s="1"/>
  <c r="L313" i="123"/>
  <c r="M313" i="123" s="1"/>
  <c r="L264" i="123"/>
  <c r="M264" i="123" s="1"/>
  <c r="L181" i="123"/>
  <c r="M181" i="123" s="1"/>
  <c r="L185" i="123"/>
  <c r="M185" i="123" s="1"/>
  <c r="H113" i="123"/>
  <c r="H116" i="123" s="1"/>
  <c r="L105" i="123"/>
  <c r="M105" i="123" s="1"/>
  <c r="K113" i="123"/>
  <c r="K603" i="123" l="1"/>
  <c r="L603" i="123" s="1"/>
  <c r="M603" i="123" s="1"/>
  <c r="M595" i="123"/>
  <c r="L525" i="123"/>
  <c r="M525" i="123" s="1"/>
  <c r="H463" i="123"/>
  <c r="H466" i="123" s="1"/>
  <c r="H490" i="123" s="1"/>
  <c r="L455" i="123"/>
  <c r="M455" i="123" s="1"/>
  <c r="L315" i="123"/>
  <c r="M315" i="123" s="1"/>
  <c r="L245" i="123"/>
  <c r="M245" i="123" s="1"/>
  <c r="L175" i="123"/>
  <c r="M175" i="123" s="1"/>
  <c r="H183" i="123"/>
  <c r="H186" i="123" s="1"/>
  <c r="H624" i="123"/>
  <c r="H618" i="123"/>
  <c r="H630" i="123"/>
  <c r="H560" i="123"/>
  <c r="H554" i="123"/>
  <c r="H548" i="123"/>
  <c r="K536" i="123"/>
  <c r="L533" i="123"/>
  <c r="M533" i="123" s="1"/>
  <c r="H484" i="123"/>
  <c r="K466" i="123"/>
  <c r="L385" i="123"/>
  <c r="M385" i="123" s="1"/>
  <c r="K396" i="123"/>
  <c r="K420" i="123" s="1"/>
  <c r="L393" i="123"/>
  <c r="M393" i="123" s="1"/>
  <c r="H414" i="123"/>
  <c r="H408" i="123"/>
  <c r="H420" i="123"/>
  <c r="H326" i="123"/>
  <c r="K326" i="123"/>
  <c r="K350" i="123" s="1"/>
  <c r="L323" i="123"/>
  <c r="M323" i="123" s="1"/>
  <c r="K256" i="123"/>
  <c r="K280" i="123" s="1"/>
  <c r="L253" i="123"/>
  <c r="M253" i="123" s="1"/>
  <c r="H256" i="123"/>
  <c r="K186" i="123"/>
  <c r="H140" i="123"/>
  <c r="H134" i="123"/>
  <c r="H128" i="123"/>
  <c r="K116" i="123"/>
  <c r="L113" i="123"/>
  <c r="K606" i="123" l="1"/>
  <c r="K630" i="123" s="1"/>
  <c r="L463" i="123"/>
  <c r="M463" i="123" s="1"/>
  <c r="H478" i="123"/>
  <c r="H479" i="123" s="1"/>
  <c r="H480" i="123" s="1"/>
  <c r="L183" i="123"/>
  <c r="M183" i="123" s="1"/>
  <c r="M113" i="123"/>
  <c r="H631" i="123"/>
  <c r="H632" i="123" s="1"/>
  <c r="H619" i="123"/>
  <c r="H620" i="123" s="1"/>
  <c r="H625" i="123"/>
  <c r="H626" i="123" s="1"/>
  <c r="K624" i="123"/>
  <c r="H549" i="123"/>
  <c r="H555" i="123"/>
  <c r="H561" i="123"/>
  <c r="L536" i="123"/>
  <c r="M536" i="123" s="1"/>
  <c r="K554" i="123"/>
  <c r="K548" i="123"/>
  <c r="K560" i="123"/>
  <c r="H491" i="123"/>
  <c r="H492" i="123" s="1"/>
  <c r="H485" i="123"/>
  <c r="H486" i="123" s="1"/>
  <c r="L466" i="123"/>
  <c r="M466" i="123" s="1"/>
  <c r="K490" i="123"/>
  <c r="K484" i="123"/>
  <c r="K478" i="123"/>
  <c r="H415" i="123"/>
  <c r="H421" i="123"/>
  <c r="H409" i="123"/>
  <c r="H410" i="123" s="1"/>
  <c r="L396" i="123"/>
  <c r="M396" i="123" s="1"/>
  <c r="K408" i="123"/>
  <c r="K414" i="123"/>
  <c r="L326" i="123"/>
  <c r="M326" i="123" s="1"/>
  <c r="K344" i="123"/>
  <c r="K338" i="123"/>
  <c r="H338" i="123"/>
  <c r="H344" i="123"/>
  <c r="H350" i="123"/>
  <c r="H274" i="123"/>
  <c r="H280" i="123"/>
  <c r="H268" i="123"/>
  <c r="L256" i="123"/>
  <c r="M256" i="123" s="1"/>
  <c r="K274" i="123"/>
  <c r="K268" i="123"/>
  <c r="L186" i="123"/>
  <c r="M186" i="123" s="1"/>
  <c r="K210" i="123"/>
  <c r="K204" i="123"/>
  <c r="K198" i="123"/>
  <c r="H204" i="123"/>
  <c r="H210" i="123"/>
  <c r="H198" i="123"/>
  <c r="H129" i="123"/>
  <c r="H130" i="123" s="1"/>
  <c r="H141" i="123"/>
  <c r="H135" i="123"/>
  <c r="H136" i="123" s="1"/>
  <c r="L116" i="123"/>
  <c r="M116" i="123" s="1"/>
  <c r="K128" i="123"/>
  <c r="K140" i="123"/>
  <c r="K134" i="123"/>
  <c r="L606" i="123" l="1"/>
  <c r="M606" i="123" s="1"/>
  <c r="K618" i="123"/>
  <c r="L618" i="123" s="1"/>
  <c r="M618" i="123" s="1"/>
  <c r="H627" i="123"/>
  <c r="H628" i="123" s="1"/>
  <c r="K625" i="123"/>
  <c r="L625" i="123" s="1"/>
  <c r="M625" i="123" s="1"/>
  <c r="L624" i="123"/>
  <c r="M624" i="123" s="1"/>
  <c r="H634" i="123"/>
  <c r="K631" i="123"/>
  <c r="L631" i="123" s="1"/>
  <c r="M631" i="123" s="1"/>
  <c r="L630" i="123"/>
  <c r="M630" i="123" s="1"/>
  <c r="H621" i="123"/>
  <c r="H622" i="123" s="1"/>
  <c r="K549" i="123"/>
  <c r="L549" i="123" s="1"/>
  <c r="M549" i="123" s="1"/>
  <c r="L548" i="123"/>
  <c r="M548" i="123" s="1"/>
  <c r="K555" i="123"/>
  <c r="L555" i="123" s="1"/>
  <c r="M555" i="123" s="1"/>
  <c r="L554" i="123"/>
  <c r="M554" i="123" s="1"/>
  <c r="H550" i="123"/>
  <c r="K561" i="123"/>
  <c r="L561" i="123" s="1"/>
  <c r="M561" i="123" s="1"/>
  <c r="L560" i="123"/>
  <c r="M560" i="123" s="1"/>
  <c r="H562" i="123"/>
  <c r="H556" i="123"/>
  <c r="H482" i="123"/>
  <c r="H494" i="123"/>
  <c r="K485" i="123"/>
  <c r="L485" i="123" s="1"/>
  <c r="M485" i="123" s="1"/>
  <c r="L484" i="123"/>
  <c r="M484" i="123" s="1"/>
  <c r="K491" i="123"/>
  <c r="L491" i="123" s="1"/>
  <c r="M491" i="123" s="1"/>
  <c r="L490" i="123"/>
  <c r="M490" i="123" s="1"/>
  <c r="K479" i="123"/>
  <c r="L479" i="123" s="1"/>
  <c r="M479" i="123" s="1"/>
  <c r="L478" i="123"/>
  <c r="M478" i="123" s="1"/>
  <c r="H487" i="123"/>
  <c r="H488" i="123" s="1"/>
  <c r="H411" i="123"/>
  <c r="H412" i="123" s="1"/>
  <c r="K421" i="123"/>
  <c r="L421" i="123" s="1"/>
  <c r="M421" i="123" s="1"/>
  <c r="L420" i="123"/>
  <c r="M420" i="123" s="1"/>
  <c r="K409" i="123"/>
  <c r="L409" i="123" s="1"/>
  <c r="M409" i="123" s="1"/>
  <c r="L408" i="123"/>
  <c r="M408" i="123" s="1"/>
  <c r="H422" i="123"/>
  <c r="H416" i="123"/>
  <c r="K415" i="123"/>
  <c r="L415" i="123" s="1"/>
  <c r="M415" i="123" s="1"/>
  <c r="L414" i="123"/>
  <c r="M414" i="123" s="1"/>
  <c r="H351" i="123"/>
  <c r="H352" i="123" s="1"/>
  <c r="K339" i="123"/>
  <c r="K340" i="123" s="1"/>
  <c r="L338" i="123"/>
  <c r="M338" i="123" s="1"/>
  <c r="H345" i="123"/>
  <c r="H346" i="123" s="1"/>
  <c r="K345" i="123"/>
  <c r="L344" i="123"/>
  <c r="M344" i="123" s="1"/>
  <c r="H339" i="123"/>
  <c r="K351" i="123"/>
  <c r="L350" i="123"/>
  <c r="M350" i="123" s="1"/>
  <c r="K269" i="123"/>
  <c r="L268" i="123"/>
  <c r="M268" i="123" s="1"/>
  <c r="H269" i="123"/>
  <c r="K275" i="123"/>
  <c r="L274" i="123"/>
  <c r="M274" i="123" s="1"/>
  <c r="H281" i="123"/>
  <c r="H282" i="123" s="1"/>
  <c r="K281" i="123"/>
  <c r="L280" i="123"/>
  <c r="M280" i="123" s="1"/>
  <c r="H275" i="123"/>
  <c r="H199" i="123"/>
  <c r="K199" i="123"/>
  <c r="L198" i="123"/>
  <c r="M198" i="123" s="1"/>
  <c r="H211" i="123"/>
  <c r="K205" i="123"/>
  <c r="L204" i="123"/>
  <c r="M204" i="123" s="1"/>
  <c r="H205" i="123"/>
  <c r="K211" i="123"/>
  <c r="L210" i="123"/>
  <c r="M210" i="123" s="1"/>
  <c r="H132" i="123"/>
  <c r="H137" i="123"/>
  <c r="H138" i="123" s="1"/>
  <c r="K129" i="123"/>
  <c r="L129" i="123" s="1"/>
  <c r="M129" i="123" s="1"/>
  <c r="L128" i="123"/>
  <c r="K141" i="123"/>
  <c r="L141" i="123" s="1"/>
  <c r="M141" i="123" s="1"/>
  <c r="L140" i="123"/>
  <c r="M140" i="123" s="1"/>
  <c r="H142" i="123"/>
  <c r="K135" i="123"/>
  <c r="L135" i="123" s="1"/>
  <c r="M135" i="123" s="1"/>
  <c r="L134" i="123"/>
  <c r="M134" i="123" s="1"/>
  <c r="K619" i="123" l="1"/>
  <c r="L619" i="123" s="1"/>
  <c r="M619" i="123" s="1"/>
  <c r="M128" i="123"/>
  <c r="K632" i="123"/>
  <c r="L632" i="123" s="1"/>
  <c r="M632" i="123" s="1"/>
  <c r="K626" i="123"/>
  <c r="K628" i="123" s="1"/>
  <c r="L628" i="123" s="1"/>
  <c r="M628" i="123" s="1"/>
  <c r="K620" i="123"/>
  <c r="K562" i="123"/>
  <c r="L562" i="123" s="1"/>
  <c r="M562" i="123" s="1"/>
  <c r="K556" i="123"/>
  <c r="H557" i="123"/>
  <c r="H558" i="123" s="1"/>
  <c r="H564" i="123"/>
  <c r="H552" i="123"/>
  <c r="K550" i="123"/>
  <c r="K492" i="123"/>
  <c r="L492" i="123" s="1"/>
  <c r="M492" i="123" s="1"/>
  <c r="K480" i="123"/>
  <c r="K482" i="123" s="1"/>
  <c r="L482" i="123" s="1"/>
  <c r="M482" i="123" s="1"/>
  <c r="K486" i="123"/>
  <c r="H417" i="123"/>
  <c r="H418" i="123" s="1"/>
  <c r="H424" i="123"/>
  <c r="K410" i="123"/>
  <c r="K422" i="123"/>
  <c r="K416" i="123"/>
  <c r="L351" i="123"/>
  <c r="M351" i="123" s="1"/>
  <c r="L345" i="123"/>
  <c r="M345" i="123" s="1"/>
  <c r="K342" i="123"/>
  <c r="H347" i="123"/>
  <c r="H348" i="123" s="1"/>
  <c r="K352" i="123"/>
  <c r="H354" i="123"/>
  <c r="H340" i="123"/>
  <c r="K346" i="123"/>
  <c r="L339" i="123"/>
  <c r="M339" i="123" s="1"/>
  <c r="L281" i="123"/>
  <c r="M281" i="123" s="1"/>
  <c r="H284" i="123"/>
  <c r="L275" i="123"/>
  <c r="M275" i="123" s="1"/>
  <c r="K276" i="123"/>
  <c r="L269" i="123"/>
  <c r="M269" i="123" s="1"/>
  <c r="H276" i="123"/>
  <c r="K282" i="123"/>
  <c r="H270" i="123"/>
  <c r="K270" i="123"/>
  <c r="L199" i="123"/>
  <c r="M199" i="123" s="1"/>
  <c r="L211" i="123"/>
  <c r="M211" i="123" s="1"/>
  <c r="K212" i="123"/>
  <c r="K200" i="123"/>
  <c r="L205" i="123"/>
  <c r="M205" i="123" s="1"/>
  <c r="H206" i="123"/>
  <c r="K206" i="123"/>
  <c r="H200" i="123"/>
  <c r="H212" i="123"/>
  <c r="K136" i="123"/>
  <c r="K138" i="123" s="1"/>
  <c r="L138" i="123" s="1"/>
  <c r="M138" i="123" s="1"/>
  <c r="K130" i="123"/>
  <c r="K142" i="123"/>
  <c r="H144" i="123"/>
  <c r="L136" i="123" l="1"/>
  <c r="M136" i="123" s="1"/>
  <c r="L626" i="123"/>
  <c r="M626" i="123" s="1"/>
  <c r="K634" i="123"/>
  <c r="L634" i="123" s="1"/>
  <c r="M634" i="123" s="1"/>
  <c r="K622" i="123"/>
  <c r="L622" i="123" s="1"/>
  <c r="M622" i="123" s="1"/>
  <c r="L620" i="123"/>
  <c r="M620" i="123" s="1"/>
  <c r="K564" i="123"/>
  <c r="L564" i="123" s="1"/>
  <c r="M564" i="123" s="1"/>
  <c r="K552" i="123"/>
  <c r="L552" i="123" s="1"/>
  <c r="M552" i="123" s="1"/>
  <c r="L550" i="123"/>
  <c r="M550" i="123" s="1"/>
  <c r="L556" i="123"/>
  <c r="M556" i="123" s="1"/>
  <c r="K558" i="123"/>
  <c r="L558" i="123" s="1"/>
  <c r="M558" i="123" s="1"/>
  <c r="K494" i="123"/>
  <c r="L494" i="123" s="1"/>
  <c r="M494" i="123" s="1"/>
  <c r="L480" i="123"/>
  <c r="M480" i="123" s="1"/>
  <c r="L486" i="123"/>
  <c r="M486" i="123" s="1"/>
  <c r="K488" i="123"/>
  <c r="L488" i="123" s="1"/>
  <c r="M488" i="123" s="1"/>
  <c r="L422" i="123"/>
  <c r="M422" i="123" s="1"/>
  <c r="K424" i="123"/>
  <c r="L424" i="123" s="1"/>
  <c r="M424" i="123" s="1"/>
  <c r="K412" i="123"/>
  <c r="L412" i="123" s="1"/>
  <c r="M412" i="123" s="1"/>
  <c r="L410" i="123"/>
  <c r="M410" i="123" s="1"/>
  <c r="L416" i="123"/>
  <c r="M416" i="123" s="1"/>
  <c r="K418" i="123"/>
  <c r="L418" i="123" s="1"/>
  <c r="M418" i="123" s="1"/>
  <c r="L346" i="123"/>
  <c r="M346" i="123" s="1"/>
  <c r="K348" i="123"/>
  <c r="L348" i="123" s="1"/>
  <c r="M348" i="123" s="1"/>
  <c r="H341" i="123"/>
  <c r="H342" i="123" s="1"/>
  <c r="L352" i="123"/>
  <c r="M352" i="123" s="1"/>
  <c r="K354" i="123"/>
  <c r="L354" i="123" s="1"/>
  <c r="M354" i="123" s="1"/>
  <c r="L340" i="123"/>
  <c r="M340" i="123" s="1"/>
  <c r="L276" i="123"/>
  <c r="M276" i="123" s="1"/>
  <c r="K278" i="123"/>
  <c r="H271" i="123"/>
  <c r="H272" i="123" s="1"/>
  <c r="L282" i="123"/>
  <c r="M282" i="123" s="1"/>
  <c r="K284" i="123"/>
  <c r="L284" i="123" s="1"/>
  <c r="M284" i="123" s="1"/>
  <c r="K272" i="123"/>
  <c r="L270" i="123"/>
  <c r="M270" i="123" s="1"/>
  <c r="H277" i="123"/>
  <c r="H278" i="123" s="1"/>
  <c r="L206" i="123"/>
  <c r="M206" i="123" s="1"/>
  <c r="K208" i="123"/>
  <c r="H207" i="123"/>
  <c r="H208" i="123" s="1"/>
  <c r="H214" i="123"/>
  <c r="K202" i="123"/>
  <c r="L200" i="123"/>
  <c r="M200" i="123" s="1"/>
  <c r="H202" i="123"/>
  <c r="L212" i="123"/>
  <c r="M212" i="123" s="1"/>
  <c r="K214" i="123"/>
  <c r="K132" i="123"/>
  <c r="L132" i="123" s="1"/>
  <c r="M132" i="123" s="1"/>
  <c r="L130" i="123"/>
  <c r="L142" i="123"/>
  <c r="M142" i="123" s="1"/>
  <c r="K144" i="123"/>
  <c r="L144" i="123" s="1"/>
  <c r="M144" i="123" l="1"/>
  <c r="M130" i="123"/>
  <c r="L342" i="123"/>
  <c r="M342" i="123" s="1"/>
  <c r="L272" i="123"/>
  <c r="M272" i="123" s="1"/>
  <c r="L278" i="123"/>
  <c r="M278" i="123" s="1"/>
  <c r="L214" i="123"/>
  <c r="H57" i="123" s="1"/>
  <c r="L202" i="123"/>
  <c r="M202" i="123" s="1"/>
  <c r="L208" i="123"/>
  <c r="M208" i="123" s="1"/>
  <c r="M214" i="123" l="1"/>
  <c r="I56" i="123" s="1"/>
  <c r="N56" i="123"/>
  <c r="H59" i="123"/>
  <c r="L61" i="123"/>
  <c r="N58" i="123"/>
  <c r="H60" i="123"/>
  <c r="H61" i="123"/>
  <c r="J62" i="123"/>
  <c r="L58" i="123"/>
  <c r="L62" i="123"/>
  <c r="H62" i="123"/>
  <c r="L59" i="123"/>
  <c r="N59" i="123"/>
  <c r="J55" i="123"/>
  <c r="J56" i="123"/>
  <c r="J57" i="123"/>
  <c r="N60" i="123"/>
  <c r="J58" i="123"/>
  <c r="J59" i="123"/>
  <c r="L57" i="123"/>
  <c r="L60" i="123"/>
  <c r="L55" i="123"/>
  <c r="H58" i="123"/>
  <c r="N57" i="123"/>
  <c r="N62" i="123"/>
  <c r="J60" i="123"/>
  <c r="J61" i="123"/>
  <c r="N61" i="123"/>
  <c r="L56" i="123"/>
  <c r="H56" i="123"/>
  <c r="H55" i="123"/>
  <c r="N55" i="123"/>
  <c r="M57" i="123"/>
  <c r="M56" i="123" l="1"/>
  <c r="K61" i="123"/>
  <c r="O62" i="123"/>
  <c r="K60" i="123"/>
  <c r="I61" i="123"/>
  <c r="O60" i="123"/>
  <c r="I60" i="123"/>
  <c r="M59" i="123"/>
  <c r="I59" i="123"/>
  <c r="M60" i="123"/>
  <c r="O58" i="123"/>
  <c r="K55" i="123"/>
  <c r="M55" i="123"/>
  <c r="I57" i="123"/>
  <c r="M62" i="123"/>
  <c r="M58" i="123"/>
  <c r="K58" i="123"/>
  <c r="K56" i="123"/>
  <c r="O61" i="123"/>
  <c r="M61" i="123"/>
  <c r="O56" i="123"/>
  <c r="K59" i="123"/>
  <c r="I55" i="123"/>
  <c r="O55" i="123"/>
  <c r="K62" i="123"/>
  <c r="I62" i="123"/>
  <c r="K57" i="123"/>
  <c r="O59" i="123"/>
  <c r="O57" i="123"/>
  <c r="I58" i="123"/>
  <c r="E17" i="30"/>
  <c r="C29" i="14" l="1"/>
  <c r="C27" i="14"/>
  <c r="C28" i="14"/>
  <c r="C30" i="14"/>
  <c r="C31" i="14"/>
  <c r="E30" i="14"/>
  <c r="F30" i="14"/>
  <c r="G30" i="14"/>
  <c r="H30" i="14"/>
  <c r="J30" i="14"/>
  <c r="D30" i="14"/>
  <c r="G151" i="14" l="1"/>
  <c r="G140" i="14"/>
  <c r="G129" i="14"/>
  <c r="G118" i="14"/>
  <c r="G102" i="14"/>
  <c r="G89" i="14"/>
  <c r="G79" i="14"/>
  <c r="G63" i="14"/>
  <c r="G68" i="14" s="1"/>
  <c r="G57" i="14"/>
  <c r="G51" i="14"/>
  <c r="G62" i="14" s="1"/>
  <c r="G50" i="14"/>
  <c r="G61" i="14" s="1"/>
  <c r="G29" i="14"/>
  <c r="G28" i="14"/>
  <c r="G27" i="14"/>
  <c r="G12" i="14"/>
  <c r="G49" i="14" s="1"/>
  <c r="G60" i="14" s="1"/>
  <c r="G81" i="14" l="1"/>
  <c r="G92" i="14" s="1"/>
  <c r="G105" i="14" s="1"/>
  <c r="G121" i="14" s="1"/>
  <c r="G132" i="14" s="1"/>
  <c r="G143" i="14" s="1"/>
  <c r="G71" i="14"/>
  <c r="G82" i="14"/>
  <c r="G93" i="14" s="1"/>
  <c r="G106" i="14" s="1"/>
  <c r="G122" i="14" s="1"/>
  <c r="G133" i="14" s="1"/>
  <c r="G144" i="14" s="1"/>
  <c r="G72" i="14"/>
  <c r="G83" i="14"/>
  <c r="G94" i="14" s="1"/>
  <c r="G107" i="14" s="1"/>
  <c r="G123" i="14" s="1"/>
  <c r="G134" i="14" s="1"/>
  <c r="G145" i="14" s="1"/>
  <c r="G73" i="14"/>
  <c r="G31" i="14"/>
  <c r="H110" i="6" l="1"/>
  <c r="F39" i="12" l="1"/>
  <c r="E39" i="12"/>
  <c r="O94" i="109" l="1"/>
  <c r="P94" i="109"/>
  <c r="Q94" i="109"/>
  <c r="M94" i="109"/>
  <c r="G14" i="20" l="1"/>
  <c r="F14" i="20"/>
  <c r="E14" i="20"/>
  <c r="D14" i="20"/>
  <c r="G186" i="11" l="1"/>
  <c r="F40" i="12" l="1"/>
  <c r="F38" i="12"/>
  <c r="F36" i="12"/>
  <c r="F35" i="12"/>
  <c r="E40" i="12"/>
  <c r="F41" i="12" l="1"/>
  <c r="B13" i="105"/>
  <c r="J46" i="105"/>
  <c r="I46" i="105"/>
  <c r="J45" i="105"/>
  <c r="I45" i="105"/>
  <c r="J44" i="105"/>
  <c r="I44" i="105"/>
  <c r="J43" i="105"/>
  <c r="I43" i="105"/>
  <c r="J42" i="105"/>
  <c r="I42" i="105"/>
  <c r="J41" i="105"/>
  <c r="I41" i="105"/>
  <c r="J37" i="105"/>
  <c r="I37" i="105"/>
  <c r="J36" i="105"/>
  <c r="I36" i="105"/>
  <c r="J35" i="105"/>
  <c r="I35" i="105"/>
  <c r="J31" i="105"/>
  <c r="I31" i="105"/>
  <c r="J30" i="105"/>
  <c r="I30" i="105"/>
  <c r="J29" i="105"/>
  <c r="I29" i="105"/>
  <c r="J28" i="105"/>
  <c r="I28" i="105"/>
  <c r="J27" i="105"/>
  <c r="I27" i="105"/>
  <c r="J26" i="105"/>
  <c r="I26" i="105"/>
  <c r="J22" i="105"/>
  <c r="J21" i="105"/>
  <c r="J20" i="105"/>
  <c r="J19" i="105"/>
  <c r="J18" i="105"/>
  <c r="J17" i="105"/>
  <c r="J16" i="105"/>
  <c r="I22" i="105"/>
  <c r="I21" i="105"/>
  <c r="I20" i="105"/>
  <c r="I19" i="105"/>
  <c r="I18" i="105"/>
  <c r="I17" i="105"/>
  <c r="I16" i="105"/>
  <c r="C51" i="105" l="1"/>
  <c r="D51" i="105"/>
  <c r="E51" i="105"/>
  <c r="F51" i="105"/>
  <c r="G51" i="105"/>
  <c r="H51" i="105"/>
  <c r="B51" i="105"/>
  <c r="J49" i="105"/>
  <c r="I49" i="105"/>
  <c r="J47" i="105"/>
  <c r="I47" i="105"/>
  <c r="G1" i="18"/>
  <c r="M29" i="80"/>
  <c r="L29" i="80"/>
  <c r="I29" i="80"/>
  <c r="H29" i="80"/>
  <c r="G29" i="80"/>
  <c r="F29" i="80"/>
  <c r="E29" i="80"/>
  <c r="N28" i="80"/>
  <c r="P28" i="80" s="1"/>
  <c r="N27" i="80"/>
  <c r="P27" i="80" s="1"/>
  <c r="N26" i="80"/>
  <c r="P26" i="80" s="1"/>
  <c r="N25" i="80"/>
  <c r="P25" i="80" s="1"/>
  <c r="N24" i="80"/>
  <c r="P24" i="80" s="1"/>
  <c r="O23" i="80"/>
  <c r="K23" i="80"/>
  <c r="K29" i="80" s="1"/>
  <c r="N22" i="80"/>
  <c r="P22" i="80" s="1"/>
  <c r="N21" i="80"/>
  <c r="P21" i="80" s="1"/>
  <c r="N20" i="80"/>
  <c r="P20" i="80" s="1"/>
  <c r="N19" i="80"/>
  <c r="P19" i="80" s="1"/>
  <c r="N18" i="80"/>
  <c r="P18" i="80" s="1"/>
  <c r="N17" i="80"/>
  <c r="Q2" i="80"/>
  <c r="N29" i="80" l="1"/>
  <c r="P17" i="80"/>
  <c r="P29" i="80" s="1"/>
  <c r="N23" i="80"/>
  <c r="P23" i="80" s="1"/>
  <c r="H30" i="6"/>
  <c r="J30" i="6"/>
  <c r="I30" i="6" s="1"/>
  <c r="F123" i="6"/>
  <c r="J130" i="6"/>
  <c r="H130" i="6"/>
  <c r="J79" i="6"/>
  <c r="J86" i="6" s="1"/>
  <c r="I130" i="6" l="1"/>
  <c r="J74" i="14" l="1"/>
  <c r="H79" i="14"/>
  <c r="F79" i="14"/>
  <c r="D79" i="14"/>
  <c r="J79" i="14"/>
  <c r="I79" i="14"/>
  <c r="E79" i="14"/>
  <c r="J29" i="14"/>
  <c r="B195" i="11"/>
  <c r="B191" i="11"/>
  <c r="B166" i="11"/>
  <c r="B171" i="11"/>
  <c r="B144" i="11"/>
  <c r="B140" i="11"/>
  <c r="B136" i="11"/>
  <c r="B118" i="11"/>
  <c r="B80" i="11"/>
  <c r="B75" i="11"/>
  <c r="B66" i="11"/>
  <c r="B57" i="11"/>
  <c r="B145" i="11" l="1"/>
  <c r="B81" i="11"/>
  <c r="B172" i="11"/>
  <c r="B198" i="11" l="1"/>
  <c r="B200" i="11" s="1"/>
  <c r="E41" i="12"/>
  <c r="J27" i="12"/>
  <c r="J26" i="12"/>
  <c r="H26" i="12"/>
  <c r="H27" i="12"/>
  <c r="G26" i="12"/>
  <c r="G28" i="12" s="1"/>
  <c r="G27" i="12"/>
  <c r="F27" i="12"/>
  <c r="F26" i="12"/>
  <c r="F24" i="12"/>
  <c r="D17" i="20"/>
  <c r="E17" i="20"/>
  <c r="F17" i="20"/>
  <c r="E18" i="20"/>
  <c r="E12" i="20"/>
  <c r="C17" i="20"/>
  <c r="H28" i="12" l="1"/>
  <c r="D26" i="5" l="1"/>
  <c r="D27" i="5"/>
  <c r="D24" i="5"/>
  <c r="D20" i="5"/>
  <c r="D28" i="5" s="1"/>
  <c r="D16" i="5"/>
  <c r="E15" i="5"/>
  <c r="D15" i="5"/>
  <c r="C15" i="5"/>
  <c r="B16" i="5"/>
  <c r="B15" i="5"/>
  <c r="D12" i="5"/>
  <c r="J48" i="105" l="1"/>
  <c r="I48" i="105"/>
  <c r="D13" i="105"/>
  <c r="C13" i="15"/>
  <c r="I89" i="14" l="1"/>
  <c r="H89" i="14"/>
  <c r="J63" i="14"/>
  <c r="I63" i="14"/>
  <c r="I68" i="14" s="1"/>
  <c r="H63" i="14"/>
  <c r="H68" i="14" s="1"/>
  <c r="F63" i="14"/>
  <c r="F68" i="14" s="1"/>
  <c r="E63" i="14"/>
  <c r="J151" i="14"/>
  <c r="I151" i="14"/>
  <c r="H151" i="14"/>
  <c r="F151" i="14"/>
  <c r="E151" i="14"/>
  <c r="D151" i="14"/>
  <c r="J140" i="14"/>
  <c r="I140" i="14"/>
  <c r="H140" i="14"/>
  <c r="F140" i="14"/>
  <c r="E140" i="14"/>
  <c r="D140" i="14"/>
  <c r="J129" i="14"/>
  <c r="I129" i="14"/>
  <c r="H129" i="14"/>
  <c r="F129" i="14"/>
  <c r="E129" i="14"/>
  <c r="D129" i="14"/>
  <c r="J118" i="14"/>
  <c r="I118" i="14"/>
  <c r="H118" i="14"/>
  <c r="F118" i="14"/>
  <c r="E118" i="14"/>
  <c r="D118" i="14"/>
  <c r="E93" i="14"/>
  <c r="E106" i="14" s="1"/>
  <c r="E122" i="14" s="1"/>
  <c r="E133" i="14" s="1"/>
  <c r="E144" i="14" s="1"/>
  <c r="E82" i="14"/>
  <c r="J102" i="14"/>
  <c r="I102" i="14"/>
  <c r="H102" i="14"/>
  <c r="F102" i="14"/>
  <c r="E102" i="14"/>
  <c r="D102" i="14"/>
  <c r="E61" i="14"/>
  <c r="E72" i="14" s="1"/>
  <c r="F61" i="14"/>
  <c r="F72" i="14" s="1"/>
  <c r="D61" i="14"/>
  <c r="D72" i="14" s="1"/>
  <c r="J89" i="14"/>
  <c r="F89" i="14"/>
  <c r="E89" i="14"/>
  <c r="D89" i="14"/>
  <c r="J68" i="14"/>
  <c r="E68" i="14"/>
  <c r="D68" i="14"/>
  <c r="E29" i="14"/>
  <c r="F29" i="14"/>
  <c r="H29" i="14"/>
  <c r="D29" i="14"/>
  <c r="K33" i="53"/>
  <c r="F33" i="53"/>
  <c r="K32" i="53"/>
  <c r="F32" i="53"/>
  <c r="D82" i="14" l="1"/>
  <c r="D93" i="14" s="1"/>
  <c r="D106" i="14" s="1"/>
  <c r="D122" i="14" s="1"/>
  <c r="D133" i="14" s="1"/>
  <c r="D144" i="14" s="1"/>
  <c r="F82" i="14"/>
  <c r="F93" i="14" s="1"/>
  <c r="F106" i="14" s="1"/>
  <c r="F122" i="14" s="1"/>
  <c r="F133" i="14" s="1"/>
  <c r="F144" i="14" s="1"/>
  <c r="C38" i="71"/>
  <c r="D38" i="71"/>
  <c r="B38" i="71"/>
  <c r="E38" i="71"/>
  <c r="F38" i="71" l="1"/>
  <c r="D50" i="71"/>
  <c r="C50" i="71"/>
  <c r="B50" i="71"/>
  <c r="D42" i="88" l="1"/>
  <c r="C43" i="88"/>
  <c r="E43" i="121" l="1"/>
  <c r="I43" i="90"/>
  <c r="E43" i="90"/>
  <c r="I43" i="89"/>
  <c r="E43" i="89"/>
  <c r="M43" i="88"/>
  <c r="K43" i="88"/>
  <c r="I43" i="88"/>
  <c r="H43" i="88"/>
  <c r="G43" i="88"/>
  <c r="P57" i="88"/>
  <c r="O55" i="109"/>
  <c r="M55" i="109"/>
  <c r="Q55" i="109"/>
  <c r="P55" i="109"/>
  <c r="O43" i="88" l="1"/>
  <c r="J43" i="88"/>
  <c r="L43" i="88" s="1"/>
  <c r="J33" i="89"/>
  <c r="G56" i="121"/>
  <c r="G18" i="121"/>
  <c r="G19" i="121"/>
  <c r="G20" i="121"/>
  <c r="G21" i="121"/>
  <c r="G22" i="121"/>
  <c r="G23" i="121"/>
  <c r="G24" i="121"/>
  <c r="G25" i="121"/>
  <c r="G28" i="121"/>
  <c r="G29" i="121"/>
  <c r="G30" i="121"/>
  <c r="G31" i="121"/>
  <c r="G32" i="121"/>
  <c r="G33" i="121"/>
  <c r="G34" i="121"/>
  <c r="G35" i="121"/>
  <c r="G36" i="121"/>
  <c r="G37" i="121"/>
  <c r="G38" i="121"/>
  <c r="G39" i="121"/>
  <c r="G40" i="121"/>
  <c r="G41" i="121"/>
  <c r="G42" i="121"/>
  <c r="G44" i="121"/>
  <c r="G45" i="121"/>
  <c r="G46" i="121"/>
  <c r="G47" i="121"/>
  <c r="G48" i="121"/>
  <c r="G49" i="121"/>
  <c r="G50" i="121"/>
  <c r="G51" i="121"/>
  <c r="G52" i="121"/>
  <c r="G53" i="121"/>
  <c r="G54" i="121"/>
  <c r="G55" i="121"/>
  <c r="G17" i="121"/>
  <c r="C56" i="121"/>
  <c r="C18" i="121"/>
  <c r="C19" i="121"/>
  <c r="C20" i="121"/>
  <c r="C21" i="121"/>
  <c r="C22" i="121"/>
  <c r="C23" i="121"/>
  <c r="C24" i="121"/>
  <c r="C25" i="121"/>
  <c r="C26" i="121"/>
  <c r="C27" i="121"/>
  <c r="C28" i="121"/>
  <c r="C29" i="121"/>
  <c r="C30" i="121"/>
  <c r="C31" i="121"/>
  <c r="C32" i="121"/>
  <c r="C33" i="121"/>
  <c r="C34" i="121"/>
  <c r="C35" i="121"/>
  <c r="C36" i="121"/>
  <c r="C37" i="121"/>
  <c r="C38" i="121"/>
  <c r="C39" i="121"/>
  <c r="C40" i="121"/>
  <c r="C41" i="121"/>
  <c r="C44" i="121"/>
  <c r="C45" i="121"/>
  <c r="C46" i="121"/>
  <c r="C47" i="121"/>
  <c r="C48" i="121"/>
  <c r="C49" i="121"/>
  <c r="C50" i="121"/>
  <c r="C51" i="121"/>
  <c r="C52" i="121"/>
  <c r="C53" i="121"/>
  <c r="C54" i="121"/>
  <c r="C55" i="121"/>
  <c r="C17" i="121"/>
  <c r="G56" i="90"/>
  <c r="G18" i="90"/>
  <c r="G19" i="90"/>
  <c r="G20" i="90"/>
  <c r="G21" i="90"/>
  <c r="G22" i="90"/>
  <c r="G23" i="90"/>
  <c r="G24" i="90"/>
  <c r="G25" i="90"/>
  <c r="G26" i="90"/>
  <c r="G27" i="90"/>
  <c r="G28" i="90"/>
  <c r="G29" i="90"/>
  <c r="G30" i="90"/>
  <c r="G31" i="90"/>
  <c r="G32" i="90"/>
  <c r="G33" i="90"/>
  <c r="G34" i="90"/>
  <c r="G35" i="90"/>
  <c r="G36" i="90"/>
  <c r="G37" i="90"/>
  <c r="G38" i="90"/>
  <c r="G39" i="90"/>
  <c r="G40" i="90"/>
  <c r="G41" i="90"/>
  <c r="G44" i="90"/>
  <c r="G45" i="90"/>
  <c r="G46" i="90"/>
  <c r="G47" i="90"/>
  <c r="G48" i="90"/>
  <c r="G49" i="90"/>
  <c r="G50" i="90"/>
  <c r="G51" i="90"/>
  <c r="G52" i="90"/>
  <c r="G53" i="90"/>
  <c r="G54" i="90"/>
  <c r="G55" i="90"/>
  <c r="G17" i="90"/>
  <c r="C56" i="90"/>
  <c r="D36" i="90"/>
  <c r="D36" i="121" s="1"/>
  <c r="C18" i="90"/>
  <c r="C19" i="90"/>
  <c r="C20" i="90"/>
  <c r="C21" i="90"/>
  <c r="C22" i="90"/>
  <c r="C23" i="90"/>
  <c r="C24" i="90"/>
  <c r="C25" i="90"/>
  <c r="C26" i="90"/>
  <c r="C27" i="90"/>
  <c r="C28" i="90"/>
  <c r="C29" i="90"/>
  <c r="C30" i="90"/>
  <c r="C31" i="90"/>
  <c r="C32" i="90"/>
  <c r="C33" i="90"/>
  <c r="C34" i="90"/>
  <c r="C35" i="90"/>
  <c r="C36" i="90"/>
  <c r="C37" i="90"/>
  <c r="C38" i="90"/>
  <c r="C39" i="90"/>
  <c r="C40" i="90"/>
  <c r="C41" i="90"/>
  <c r="C44" i="90"/>
  <c r="C45" i="90"/>
  <c r="C46" i="90"/>
  <c r="C47" i="90"/>
  <c r="C48" i="90"/>
  <c r="C49" i="90"/>
  <c r="C50" i="90"/>
  <c r="C51" i="90"/>
  <c r="C52" i="90"/>
  <c r="C53" i="90"/>
  <c r="C54" i="90"/>
  <c r="C55" i="90"/>
  <c r="C17" i="90"/>
  <c r="J57" i="90"/>
  <c r="G18" i="89"/>
  <c r="G19" i="89"/>
  <c r="G20" i="89"/>
  <c r="G21" i="89"/>
  <c r="G22" i="89"/>
  <c r="G23" i="89"/>
  <c r="G24" i="89"/>
  <c r="G25" i="89"/>
  <c r="G26" i="89"/>
  <c r="G27" i="89"/>
  <c r="G28" i="89"/>
  <c r="G29" i="89"/>
  <c r="G30" i="89"/>
  <c r="G31" i="89"/>
  <c r="G32" i="89"/>
  <c r="G33" i="89"/>
  <c r="G34" i="89"/>
  <c r="G35" i="89"/>
  <c r="G36" i="89"/>
  <c r="G37" i="89"/>
  <c r="G38" i="89"/>
  <c r="G39" i="89"/>
  <c r="G40" i="89"/>
  <c r="G41" i="89"/>
  <c r="G44" i="89"/>
  <c r="G45" i="89"/>
  <c r="G46" i="89"/>
  <c r="G47" i="89"/>
  <c r="G48" i="89"/>
  <c r="G49" i="89"/>
  <c r="G50" i="89"/>
  <c r="G51" i="89"/>
  <c r="G52" i="89"/>
  <c r="G53" i="89"/>
  <c r="G54" i="89"/>
  <c r="G55" i="89"/>
  <c r="G56" i="89"/>
  <c r="G17" i="89"/>
  <c r="D56" i="89"/>
  <c r="D56" i="90" s="1"/>
  <c r="D18" i="89"/>
  <c r="D18" i="90" s="1"/>
  <c r="D18" i="121" s="1"/>
  <c r="D19" i="89"/>
  <c r="D19" i="90" s="1"/>
  <c r="D19" i="121" s="1"/>
  <c r="D20" i="89"/>
  <c r="D20" i="90" s="1"/>
  <c r="D20" i="121" s="1"/>
  <c r="D21" i="89"/>
  <c r="D21" i="90" s="1"/>
  <c r="D21" i="121" s="1"/>
  <c r="D22" i="89"/>
  <c r="D22" i="90" s="1"/>
  <c r="D22" i="121" s="1"/>
  <c r="D23" i="89"/>
  <c r="D23" i="90" s="1"/>
  <c r="D23" i="121" s="1"/>
  <c r="D24" i="89"/>
  <c r="D24" i="90" s="1"/>
  <c r="D24" i="121" s="1"/>
  <c r="D25" i="89"/>
  <c r="D25" i="90" s="1"/>
  <c r="D25" i="121" s="1"/>
  <c r="D26" i="89"/>
  <c r="D26" i="90" s="1"/>
  <c r="D26" i="121" s="1"/>
  <c r="D27" i="89"/>
  <c r="D27" i="90" s="1"/>
  <c r="D27" i="121" s="1"/>
  <c r="D28" i="89"/>
  <c r="D28" i="90" s="1"/>
  <c r="D28" i="121" s="1"/>
  <c r="D29" i="89"/>
  <c r="D29" i="90" s="1"/>
  <c r="D29" i="121" s="1"/>
  <c r="D30" i="89"/>
  <c r="D30" i="90" s="1"/>
  <c r="D30" i="121" s="1"/>
  <c r="D31" i="89"/>
  <c r="D31" i="90" s="1"/>
  <c r="D31" i="121" s="1"/>
  <c r="D32" i="89"/>
  <c r="D32" i="90" s="1"/>
  <c r="D32" i="121" s="1"/>
  <c r="D33" i="89"/>
  <c r="D33" i="90" s="1"/>
  <c r="D33" i="121" s="1"/>
  <c r="D34" i="89"/>
  <c r="D34" i="90" s="1"/>
  <c r="D34" i="121" s="1"/>
  <c r="D35" i="89"/>
  <c r="D37" i="89"/>
  <c r="D37" i="90" s="1"/>
  <c r="D37" i="121" s="1"/>
  <c r="D38" i="89"/>
  <c r="D38" i="90" s="1"/>
  <c r="D38" i="121" s="1"/>
  <c r="D39" i="89"/>
  <c r="D39" i="90" s="1"/>
  <c r="D39" i="121" s="1"/>
  <c r="D40" i="89"/>
  <c r="D40" i="90" s="1"/>
  <c r="D40" i="121" s="1"/>
  <c r="D41" i="89"/>
  <c r="D41" i="90" s="1"/>
  <c r="D41" i="121" s="1"/>
  <c r="D42" i="121"/>
  <c r="D44" i="89"/>
  <c r="D44" i="90" s="1"/>
  <c r="D44" i="121" s="1"/>
  <c r="D45" i="89"/>
  <c r="D45" i="90" s="1"/>
  <c r="D45" i="121" s="1"/>
  <c r="D46" i="89"/>
  <c r="D46" i="90" s="1"/>
  <c r="D46" i="121" s="1"/>
  <c r="D47" i="89"/>
  <c r="D47" i="90" s="1"/>
  <c r="D47" i="121" s="1"/>
  <c r="D48" i="89"/>
  <c r="D48" i="90" s="1"/>
  <c r="D48" i="121" s="1"/>
  <c r="D49" i="89"/>
  <c r="D49" i="90" s="1"/>
  <c r="D49" i="121" s="1"/>
  <c r="D50" i="89"/>
  <c r="D50" i="90" s="1"/>
  <c r="D50" i="121" s="1"/>
  <c r="D51" i="89"/>
  <c r="D51" i="90" s="1"/>
  <c r="D51" i="121" s="1"/>
  <c r="D52" i="89"/>
  <c r="D52" i="90" s="1"/>
  <c r="D52" i="121" s="1"/>
  <c r="D53" i="89"/>
  <c r="D53" i="90" s="1"/>
  <c r="D53" i="121" s="1"/>
  <c r="D54" i="89"/>
  <c r="D54" i="90" s="1"/>
  <c r="D54" i="121" s="1"/>
  <c r="D55" i="89"/>
  <c r="D55" i="90" s="1"/>
  <c r="D55" i="121" s="1"/>
  <c r="D17" i="89"/>
  <c r="D17" i="90" s="1"/>
  <c r="C18" i="89"/>
  <c r="C19" i="89"/>
  <c r="C20" i="89"/>
  <c r="C21" i="89"/>
  <c r="C22" i="89"/>
  <c r="C23" i="89"/>
  <c r="C24" i="89"/>
  <c r="C25" i="89"/>
  <c r="C26" i="89"/>
  <c r="C27" i="89"/>
  <c r="C28" i="89"/>
  <c r="C29" i="89"/>
  <c r="C30" i="89"/>
  <c r="C31" i="89"/>
  <c r="C32" i="89"/>
  <c r="C33" i="89"/>
  <c r="C34" i="89"/>
  <c r="C35" i="89"/>
  <c r="C36" i="89"/>
  <c r="C37" i="89"/>
  <c r="C38" i="89"/>
  <c r="C39" i="89"/>
  <c r="C40" i="89"/>
  <c r="C41" i="89"/>
  <c r="C44" i="89"/>
  <c r="C45" i="89"/>
  <c r="C46" i="89"/>
  <c r="C47" i="89"/>
  <c r="C48" i="89"/>
  <c r="C49" i="89"/>
  <c r="C50" i="89"/>
  <c r="C51" i="89"/>
  <c r="C52" i="89"/>
  <c r="C53" i="89"/>
  <c r="C54" i="89"/>
  <c r="C55" i="89"/>
  <c r="C56" i="89"/>
  <c r="C17" i="89"/>
  <c r="K18" i="88"/>
  <c r="K19" i="88"/>
  <c r="K20" i="88"/>
  <c r="K21" i="88"/>
  <c r="K22" i="88"/>
  <c r="K23" i="88"/>
  <c r="K24" i="88"/>
  <c r="K25" i="88"/>
  <c r="K26" i="88"/>
  <c r="K27" i="88"/>
  <c r="K28" i="88"/>
  <c r="K29" i="88"/>
  <c r="K30" i="88"/>
  <c r="K31" i="88"/>
  <c r="K32" i="88"/>
  <c r="K33" i="88"/>
  <c r="K34" i="88"/>
  <c r="K35" i="88"/>
  <c r="K36" i="88"/>
  <c r="K37" i="88"/>
  <c r="K38" i="88"/>
  <c r="K39" i="88"/>
  <c r="K40" i="88"/>
  <c r="K41" i="88"/>
  <c r="K44" i="88"/>
  <c r="K45" i="88"/>
  <c r="K46" i="88"/>
  <c r="K47" i="88"/>
  <c r="K48" i="88"/>
  <c r="K49" i="88"/>
  <c r="K50" i="88"/>
  <c r="K51" i="88"/>
  <c r="K52" i="88"/>
  <c r="K53" i="88"/>
  <c r="K54" i="88"/>
  <c r="K55" i="88"/>
  <c r="K56" i="88"/>
  <c r="K17" i="88"/>
  <c r="D18" i="88"/>
  <c r="D19" i="88"/>
  <c r="D20" i="88"/>
  <c r="D21" i="88"/>
  <c r="D22" i="88"/>
  <c r="D23" i="88"/>
  <c r="D24" i="88"/>
  <c r="D25" i="88"/>
  <c r="D26" i="88"/>
  <c r="D27" i="88"/>
  <c r="D28" i="88"/>
  <c r="D29" i="88"/>
  <c r="D30" i="88"/>
  <c r="D31" i="88"/>
  <c r="D32" i="88"/>
  <c r="D33" i="88"/>
  <c r="D34" i="88"/>
  <c r="D35" i="88"/>
  <c r="D36" i="88"/>
  <c r="D37" i="88"/>
  <c r="D38" i="88"/>
  <c r="D39" i="88"/>
  <c r="D40" i="88"/>
  <c r="D41" i="88"/>
  <c r="D44" i="88"/>
  <c r="D45" i="88"/>
  <c r="D46" i="88"/>
  <c r="D47" i="88"/>
  <c r="D48" i="88"/>
  <c r="D49" i="88"/>
  <c r="D50" i="88"/>
  <c r="D51" i="88"/>
  <c r="D52" i="88"/>
  <c r="D53" i="88"/>
  <c r="D54" i="88"/>
  <c r="D55" i="88"/>
  <c r="D56" i="88"/>
  <c r="D17" i="88"/>
  <c r="M17" i="88" s="1"/>
  <c r="C19" i="88"/>
  <c r="C20" i="88"/>
  <c r="C21" i="88"/>
  <c r="C22" i="88"/>
  <c r="C23" i="88"/>
  <c r="C24" i="88"/>
  <c r="C25" i="88"/>
  <c r="C26" i="88"/>
  <c r="C27" i="88"/>
  <c r="C28" i="88"/>
  <c r="C29" i="88"/>
  <c r="C30" i="88"/>
  <c r="C31" i="88"/>
  <c r="C32" i="88"/>
  <c r="C33" i="88"/>
  <c r="C34" i="88"/>
  <c r="C35" i="88"/>
  <c r="C36" i="88"/>
  <c r="C37" i="88"/>
  <c r="C38" i="88"/>
  <c r="C39" i="88"/>
  <c r="C40" i="88"/>
  <c r="C41" i="88"/>
  <c r="C44" i="88"/>
  <c r="C45" i="88"/>
  <c r="C46" i="88"/>
  <c r="C47" i="88"/>
  <c r="C48" i="88"/>
  <c r="C49" i="88"/>
  <c r="C50" i="88"/>
  <c r="C51" i="88"/>
  <c r="C52" i="88"/>
  <c r="C53" i="88"/>
  <c r="C54" i="88"/>
  <c r="C55" i="88"/>
  <c r="C56" i="88"/>
  <c r="C18" i="88"/>
  <c r="N57" i="88"/>
  <c r="H17" i="88"/>
  <c r="G17" i="88"/>
  <c r="K56" i="87"/>
  <c r="K55" i="87"/>
  <c r="K48" i="87"/>
  <c r="K18" i="87"/>
  <c r="K19" i="87"/>
  <c r="K20" i="87"/>
  <c r="K21" i="87"/>
  <c r="K22" i="87"/>
  <c r="K23" i="87"/>
  <c r="K24" i="87"/>
  <c r="K25" i="87"/>
  <c r="K26" i="87"/>
  <c r="K27" i="87"/>
  <c r="K28" i="87"/>
  <c r="K29" i="87"/>
  <c r="K30" i="87"/>
  <c r="K31" i="87"/>
  <c r="K32" i="87"/>
  <c r="K33" i="87"/>
  <c r="K34" i="87"/>
  <c r="K35" i="87"/>
  <c r="K36" i="87"/>
  <c r="K37" i="87"/>
  <c r="K38" i="87"/>
  <c r="K39" i="87"/>
  <c r="K40" i="87"/>
  <c r="K41" i="87"/>
  <c r="K42" i="87"/>
  <c r="K43" i="87"/>
  <c r="K44" i="87"/>
  <c r="K45" i="87"/>
  <c r="K46" i="87"/>
  <c r="K49" i="87"/>
  <c r="K50" i="87"/>
  <c r="K51" i="87"/>
  <c r="K52" i="87"/>
  <c r="K53" i="87"/>
  <c r="K54" i="87"/>
  <c r="L17" i="87"/>
  <c r="J17" i="87"/>
  <c r="I17" i="87"/>
  <c r="G17" i="87"/>
  <c r="K17" i="87"/>
  <c r="D56" i="87"/>
  <c r="F56" i="87"/>
  <c r="C56" i="87"/>
  <c r="D55" i="87"/>
  <c r="D48" i="87"/>
  <c r="D18" i="87"/>
  <c r="D44" i="87"/>
  <c r="D43" i="87"/>
  <c r="D42" i="87"/>
  <c r="D39" i="87"/>
  <c r="D37" i="87"/>
  <c r="D33" i="87"/>
  <c r="D31" i="87"/>
  <c r="D30" i="87"/>
  <c r="D29" i="87"/>
  <c r="D27" i="87"/>
  <c r="D26" i="87"/>
  <c r="D24" i="87"/>
  <c r="Q90" i="109"/>
  <c r="P90" i="109"/>
  <c r="O90" i="109"/>
  <c r="M90" i="109"/>
  <c r="Q96" i="109"/>
  <c r="P96" i="109"/>
  <c r="O96" i="109"/>
  <c r="M96" i="109"/>
  <c r="Q52" i="109"/>
  <c r="P52" i="109"/>
  <c r="O52" i="109"/>
  <c r="M52" i="109"/>
  <c r="Q51" i="109"/>
  <c r="P51" i="109"/>
  <c r="O51" i="109"/>
  <c r="M51" i="109"/>
  <c r="Q33" i="109"/>
  <c r="P33" i="109"/>
  <c r="O33" i="109"/>
  <c r="M33" i="109"/>
  <c r="Q66" i="109"/>
  <c r="P66" i="109"/>
  <c r="O66" i="109"/>
  <c r="M66" i="109"/>
  <c r="Q103" i="109"/>
  <c r="P103" i="109"/>
  <c r="O103" i="109"/>
  <c r="Q102" i="109"/>
  <c r="P102" i="109"/>
  <c r="O102" i="109"/>
  <c r="Q101" i="109"/>
  <c r="P101" i="109"/>
  <c r="O101" i="109"/>
  <c r="Q100" i="109"/>
  <c r="P100" i="109"/>
  <c r="O100" i="109"/>
  <c r="M100" i="109"/>
  <c r="Q99" i="109"/>
  <c r="P99" i="109"/>
  <c r="O99" i="109"/>
  <c r="M99" i="109"/>
  <c r="Q98" i="109"/>
  <c r="P98" i="109"/>
  <c r="O98" i="109"/>
  <c r="Q97" i="109"/>
  <c r="P97" i="109"/>
  <c r="O97" i="109"/>
  <c r="Q95" i="109"/>
  <c r="P95" i="109"/>
  <c r="O95" i="109"/>
  <c r="M95" i="109"/>
  <c r="Q93" i="109"/>
  <c r="P93" i="109"/>
  <c r="O93" i="109"/>
  <c r="M93" i="109"/>
  <c r="Q92" i="109"/>
  <c r="P92" i="109"/>
  <c r="O92" i="109"/>
  <c r="M92" i="109"/>
  <c r="Q91" i="109"/>
  <c r="P91" i="109"/>
  <c r="O91" i="109"/>
  <c r="M91" i="109"/>
  <c r="Q89" i="109"/>
  <c r="P89" i="109"/>
  <c r="O89" i="109"/>
  <c r="M89" i="109"/>
  <c r="Q88" i="109"/>
  <c r="P88" i="109"/>
  <c r="O88" i="109"/>
  <c r="M88" i="109"/>
  <c r="Q87" i="109"/>
  <c r="P87" i="109"/>
  <c r="O87" i="109"/>
  <c r="M87" i="109"/>
  <c r="Q86" i="109"/>
  <c r="P86" i="109"/>
  <c r="O86" i="109"/>
  <c r="M86" i="109"/>
  <c r="Q85" i="109"/>
  <c r="P85" i="109"/>
  <c r="O85" i="109"/>
  <c r="M85" i="109"/>
  <c r="Q84" i="109"/>
  <c r="P84" i="109"/>
  <c r="O84" i="109"/>
  <c r="M84" i="109"/>
  <c r="O83" i="109"/>
  <c r="M83" i="109"/>
  <c r="Q82" i="109"/>
  <c r="P82" i="109"/>
  <c r="O82" i="109"/>
  <c r="M82" i="109"/>
  <c r="Q81" i="109"/>
  <c r="P81" i="109"/>
  <c r="O81" i="109"/>
  <c r="M81" i="109"/>
  <c r="Q80" i="109"/>
  <c r="P80" i="109"/>
  <c r="O80" i="109"/>
  <c r="M80" i="109"/>
  <c r="Q79" i="109"/>
  <c r="P79" i="109"/>
  <c r="O79" i="109"/>
  <c r="M79" i="109"/>
  <c r="Q78" i="109"/>
  <c r="P78" i="109"/>
  <c r="O78" i="109"/>
  <c r="M78" i="109"/>
  <c r="Q71" i="109"/>
  <c r="P71" i="109"/>
  <c r="O71" i="109"/>
  <c r="M71" i="109"/>
  <c r="Q70" i="109"/>
  <c r="P70" i="109"/>
  <c r="O70" i="109"/>
  <c r="M70" i="109"/>
  <c r="Q69" i="109"/>
  <c r="P69" i="109"/>
  <c r="O69" i="109"/>
  <c r="M69" i="109"/>
  <c r="Q68" i="109"/>
  <c r="P68" i="109"/>
  <c r="O68" i="109"/>
  <c r="M68" i="109"/>
  <c r="Q67" i="109"/>
  <c r="P67" i="109"/>
  <c r="O67" i="109"/>
  <c r="M67" i="109"/>
  <c r="Q65" i="109"/>
  <c r="P65" i="109"/>
  <c r="O65" i="109"/>
  <c r="M65" i="109"/>
  <c r="Q64" i="109"/>
  <c r="P64" i="109"/>
  <c r="O64" i="109"/>
  <c r="M64" i="109"/>
  <c r="Q63" i="109"/>
  <c r="P63" i="109"/>
  <c r="O63" i="109"/>
  <c r="M63" i="109"/>
  <c r="Q62" i="109"/>
  <c r="P62" i="109"/>
  <c r="O62" i="109"/>
  <c r="M62" i="109"/>
  <c r="Q61" i="109"/>
  <c r="P61" i="109"/>
  <c r="O61" i="109"/>
  <c r="M61" i="109"/>
  <c r="Q60" i="109"/>
  <c r="P60" i="109"/>
  <c r="O60" i="109"/>
  <c r="M60" i="109"/>
  <c r="Q59" i="109"/>
  <c r="P59" i="109"/>
  <c r="O59" i="109"/>
  <c r="M59" i="109"/>
  <c r="Q58" i="109"/>
  <c r="P58" i="109"/>
  <c r="O58" i="109"/>
  <c r="M58" i="109"/>
  <c r="Q57" i="109"/>
  <c r="P57" i="109"/>
  <c r="O57" i="109"/>
  <c r="M57" i="109"/>
  <c r="Q56" i="109"/>
  <c r="P56" i="109"/>
  <c r="O56" i="109"/>
  <c r="M56" i="109"/>
  <c r="Q54" i="109"/>
  <c r="P54" i="109"/>
  <c r="O54" i="109"/>
  <c r="M54" i="109"/>
  <c r="Q53" i="109"/>
  <c r="P53" i="109"/>
  <c r="O53" i="109"/>
  <c r="M53" i="109"/>
  <c r="Q50" i="109"/>
  <c r="P50" i="109"/>
  <c r="O50" i="109"/>
  <c r="M50" i="109"/>
  <c r="Q49" i="109"/>
  <c r="P49" i="109"/>
  <c r="O49" i="109"/>
  <c r="M49" i="109"/>
  <c r="Q48" i="109"/>
  <c r="P48" i="109"/>
  <c r="O48" i="109"/>
  <c r="M48" i="109"/>
  <c r="Q47" i="109"/>
  <c r="P47" i="109"/>
  <c r="O47" i="109"/>
  <c r="M47" i="109"/>
  <c r="Q46" i="109"/>
  <c r="P46" i="109"/>
  <c r="O46" i="109"/>
  <c r="M46" i="109"/>
  <c r="Q45" i="109"/>
  <c r="P45" i="109"/>
  <c r="O45" i="109"/>
  <c r="M45" i="109"/>
  <c r="Q44" i="109"/>
  <c r="P44" i="109"/>
  <c r="O44" i="109"/>
  <c r="M44" i="109"/>
  <c r="Q43" i="109"/>
  <c r="P43" i="109"/>
  <c r="O43" i="109"/>
  <c r="M43" i="109"/>
  <c r="Q42" i="109"/>
  <c r="P42" i="109"/>
  <c r="O42" i="109"/>
  <c r="M42" i="109"/>
  <c r="Q41" i="109"/>
  <c r="P41" i="109"/>
  <c r="O41" i="109"/>
  <c r="M41" i="109"/>
  <c r="Q40" i="109"/>
  <c r="P40" i="109"/>
  <c r="O40" i="109"/>
  <c r="M40" i="109"/>
  <c r="Q39" i="109"/>
  <c r="P39" i="109"/>
  <c r="O39" i="109"/>
  <c r="M39" i="109"/>
  <c r="Q38" i="109"/>
  <c r="P38" i="109"/>
  <c r="O38" i="109"/>
  <c r="M38" i="109"/>
  <c r="Q37" i="109"/>
  <c r="P37" i="109"/>
  <c r="O37" i="109"/>
  <c r="M37" i="109"/>
  <c r="Q36" i="109"/>
  <c r="P36" i="109"/>
  <c r="O36" i="109"/>
  <c r="M36" i="109"/>
  <c r="Q35" i="109"/>
  <c r="P35" i="109"/>
  <c r="O35" i="109"/>
  <c r="M35" i="109"/>
  <c r="Q34" i="109"/>
  <c r="P34" i="109"/>
  <c r="O34" i="109"/>
  <c r="M34" i="109"/>
  <c r="Q32" i="109"/>
  <c r="P32" i="109"/>
  <c r="O32" i="109"/>
  <c r="M32" i="109"/>
  <c r="Q31" i="109"/>
  <c r="P31" i="109"/>
  <c r="O31" i="109"/>
  <c r="M31" i="109"/>
  <c r="Q30" i="109"/>
  <c r="P30" i="109"/>
  <c r="O30" i="109"/>
  <c r="M30" i="109"/>
  <c r="Q29" i="109"/>
  <c r="P29" i="109"/>
  <c r="O29" i="109"/>
  <c r="M29" i="109"/>
  <c r="Q28" i="109"/>
  <c r="P28" i="109"/>
  <c r="O28" i="109"/>
  <c r="M28" i="109"/>
  <c r="Q27" i="109"/>
  <c r="P27" i="109"/>
  <c r="O27" i="109"/>
  <c r="M27" i="109"/>
  <c r="Q26" i="109"/>
  <c r="P26" i="109"/>
  <c r="O26" i="109"/>
  <c r="M26" i="109"/>
  <c r="Q25" i="109"/>
  <c r="P25" i="109"/>
  <c r="O25" i="109"/>
  <c r="M25" i="109"/>
  <c r="Q24" i="109"/>
  <c r="P24" i="109"/>
  <c r="O24" i="109"/>
  <c r="M24" i="109"/>
  <c r="Q23" i="109"/>
  <c r="P23" i="109"/>
  <c r="O23" i="109"/>
  <c r="M23" i="109"/>
  <c r="Q22" i="109"/>
  <c r="P22" i="109"/>
  <c r="O22" i="109"/>
  <c r="M22" i="109"/>
  <c r="Q21" i="109"/>
  <c r="P21" i="109"/>
  <c r="O21" i="109"/>
  <c r="M21" i="109"/>
  <c r="Q20" i="109"/>
  <c r="P20" i="109"/>
  <c r="O20" i="109"/>
  <c r="M20" i="109"/>
  <c r="Q19" i="109"/>
  <c r="P19" i="109"/>
  <c r="O19" i="109"/>
  <c r="M19" i="109"/>
  <c r="Q18" i="109"/>
  <c r="P18" i="109"/>
  <c r="O18" i="109"/>
  <c r="M18" i="109"/>
  <c r="Q17" i="109"/>
  <c r="P17" i="109"/>
  <c r="O17" i="109"/>
  <c r="M17" i="109"/>
  <c r="F43" i="89" l="1"/>
  <c r="H43" i="89" s="1"/>
  <c r="K43" i="89"/>
  <c r="G57" i="90"/>
  <c r="J57" i="89"/>
  <c r="C57" i="88"/>
  <c r="E17" i="89"/>
  <c r="I17" i="88"/>
  <c r="I17" i="90"/>
  <c r="D17" i="121"/>
  <c r="E17" i="90"/>
  <c r="K57" i="88"/>
  <c r="D57" i="88"/>
  <c r="D56" i="121"/>
  <c r="C57" i="90"/>
  <c r="G57" i="89"/>
  <c r="C57" i="89"/>
  <c r="J17" i="88"/>
  <c r="L17" i="88" s="1"/>
  <c r="O17" i="88"/>
  <c r="K43" i="90" l="1"/>
  <c r="F43" i="121" s="1"/>
  <c r="H43" i="121" s="1"/>
  <c r="F43" i="90"/>
  <c r="H43" i="90" s="1"/>
  <c r="E17" i="121"/>
  <c r="K17" i="89"/>
  <c r="F17" i="90" s="1"/>
  <c r="H17" i="90" s="1"/>
  <c r="F17" i="89"/>
  <c r="H17" i="89" s="1"/>
  <c r="K17" i="90" l="1"/>
  <c r="F17" i="121" s="1"/>
  <c r="H17" i="121" s="1"/>
  <c r="L549" i="100" l="1"/>
  <c r="M549" i="100" s="1"/>
  <c r="G549" i="100"/>
  <c r="E552" i="100"/>
  <c r="K552" i="100"/>
  <c r="F552" i="100"/>
  <c r="K563" i="100"/>
  <c r="K562" i="100"/>
  <c r="K560" i="100"/>
  <c r="I549" i="100"/>
  <c r="I511" i="100"/>
  <c r="D511" i="100"/>
  <c r="L511" i="100"/>
  <c r="G511" i="100"/>
  <c r="K501" i="100"/>
  <c r="K500" i="100"/>
  <c r="K498" i="100"/>
  <c r="L487" i="100"/>
  <c r="G487" i="100"/>
  <c r="D549" i="100" s="1"/>
  <c r="I450" i="100"/>
  <c r="I449" i="100"/>
  <c r="D450" i="100"/>
  <c r="D449" i="100"/>
  <c r="K490" i="100"/>
  <c r="J490" i="100"/>
  <c r="E490" i="100"/>
  <c r="F490" i="100"/>
  <c r="L449" i="100"/>
  <c r="G449" i="100"/>
  <c r="K437" i="100"/>
  <c r="K436" i="100"/>
  <c r="K439" i="100"/>
  <c r="K438" i="100"/>
  <c r="J428" i="100"/>
  <c r="I387" i="100"/>
  <c r="D387" i="100"/>
  <c r="K428" i="100"/>
  <c r="E428" i="100"/>
  <c r="F428" i="100"/>
  <c r="L387" i="100"/>
  <c r="G387" i="100"/>
  <c r="M511" i="100" l="1"/>
  <c r="M487" i="100"/>
  <c r="M449" i="100"/>
  <c r="M387" i="100"/>
  <c r="K378" i="100"/>
  <c r="K377" i="100"/>
  <c r="K376" i="100"/>
  <c r="K374" i="100"/>
  <c r="J334" i="100"/>
  <c r="J326" i="100"/>
  <c r="E366" i="100"/>
  <c r="F366" i="100"/>
  <c r="I326" i="100"/>
  <c r="I325" i="100"/>
  <c r="D326" i="100"/>
  <c r="D325" i="100"/>
  <c r="K366" i="100" l="1"/>
  <c r="J366" i="100"/>
  <c r="L325" i="100"/>
  <c r="G325" i="100"/>
  <c r="K316" i="100"/>
  <c r="K314" i="100"/>
  <c r="K313" i="100"/>
  <c r="K312" i="100"/>
  <c r="K315" i="100"/>
  <c r="J264" i="100"/>
  <c r="K304" i="100"/>
  <c r="J304" i="100"/>
  <c r="E304" i="100"/>
  <c r="F304" i="100"/>
  <c r="E272" i="100"/>
  <c r="I264" i="100"/>
  <c r="I263" i="100"/>
  <c r="D264" i="100"/>
  <c r="D263" i="100"/>
  <c r="G263" i="100" s="1"/>
  <c r="L263" i="100"/>
  <c r="M325" i="100" l="1"/>
  <c r="M263" i="100"/>
  <c r="K253" i="100"/>
  <c r="K252" i="100"/>
  <c r="K250" i="100"/>
  <c r="J210" i="100"/>
  <c r="J202" i="100"/>
  <c r="J242" i="100" s="1"/>
  <c r="I202" i="100"/>
  <c r="D202" i="100"/>
  <c r="K242" i="100"/>
  <c r="E242" i="100"/>
  <c r="F242" i="100"/>
  <c r="L201" i="100"/>
  <c r="M201" i="100" s="1"/>
  <c r="G201" i="100"/>
  <c r="K192" i="100"/>
  <c r="K191" i="100"/>
  <c r="K190" i="100"/>
  <c r="K189" i="100"/>
  <c r="K188" i="100"/>
  <c r="J140" i="100"/>
  <c r="J180" i="100" s="1"/>
  <c r="L139" i="100"/>
  <c r="K180" i="100"/>
  <c r="F180" i="100"/>
  <c r="G139" i="100"/>
  <c r="E180" i="100"/>
  <c r="I140" i="100"/>
  <c r="D140" i="100"/>
  <c r="J115" i="100"/>
  <c r="K127" i="100"/>
  <c r="K126" i="100"/>
  <c r="K129" i="100"/>
  <c r="K128" i="100"/>
  <c r="J86" i="100"/>
  <c r="E86" i="100"/>
  <c r="I79" i="100"/>
  <c r="I80" i="100"/>
  <c r="I78" i="100"/>
  <c r="D79" i="100"/>
  <c r="D80" i="100"/>
  <c r="D78" i="100"/>
  <c r="K68" i="100"/>
  <c r="K69" i="100" s="1"/>
  <c r="K67" i="100"/>
  <c r="K66" i="100"/>
  <c r="K65" i="100"/>
  <c r="J17" i="100"/>
  <c r="I23" i="100"/>
  <c r="E25" i="100"/>
  <c r="K254" i="100" l="1"/>
  <c r="M139" i="100"/>
  <c r="K555" i="100" l="1"/>
  <c r="F555" i="100"/>
  <c r="E555" i="100"/>
  <c r="L554" i="100"/>
  <c r="G554" i="100"/>
  <c r="M554" i="100" s="1"/>
  <c r="L553" i="100"/>
  <c r="G553" i="100"/>
  <c r="M553" i="100" s="1"/>
  <c r="L551" i="100"/>
  <c r="G551" i="100"/>
  <c r="M551" i="100" s="1"/>
  <c r="L492" i="100"/>
  <c r="G492" i="100"/>
  <c r="M492" i="100" s="1"/>
  <c r="L491" i="100"/>
  <c r="G491" i="100"/>
  <c r="K493" i="100"/>
  <c r="J493" i="100"/>
  <c r="F493" i="100"/>
  <c r="E493" i="100"/>
  <c r="L489" i="100"/>
  <c r="M489" i="100" s="1"/>
  <c r="G489" i="100"/>
  <c r="L450" i="100"/>
  <c r="I512" i="100" s="1"/>
  <c r="G450" i="100"/>
  <c r="D512" i="100" s="1"/>
  <c r="G512" i="100" s="1"/>
  <c r="K431" i="100"/>
  <c r="J431" i="100"/>
  <c r="J433" i="100" s="1"/>
  <c r="F431" i="100"/>
  <c r="E431" i="100"/>
  <c r="L430" i="100"/>
  <c r="G430" i="100"/>
  <c r="L429" i="100"/>
  <c r="G429" i="100"/>
  <c r="L427" i="100"/>
  <c r="G427" i="100"/>
  <c r="M427" i="100" s="1"/>
  <c r="J369" i="100"/>
  <c r="J371" i="100" s="1"/>
  <c r="E369" i="100"/>
  <c r="L368" i="100"/>
  <c r="G368" i="100"/>
  <c r="L367" i="100"/>
  <c r="G367" i="100"/>
  <c r="K369" i="100"/>
  <c r="F369" i="100"/>
  <c r="L365" i="100"/>
  <c r="G365" i="100"/>
  <c r="M365" i="100" s="1"/>
  <c r="L326" i="100"/>
  <c r="G326" i="100"/>
  <c r="J307" i="100"/>
  <c r="J309" i="100" s="1"/>
  <c r="L306" i="100"/>
  <c r="G306" i="100"/>
  <c r="L305" i="100"/>
  <c r="G305" i="100"/>
  <c r="K307" i="100"/>
  <c r="F307" i="100"/>
  <c r="E307" i="100"/>
  <c r="L303" i="100"/>
  <c r="G303" i="100"/>
  <c r="M303" i="100" s="1"/>
  <c r="L264" i="100"/>
  <c r="I388" i="100" s="1"/>
  <c r="L388" i="100" s="1"/>
  <c r="G264" i="100"/>
  <c r="D388" i="100" s="1"/>
  <c r="G388" i="100" s="1"/>
  <c r="L244" i="100"/>
  <c r="G244" i="100"/>
  <c r="L243" i="100"/>
  <c r="G243" i="100"/>
  <c r="K245" i="100"/>
  <c r="J245" i="100"/>
  <c r="J247" i="100" s="1"/>
  <c r="F245" i="100"/>
  <c r="E245" i="100"/>
  <c r="L241" i="100"/>
  <c r="M241" i="100" s="1"/>
  <c r="G241" i="100"/>
  <c r="L202" i="100"/>
  <c r="G202" i="100"/>
  <c r="J183" i="100"/>
  <c r="J185" i="100" s="1"/>
  <c r="L182" i="100"/>
  <c r="G182" i="100"/>
  <c r="L181" i="100"/>
  <c r="G181" i="100"/>
  <c r="K183" i="100"/>
  <c r="F183" i="100"/>
  <c r="E183" i="100"/>
  <c r="L179" i="100"/>
  <c r="M179" i="100" s="1"/>
  <c r="G179" i="100"/>
  <c r="L140" i="100"/>
  <c r="G140" i="100"/>
  <c r="L120" i="100"/>
  <c r="G120" i="100"/>
  <c r="L119" i="100"/>
  <c r="G119" i="100"/>
  <c r="K118" i="100"/>
  <c r="K121" i="100" s="1"/>
  <c r="J118" i="100"/>
  <c r="J121" i="100" s="1"/>
  <c r="J123" i="100" s="1"/>
  <c r="K130" i="100" s="1"/>
  <c r="F118" i="100"/>
  <c r="F121" i="100" s="1"/>
  <c r="E118" i="100"/>
  <c r="E121" i="100" s="1"/>
  <c r="L117" i="100"/>
  <c r="G117" i="100"/>
  <c r="L80" i="100"/>
  <c r="G80" i="100"/>
  <c r="L79" i="100"/>
  <c r="G79" i="100"/>
  <c r="L78" i="100"/>
  <c r="G78" i="100"/>
  <c r="L22" i="102"/>
  <c r="I22" i="102"/>
  <c r="F22" i="102"/>
  <c r="C22" i="102"/>
  <c r="K440" i="100" l="1"/>
  <c r="J495" i="100"/>
  <c r="K502" i="100" s="1"/>
  <c r="G58" i="90"/>
  <c r="L512" i="100"/>
  <c r="M491" i="100"/>
  <c r="M429" i="100"/>
  <c r="M450" i="100"/>
  <c r="M244" i="100"/>
  <c r="M367" i="100"/>
  <c r="M430" i="100"/>
  <c r="M368" i="100"/>
  <c r="M79" i="100"/>
  <c r="D141" i="100"/>
  <c r="G141" i="100" s="1"/>
  <c r="D265" i="100" s="1"/>
  <c r="G265" i="100" s="1"/>
  <c r="D389" i="100" s="1"/>
  <c r="G389" i="100" s="1"/>
  <c r="M389" i="100" s="1"/>
  <c r="D203" i="100"/>
  <c r="G203" i="100" s="1"/>
  <c r="D327" i="100" s="1"/>
  <c r="I203" i="100"/>
  <c r="L203" i="100" s="1"/>
  <c r="I327" i="100" s="1"/>
  <c r="I141" i="100"/>
  <c r="L141" i="100" s="1"/>
  <c r="I265" i="100" s="1"/>
  <c r="L265" i="100" s="1"/>
  <c r="I389" i="100" s="1"/>
  <c r="L389" i="100" s="1"/>
  <c r="D142" i="100"/>
  <c r="G142" i="100" s="1"/>
  <c r="D266" i="100" s="1"/>
  <c r="G266" i="100" s="1"/>
  <c r="D204" i="100"/>
  <c r="G204" i="100" s="1"/>
  <c r="D328" i="100" s="1"/>
  <c r="G328" i="100" s="1"/>
  <c r="D452" i="100" s="1"/>
  <c r="G452" i="100" s="1"/>
  <c r="D514" i="100" s="1"/>
  <c r="G514" i="100" s="1"/>
  <c r="M514" i="100" s="1"/>
  <c r="I204" i="100"/>
  <c r="L204" i="100" s="1"/>
  <c r="I328" i="100" s="1"/>
  <c r="L328" i="100" s="1"/>
  <c r="I452" i="100" s="1"/>
  <c r="L452" i="100" s="1"/>
  <c r="I514" i="100" s="1"/>
  <c r="L514" i="100" s="1"/>
  <c r="I142" i="100"/>
  <c r="L142" i="100" s="1"/>
  <c r="I266" i="100" s="1"/>
  <c r="L266" i="100" s="1"/>
  <c r="I390" i="100" s="1"/>
  <c r="M326" i="100"/>
  <c r="M305" i="100"/>
  <c r="M306" i="100"/>
  <c r="M264" i="100"/>
  <c r="M243" i="100"/>
  <c r="M202" i="100"/>
  <c r="M182" i="100"/>
  <c r="M120" i="100"/>
  <c r="M181" i="100"/>
  <c r="M140" i="100"/>
  <c r="M78" i="100"/>
  <c r="M80" i="100"/>
  <c r="M388" i="100"/>
  <c r="M117" i="100"/>
  <c r="M119" i="100"/>
  <c r="M512" i="100" l="1"/>
  <c r="M452" i="100"/>
  <c r="M141" i="100"/>
  <c r="M328" i="100"/>
  <c r="M266" i="100"/>
  <c r="D390" i="100"/>
  <c r="L390" i="100"/>
  <c r="M142" i="100"/>
  <c r="M203" i="100"/>
  <c r="L327" i="100"/>
  <c r="I451" i="100" s="1"/>
  <c r="G327" i="100"/>
  <c r="D451" i="100" s="1"/>
  <c r="M204" i="100"/>
  <c r="M265" i="100"/>
  <c r="I195" i="11"/>
  <c r="G195" i="11"/>
  <c r="F195" i="11"/>
  <c r="E195" i="11"/>
  <c r="D195" i="11"/>
  <c r="C195" i="11"/>
  <c r="I191" i="11"/>
  <c r="G191" i="11"/>
  <c r="F191" i="11"/>
  <c r="C191" i="11"/>
  <c r="D190" i="11"/>
  <c r="D191" i="11" s="1"/>
  <c r="C190" i="11"/>
  <c r="E177" i="11"/>
  <c r="E191" i="11" s="1"/>
  <c r="I171" i="11"/>
  <c r="G171" i="11"/>
  <c r="E171" i="11"/>
  <c r="D171" i="11"/>
  <c r="C171" i="11"/>
  <c r="F170" i="11"/>
  <c r="F171" i="11" s="1"/>
  <c r="I166" i="11"/>
  <c r="G166" i="11"/>
  <c r="F166" i="11"/>
  <c r="E166" i="11"/>
  <c r="D166" i="11"/>
  <c r="C165" i="11"/>
  <c r="C166" i="11" s="1"/>
  <c r="I144" i="11"/>
  <c r="G144" i="11"/>
  <c r="F144" i="11"/>
  <c r="E144" i="11"/>
  <c r="D144" i="11"/>
  <c r="C144" i="11"/>
  <c r="I140" i="11"/>
  <c r="G140" i="11"/>
  <c r="F139" i="11"/>
  <c r="F140" i="11" s="1"/>
  <c r="E139" i="11"/>
  <c r="E140" i="11" s="1"/>
  <c r="D139" i="11"/>
  <c r="D140" i="11" s="1"/>
  <c r="C139" i="11"/>
  <c r="C140" i="11" s="1"/>
  <c r="I136" i="11"/>
  <c r="G136" i="11"/>
  <c r="F136" i="11"/>
  <c r="E136" i="11"/>
  <c r="D136" i="11"/>
  <c r="C136" i="11"/>
  <c r="I118" i="11"/>
  <c r="G118" i="11"/>
  <c r="F118" i="11"/>
  <c r="E118" i="11"/>
  <c r="D118" i="11"/>
  <c r="C117" i="11"/>
  <c r="C118" i="11" s="1"/>
  <c r="I80" i="11"/>
  <c r="G80" i="11"/>
  <c r="F80" i="11"/>
  <c r="E80" i="11"/>
  <c r="C80" i="11"/>
  <c r="D79" i="11"/>
  <c r="D80" i="11" s="1"/>
  <c r="I75" i="11"/>
  <c r="G75" i="11"/>
  <c r="E75" i="11"/>
  <c r="D75" i="11"/>
  <c r="C75" i="11"/>
  <c r="F74" i="11"/>
  <c r="F75" i="11" s="1"/>
  <c r="I66" i="11"/>
  <c r="G66" i="11"/>
  <c r="F66" i="11"/>
  <c r="E66" i="11"/>
  <c r="D66" i="11"/>
  <c r="C65" i="11"/>
  <c r="C66" i="11" s="1"/>
  <c r="I57" i="11"/>
  <c r="G57" i="11"/>
  <c r="F57" i="11"/>
  <c r="E57" i="11"/>
  <c r="C57" i="11"/>
  <c r="D27" i="11"/>
  <c r="D23" i="11"/>
  <c r="D57" i="11" s="1"/>
  <c r="I13" i="11"/>
  <c r="G13" i="11"/>
  <c r="F13" i="11"/>
  <c r="E13" i="11" s="1"/>
  <c r="D13" i="11" s="1"/>
  <c r="C13" i="11" s="1"/>
  <c r="I1" i="11"/>
  <c r="D172" i="11" l="1"/>
  <c r="C81" i="11"/>
  <c r="I172" i="11"/>
  <c r="E172" i="11"/>
  <c r="D145" i="11"/>
  <c r="G81" i="11"/>
  <c r="G145" i="11"/>
  <c r="F172" i="11"/>
  <c r="G172" i="11"/>
  <c r="E81" i="11"/>
  <c r="I145" i="11"/>
  <c r="I81" i="11"/>
  <c r="C172" i="11"/>
  <c r="G451" i="100"/>
  <c r="D513" i="100" s="1"/>
  <c r="L451" i="100"/>
  <c r="I513" i="100" s="1"/>
  <c r="G390" i="100"/>
  <c r="M327" i="100"/>
  <c r="E145" i="11"/>
  <c r="F81" i="11"/>
  <c r="F145" i="11"/>
  <c r="D81" i="11"/>
  <c r="D198" i="11" s="1"/>
  <c r="D200" i="11" s="1"/>
  <c r="C145" i="11"/>
  <c r="G198" i="11" l="1"/>
  <c r="G200" i="11" s="1"/>
  <c r="F198" i="11"/>
  <c r="F200" i="11" s="1"/>
  <c r="I198" i="11"/>
  <c r="I200" i="11" s="1"/>
  <c r="C198" i="11"/>
  <c r="C200" i="11" s="1"/>
  <c r="E198" i="11"/>
  <c r="E200" i="11" s="1"/>
  <c r="L513" i="100"/>
  <c r="G513" i="100"/>
  <c r="M451" i="100"/>
  <c r="M390" i="100"/>
  <c r="E47" i="50"/>
  <c r="K47" i="50" s="1"/>
  <c r="E42" i="50"/>
  <c r="H86" i="6"/>
  <c r="J60" i="6"/>
  <c r="J59" i="6"/>
  <c r="J58" i="6"/>
  <c r="J57" i="6"/>
  <c r="J56" i="6"/>
  <c r="J55" i="6"/>
  <c r="J54" i="6"/>
  <c r="J41" i="6"/>
  <c r="J40" i="6"/>
  <c r="J39" i="6"/>
  <c r="J38" i="6"/>
  <c r="J37" i="6"/>
  <c r="J36" i="6"/>
  <c r="H66" i="6"/>
  <c r="J64" i="6"/>
  <c r="J63" i="6"/>
  <c r="J62" i="6"/>
  <c r="J61" i="6"/>
  <c r="J110" i="6" l="1"/>
  <c r="I110" i="6" s="1"/>
  <c r="M513" i="100"/>
  <c r="I86" i="6"/>
  <c r="J66" i="6"/>
  <c r="I66" i="6" s="1"/>
  <c r="G22" i="21" l="1"/>
  <c r="F22" i="21"/>
  <c r="E22" i="21"/>
  <c r="D22" i="21"/>
  <c r="C22" i="21"/>
  <c r="G19" i="21"/>
  <c r="F19" i="21"/>
  <c r="E19" i="21"/>
  <c r="D19" i="21"/>
  <c r="C19" i="21"/>
  <c r="E23" i="21" l="1"/>
  <c r="F23" i="21"/>
  <c r="C23" i="21"/>
  <c r="G23" i="21"/>
  <c r="D23" i="21"/>
  <c r="J35" i="124"/>
  <c r="G35" i="124"/>
  <c r="H67" i="124"/>
  <c r="H12" i="14" l="1"/>
  <c r="B14" i="114" l="1"/>
  <c r="C14" i="114"/>
  <c r="D14" i="114"/>
  <c r="E14" i="114"/>
  <c r="F14" i="114"/>
  <c r="G14" i="114"/>
  <c r="J45" i="124" l="1"/>
  <c r="J42" i="124"/>
  <c r="J41" i="124"/>
  <c r="G42" i="124"/>
  <c r="G41" i="124"/>
  <c r="I50" i="124" l="1"/>
  <c r="I35" i="124"/>
  <c r="J50" i="124"/>
  <c r="J49" i="124"/>
  <c r="J48" i="124"/>
  <c r="J47" i="124"/>
  <c r="J46" i="124"/>
  <c r="G50" i="124"/>
  <c r="G49" i="124"/>
  <c r="G48" i="124"/>
  <c r="G47" i="124"/>
  <c r="G46" i="124"/>
  <c r="F35" i="124"/>
  <c r="B30" i="126" l="1"/>
  <c r="B29" i="126"/>
  <c r="K45" i="124"/>
  <c r="M45" i="124" s="1"/>
  <c r="A45" i="124"/>
  <c r="AB23" i="98" l="1"/>
  <c r="Y23" i="98"/>
  <c r="V23" i="98"/>
  <c r="S23" i="98"/>
  <c r="P23" i="98"/>
  <c r="M23" i="98"/>
  <c r="J23" i="98"/>
  <c r="G23" i="98"/>
  <c r="D23" i="98"/>
  <c r="AB22" i="98"/>
  <c r="Y22" i="98"/>
  <c r="V22" i="98"/>
  <c r="S22" i="98"/>
  <c r="P22" i="98"/>
  <c r="M22" i="98"/>
  <c r="J22" i="98"/>
  <c r="G22" i="98"/>
  <c r="D22" i="98"/>
  <c r="L72" i="54"/>
  <c r="L88" i="54" s="1"/>
  <c r="K72" i="54"/>
  <c r="J72" i="54"/>
  <c r="I72" i="54"/>
  <c r="H72" i="54"/>
  <c r="G72" i="54"/>
  <c r="F72" i="54"/>
  <c r="E72" i="54"/>
  <c r="D72" i="54"/>
  <c r="AA22" i="54"/>
  <c r="X22" i="54"/>
  <c r="U22" i="54"/>
  <c r="R22" i="54"/>
  <c r="O22" i="54"/>
  <c r="L22" i="54"/>
  <c r="I22" i="54"/>
  <c r="F22" i="54"/>
  <c r="AA21" i="54"/>
  <c r="X21" i="54"/>
  <c r="U21" i="54"/>
  <c r="R21" i="54"/>
  <c r="O21" i="54"/>
  <c r="L21" i="54"/>
  <c r="I21" i="54"/>
  <c r="F21" i="54"/>
  <c r="C22" i="54"/>
  <c r="C21" i="54"/>
  <c r="I88" i="54"/>
  <c r="J88" i="54"/>
  <c r="K88" i="54"/>
  <c r="AD58" i="98" l="1"/>
  <c r="AC58" i="98"/>
  <c r="AA58" i="98"/>
  <c r="Z58" i="98"/>
  <c r="X58" i="98"/>
  <c r="W58" i="98"/>
  <c r="U58" i="98"/>
  <c r="T58" i="98"/>
  <c r="R58" i="98"/>
  <c r="Q58" i="98"/>
  <c r="O58" i="98"/>
  <c r="N58" i="98"/>
  <c r="L58" i="98"/>
  <c r="K58" i="98"/>
  <c r="I58" i="98"/>
  <c r="H58" i="98"/>
  <c r="F58" i="98"/>
  <c r="E58" i="98"/>
  <c r="T57" i="98"/>
  <c r="H57" i="98"/>
  <c r="AD38" i="98"/>
  <c r="AD57" i="98" s="1"/>
  <c r="AC38" i="98"/>
  <c r="AC57" i="98" s="1"/>
  <c r="AB38" i="98"/>
  <c r="Y38" i="98"/>
  <c r="AA38" i="98" s="1"/>
  <c r="AA57" i="98" s="1"/>
  <c r="W38" i="98"/>
  <c r="W57" i="98" s="1"/>
  <c r="V38" i="98"/>
  <c r="X38" i="98" s="1"/>
  <c r="X57" i="98" s="1"/>
  <c r="S38" i="98"/>
  <c r="T38" i="98" s="1"/>
  <c r="R38" i="98"/>
  <c r="R57" i="98" s="1"/>
  <c r="Q38" i="98"/>
  <c r="Q57" i="98" s="1"/>
  <c r="P38" i="98"/>
  <c r="O38" i="98"/>
  <c r="O57" i="98" s="1"/>
  <c r="N38" i="98"/>
  <c r="N57" i="98" s="1"/>
  <c r="M38" i="98"/>
  <c r="J38" i="98"/>
  <c r="L38" i="98" s="1"/>
  <c r="L57" i="98" s="1"/>
  <c r="I38" i="98"/>
  <c r="I57" i="98" s="1"/>
  <c r="G38" i="98"/>
  <c r="H38" i="98" s="1"/>
  <c r="F38" i="98"/>
  <c r="F57" i="98" s="1"/>
  <c r="E38" i="98"/>
  <c r="E57" i="98" s="1"/>
  <c r="D38" i="98"/>
  <c r="AD23" i="98"/>
  <c r="AA23" i="98"/>
  <c r="Z23" i="98"/>
  <c r="X23" i="98"/>
  <c r="X24" i="98" s="1"/>
  <c r="W23" i="98"/>
  <c r="R23" i="98"/>
  <c r="O23" i="98"/>
  <c r="N23" i="98"/>
  <c r="L23" i="98"/>
  <c r="L24" i="98" s="1"/>
  <c r="K23" i="98"/>
  <c r="F23" i="98"/>
  <c r="AC22" i="98"/>
  <c r="Z22" i="98"/>
  <c r="W22" i="98"/>
  <c r="W37" i="98" s="1"/>
  <c r="T22" i="98"/>
  <c r="Q22" i="98"/>
  <c r="N22" i="98"/>
  <c r="K22" i="98"/>
  <c r="H22" i="98"/>
  <c r="E22" i="98"/>
  <c r="AB21" i="98"/>
  <c r="Y21" i="98"/>
  <c r="AA21" i="98" s="1"/>
  <c r="X21" i="98"/>
  <c r="X25" i="98" s="1"/>
  <c r="V21" i="98"/>
  <c r="W21" i="98" s="1"/>
  <c r="U21" i="98"/>
  <c r="T21" i="98"/>
  <c r="S21" i="98"/>
  <c r="P21" i="98"/>
  <c r="M21" i="98"/>
  <c r="O21" i="98" s="1"/>
  <c r="L21" i="98"/>
  <c r="L25" i="98" s="1"/>
  <c r="J21" i="98"/>
  <c r="K21" i="98" s="1"/>
  <c r="I21" i="98"/>
  <c r="H21" i="98"/>
  <c r="G21" i="98"/>
  <c r="D21" i="98"/>
  <c r="O1" i="98"/>
  <c r="D72" i="98"/>
  <c r="D88" i="98" s="1"/>
  <c r="E72" i="98"/>
  <c r="E77" i="98" s="1"/>
  <c r="F72" i="98"/>
  <c r="F77" i="98" s="1"/>
  <c r="G72" i="98"/>
  <c r="H72" i="98"/>
  <c r="H88" i="98" s="1"/>
  <c r="I72" i="98"/>
  <c r="I77" i="98" s="1"/>
  <c r="J72" i="98"/>
  <c r="K72" i="98"/>
  <c r="L72" i="98"/>
  <c r="L88" i="98" s="1"/>
  <c r="D73" i="98"/>
  <c r="E71" i="98" s="1"/>
  <c r="E73" i="98"/>
  <c r="F71" i="98" s="1"/>
  <c r="E76" i="98"/>
  <c r="D77" i="98"/>
  <c r="D78" i="98" s="1"/>
  <c r="G77" i="98"/>
  <c r="H77" i="98"/>
  <c r="J77" i="98"/>
  <c r="K77" i="98"/>
  <c r="L77" i="98"/>
  <c r="D80" i="98"/>
  <c r="D81" i="98"/>
  <c r="D82" i="98" s="1"/>
  <c r="E88" i="98"/>
  <c r="E90" i="98" s="1"/>
  <c r="G88" i="98"/>
  <c r="I88" i="98"/>
  <c r="I90" i="98" s="1"/>
  <c r="J88" i="98"/>
  <c r="J90" i="98" s="1"/>
  <c r="K88" i="98"/>
  <c r="D89" i="98"/>
  <c r="D90" i="98"/>
  <c r="G90" i="98"/>
  <c r="H90" i="98"/>
  <c r="K90" i="98"/>
  <c r="L90" i="98"/>
  <c r="D91" i="98"/>
  <c r="D94" i="98" s="1"/>
  <c r="D92" i="98"/>
  <c r="E92" i="98"/>
  <c r="F92" i="98"/>
  <c r="G92" i="98"/>
  <c r="H92" i="98"/>
  <c r="I92" i="98"/>
  <c r="J92" i="98"/>
  <c r="K92" i="98"/>
  <c r="L92" i="98"/>
  <c r="D93" i="98"/>
  <c r="E93" i="98"/>
  <c r="F93" i="98"/>
  <c r="G93" i="98"/>
  <c r="H93" i="98"/>
  <c r="I93" i="98"/>
  <c r="J93" i="98"/>
  <c r="K93" i="98"/>
  <c r="L93" i="98"/>
  <c r="G93" i="54"/>
  <c r="H93" i="54" s="1"/>
  <c r="I93" i="54" s="1"/>
  <c r="J93" i="54" s="1"/>
  <c r="K93" i="54" s="1"/>
  <c r="L93" i="54" s="1"/>
  <c r="E93" i="54"/>
  <c r="F93" i="54" s="1"/>
  <c r="D93" i="54"/>
  <c r="H92" i="54"/>
  <c r="I92" i="54" s="1"/>
  <c r="J92" i="54" s="1"/>
  <c r="K92" i="54" s="1"/>
  <c r="L92" i="54" s="1"/>
  <c r="D92" i="54"/>
  <c r="E92" i="54" s="1"/>
  <c r="F92" i="54" s="1"/>
  <c r="G92" i="54" s="1"/>
  <c r="J90" i="54"/>
  <c r="I90" i="54"/>
  <c r="L90" i="54"/>
  <c r="K90" i="54"/>
  <c r="D88" i="54"/>
  <c r="I85" i="54"/>
  <c r="J85" i="54" s="1"/>
  <c r="K85" i="54" s="1"/>
  <c r="L85" i="54" s="1"/>
  <c r="D80" i="54"/>
  <c r="I77" i="54"/>
  <c r="E77" i="54"/>
  <c r="D76" i="54"/>
  <c r="L77" i="54"/>
  <c r="K77" i="54"/>
  <c r="J77" i="54"/>
  <c r="H77" i="54"/>
  <c r="G88" i="54"/>
  <c r="G90" i="54" s="1"/>
  <c r="F88" i="54"/>
  <c r="F90" i="54" s="1"/>
  <c r="E88" i="54"/>
  <c r="E90" i="54" s="1"/>
  <c r="K68" i="54"/>
  <c r="L68" i="54" s="1"/>
  <c r="I68" i="54"/>
  <c r="J68" i="54" s="1"/>
  <c r="V52" i="54"/>
  <c r="Y52" i="54" s="1"/>
  <c r="AB52" i="54" s="1"/>
  <c r="S52" i="54"/>
  <c r="O37" i="54"/>
  <c r="H37" i="54"/>
  <c r="H56" i="54" s="1"/>
  <c r="G37" i="54"/>
  <c r="G56" i="54" s="1"/>
  <c r="F37" i="54"/>
  <c r="Q23" i="54"/>
  <c r="AB22" i="54"/>
  <c r="AB23" i="54" s="1"/>
  <c r="AC22" i="54"/>
  <c r="AC36" i="54" s="1"/>
  <c r="Y22" i="54"/>
  <c r="W22" i="54"/>
  <c r="W36" i="54" s="1"/>
  <c r="V22" i="54"/>
  <c r="T22" i="54"/>
  <c r="S22" i="54"/>
  <c r="Q22" i="54"/>
  <c r="Q36" i="54" s="1"/>
  <c r="N22" i="54"/>
  <c r="M22" i="54"/>
  <c r="K22" i="54"/>
  <c r="K36" i="54" s="1"/>
  <c r="J22" i="54"/>
  <c r="H22" i="54"/>
  <c r="D22" i="54"/>
  <c r="E22" i="54"/>
  <c r="E36" i="54" s="1"/>
  <c r="AB21" i="54"/>
  <c r="Y21" i="54"/>
  <c r="V21" i="54"/>
  <c r="V36" i="54" s="1"/>
  <c r="S21" i="54"/>
  <c r="S23" i="54" s="1"/>
  <c r="P21" i="54"/>
  <c r="M21" i="54"/>
  <c r="J21" i="54"/>
  <c r="J23" i="54" s="1"/>
  <c r="G21" i="54"/>
  <c r="D21" i="54"/>
  <c r="K101" i="55"/>
  <c r="J101" i="55"/>
  <c r="I101" i="55"/>
  <c r="H101" i="55"/>
  <c r="G101" i="55"/>
  <c r="F101" i="55"/>
  <c r="E101" i="55"/>
  <c r="D101" i="55"/>
  <c r="C101" i="55"/>
  <c r="K100" i="55"/>
  <c r="J100" i="55"/>
  <c r="I100" i="55"/>
  <c r="H100" i="55"/>
  <c r="G100" i="55"/>
  <c r="F100" i="55"/>
  <c r="E100" i="55"/>
  <c r="D100" i="55"/>
  <c r="C100" i="55"/>
  <c r="K99" i="55"/>
  <c r="J99" i="55"/>
  <c r="I99" i="55"/>
  <c r="H99" i="55"/>
  <c r="G99" i="55"/>
  <c r="F99" i="55"/>
  <c r="E99" i="55"/>
  <c r="D99" i="55"/>
  <c r="C99" i="55"/>
  <c r="H68" i="55"/>
  <c r="I68" i="55" s="1"/>
  <c r="J68" i="55" s="1"/>
  <c r="K68" i="55" s="1"/>
  <c r="K64" i="55"/>
  <c r="J64" i="55"/>
  <c r="I64" i="55"/>
  <c r="H64" i="55"/>
  <c r="G64" i="55"/>
  <c r="F64" i="55"/>
  <c r="E64" i="55"/>
  <c r="D64" i="55"/>
  <c r="C64" i="55"/>
  <c r="K63" i="55"/>
  <c r="J63" i="55"/>
  <c r="I63" i="55"/>
  <c r="H63" i="55"/>
  <c r="G63" i="55"/>
  <c r="F63" i="55"/>
  <c r="E63" i="55"/>
  <c r="D63" i="55"/>
  <c r="C63" i="55"/>
  <c r="K62" i="55"/>
  <c r="J62" i="55"/>
  <c r="I62" i="55"/>
  <c r="H62" i="55"/>
  <c r="G62" i="55"/>
  <c r="F62" i="55"/>
  <c r="E62" i="55"/>
  <c r="D62" i="55"/>
  <c r="C62" i="55"/>
  <c r="H31" i="55"/>
  <c r="I31" i="55" s="1"/>
  <c r="J31" i="55" s="1"/>
  <c r="K31" i="55" s="1"/>
  <c r="Y36" i="54" l="1"/>
  <c r="X37" i="98"/>
  <c r="K23" i="54"/>
  <c r="K24" i="98"/>
  <c r="M36" i="54"/>
  <c r="AC23" i="54"/>
  <c r="E23" i="54"/>
  <c r="D23" i="54"/>
  <c r="X29" i="98"/>
  <c r="X33" i="98" s="1"/>
  <c r="X28" i="98"/>
  <c r="X32" i="98" s="1"/>
  <c r="X30" i="98"/>
  <c r="X34" i="98" s="1"/>
  <c r="X56" i="98" s="1"/>
  <c r="X59" i="98" s="1"/>
  <c r="X63" i="98" s="1"/>
  <c r="X65" i="98" s="1"/>
  <c r="X66" i="98" s="1"/>
  <c r="X39" i="98" s="1"/>
  <c r="F21" i="98"/>
  <c r="E21" i="98"/>
  <c r="K25" i="98"/>
  <c r="N37" i="98"/>
  <c r="N24" i="98"/>
  <c r="R37" i="98"/>
  <c r="R24" i="98"/>
  <c r="L28" i="98"/>
  <c r="L32" i="98" s="1"/>
  <c r="L30" i="98"/>
  <c r="L34" i="98" s="1"/>
  <c r="L56" i="98" s="1"/>
  <c r="L59" i="98" s="1"/>
  <c r="L63" i="98" s="1"/>
  <c r="L65" i="98" s="1"/>
  <c r="L66" i="98" s="1"/>
  <c r="L39" i="98" s="1"/>
  <c r="L29" i="98"/>
  <c r="L33" i="98" s="1"/>
  <c r="F37" i="98"/>
  <c r="F24" i="98"/>
  <c r="U23" i="98"/>
  <c r="T23" i="98"/>
  <c r="T37" i="98" s="1"/>
  <c r="AC21" i="98"/>
  <c r="AD21" i="98"/>
  <c r="AD25" i="98" s="1"/>
  <c r="Z37" i="98"/>
  <c r="Z24" i="98"/>
  <c r="H23" i="98"/>
  <c r="H37" i="98" s="1"/>
  <c r="I23" i="98"/>
  <c r="AA37" i="98"/>
  <c r="AA24" i="98"/>
  <c r="AA25" i="98" s="1"/>
  <c r="Q24" i="98"/>
  <c r="Q21" i="98"/>
  <c r="R21" i="98"/>
  <c r="K37" i="98"/>
  <c r="O37" i="98"/>
  <c r="O24" i="98"/>
  <c r="O25" i="98" s="1"/>
  <c r="AD37" i="98"/>
  <c r="AD24" i="98"/>
  <c r="W24" i="98"/>
  <c r="W25" i="98" s="1"/>
  <c r="E23" i="98"/>
  <c r="E37" i="98" s="1"/>
  <c r="Q23" i="98"/>
  <c r="Q37" i="98" s="1"/>
  <c r="N21" i="98"/>
  <c r="Z21" i="98"/>
  <c r="Z25" i="98" s="1"/>
  <c r="AC23" i="98"/>
  <c r="AC37" i="98" s="1"/>
  <c r="L37" i="98"/>
  <c r="K38" i="98"/>
  <c r="K57" i="98" s="1"/>
  <c r="U38" i="98"/>
  <c r="U57" i="98" s="1"/>
  <c r="Z38" i="98"/>
  <c r="Z57" i="98" s="1"/>
  <c r="D95" i="98"/>
  <c r="E87" i="98" s="1"/>
  <c r="E89" i="98" s="1"/>
  <c r="F73" i="98"/>
  <c r="F76" i="98"/>
  <c r="E75" i="98"/>
  <c r="F88" i="98"/>
  <c r="F90" i="98" s="1"/>
  <c r="H36" i="54"/>
  <c r="H23" i="54"/>
  <c r="N36" i="54"/>
  <c r="N23" i="54"/>
  <c r="D36" i="54"/>
  <c r="J36" i="54"/>
  <c r="P36" i="54"/>
  <c r="AB36" i="54"/>
  <c r="G22" i="54"/>
  <c r="G23" i="54" s="1"/>
  <c r="P22" i="54"/>
  <c r="Z22" i="54"/>
  <c r="M23" i="54"/>
  <c r="V23" i="54"/>
  <c r="P37" i="54"/>
  <c r="P56" i="54" s="1"/>
  <c r="Q37" i="54"/>
  <c r="Q56" i="54" s="1"/>
  <c r="P23" i="54"/>
  <c r="W23" i="54"/>
  <c r="S36" i="54"/>
  <c r="Y23" i="54"/>
  <c r="T36" i="54"/>
  <c r="T23" i="54"/>
  <c r="D90" i="54"/>
  <c r="D89" i="54"/>
  <c r="D77" i="54"/>
  <c r="D73" i="54"/>
  <c r="H88" i="54"/>
  <c r="H90" i="54" s="1"/>
  <c r="F77" i="54"/>
  <c r="I37" i="54" s="1"/>
  <c r="G77" i="54"/>
  <c r="L37" i="54" s="1"/>
  <c r="E120" i="122"/>
  <c r="G36" i="54" l="1"/>
  <c r="X35" i="98"/>
  <c r="X41" i="98" s="1"/>
  <c r="X44" i="98" s="1"/>
  <c r="X46" i="98" s="1"/>
  <c r="R25" i="98"/>
  <c r="R28" i="98" s="1"/>
  <c r="R32" i="98" s="1"/>
  <c r="F25" i="98"/>
  <c r="W30" i="98"/>
  <c r="W34" i="98" s="1"/>
  <c r="W56" i="98" s="1"/>
  <c r="W59" i="98" s="1"/>
  <c r="W63" i="98" s="1"/>
  <c r="W65" i="98" s="1"/>
  <c r="W66" i="98" s="1"/>
  <c r="W39" i="98" s="1"/>
  <c r="W28" i="98"/>
  <c r="W32" i="98" s="1"/>
  <c r="W29" i="98"/>
  <c r="W33" i="98" s="1"/>
  <c r="AA28" i="98"/>
  <c r="AA32" i="98" s="1"/>
  <c r="AA30" i="98"/>
  <c r="AA34" i="98" s="1"/>
  <c r="AA56" i="98" s="1"/>
  <c r="AA59" i="98" s="1"/>
  <c r="AA63" i="98" s="1"/>
  <c r="AA65" i="98" s="1"/>
  <c r="AA66" i="98" s="1"/>
  <c r="AA39" i="98" s="1"/>
  <c r="AA29" i="98"/>
  <c r="AA33" i="98" s="1"/>
  <c r="O28" i="98"/>
  <c r="O32" i="98" s="1"/>
  <c r="O29" i="98"/>
  <c r="O33" i="98" s="1"/>
  <c r="O30" i="98"/>
  <c r="O34" i="98" s="1"/>
  <c r="O56" i="98" s="1"/>
  <c r="O59" i="98" s="1"/>
  <c r="O63" i="98" s="1"/>
  <c r="O65" i="98" s="1"/>
  <c r="O66" i="98" s="1"/>
  <c r="O39" i="98" s="1"/>
  <c r="AD30" i="98"/>
  <c r="AD34" i="98" s="1"/>
  <c r="AD56" i="98" s="1"/>
  <c r="AD59" i="98" s="1"/>
  <c r="AD63" i="98" s="1"/>
  <c r="AD65" i="98" s="1"/>
  <c r="AD66" i="98" s="1"/>
  <c r="AD39" i="98" s="1"/>
  <c r="AD29" i="98"/>
  <c r="AD33" i="98" s="1"/>
  <c r="AD28" i="98"/>
  <c r="AD32" i="98" s="1"/>
  <c r="AC24" i="98"/>
  <c r="AC25" i="98" s="1"/>
  <c r="K30" i="98"/>
  <c r="K34" i="98" s="1"/>
  <c r="K56" i="98" s="1"/>
  <c r="K59" i="98" s="1"/>
  <c r="K63" i="98" s="1"/>
  <c r="K65" i="98" s="1"/>
  <c r="K66" i="98" s="1"/>
  <c r="K39" i="98" s="1"/>
  <c r="K28" i="98"/>
  <c r="K32" i="98" s="1"/>
  <c r="K29" i="98"/>
  <c r="K33" i="98" s="1"/>
  <c r="Z29" i="98"/>
  <c r="Z33" i="98" s="1"/>
  <c r="Z28" i="98"/>
  <c r="Z32" i="98" s="1"/>
  <c r="Z30" i="98"/>
  <c r="Z34" i="98" s="1"/>
  <c r="Z56" i="98" s="1"/>
  <c r="Z59" i="98" s="1"/>
  <c r="Z63" i="98" s="1"/>
  <c r="Z65" i="98" s="1"/>
  <c r="Z66" i="98" s="1"/>
  <c r="Z39" i="98" s="1"/>
  <c r="H24" i="98"/>
  <c r="H25" i="98" s="1"/>
  <c r="E24" i="98"/>
  <c r="E25" i="98" s="1"/>
  <c r="N25" i="98"/>
  <c r="T24" i="98"/>
  <c r="T25" i="98" s="1"/>
  <c r="U24" i="98"/>
  <c r="U25" i="98" s="1"/>
  <c r="U37" i="98"/>
  <c r="F30" i="98"/>
  <c r="F34" i="98" s="1"/>
  <c r="F56" i="98" s="1"/>
  <c r="F59" i="98" s="1"/>
  <c r="F63" i="98" s="1"/>
  <c r="F65" i="98" s="1"/>
  <c r="F66" i="98" s="1"/>
  <c r="F39" i="98" s="1"/>
  <c r="F29" i="98"/>
  <c r="F33" i="98" s="1"/>
  <c r="F28" i="98"/>
  <c r="F32" i="98" s="1"/>
  <c r="F35" i="98" s="1"/>
  <c r="F41" i="98" s="1"/>
  <c r="F44" i="98" s="1"/>
  <c r="F46" i="98" s="1"/>
  <c r="Q25" i="98"/>
  <c r="I37" i="98"/>
  <c r="I24" i="98"/>
  <c r="I25" i="98" s="1"/>
  <c r="L35" i="98"/>
  <c r="L41" i="98" s="1"/>
  <c r="L44" i="98" s="1"/>
  <c r="L46" i="98" s="1"/>
  <c r="G71" i="98"/>
  <c r="E80" i="98"/>
  <c r="E78" i="98"/>
  <c r="E91" i="98"/>
  <c r="E94" i="98" s="1"/>
  <c r="E95" i="98"/>
  <c r="F87" i="98" s="1"/>
  <c r="F89" i="98" s="1"/>
  <c r="N37" i="54"/>
  <c r="N56" i="54" s="1"/>
  <c r="M37" i="54"/>
  <c r="M56" i="54" s="1"/>
  <c r="D78" i="54"/>
  <c r="E75" i="54" s="1"/>
  <c r="C37" i="54"/>
  <c r="J37" i="54"/>
  <c r="J56" i="54" s="1"/>
  <c r="K37" i="54"/>
  <c r="K56" i="54" s="1"/>
  <c r="D91" i="54"/>
  <c r="D94" i="54" s="1"/>
  <c r="Z36" i="54"/>
  <c r="Z23" i="54"/>
  <c r="E71" i="54"/>
  <c r="R35" i="98" l="1"/>
  <c r="R41" i="98" s="1"/>
  <c r="R44" i="98" s="1"/>
  <c r="R46" i="98" s="1"/>
  <c r="D81" i="54"/>
  <c r="D82" i="54" s="1"/>
  <c r="C20" i="54" s="1"/>
  <c r="E20" i="54" s="1"/>
  <c r="E24" i="54" s="1"/>
  <c r="R29" i="98"/>
  <c r="R33" i="98" s="1"/>
  <c r="R30" i="98"/>
  <c r="R34" i="98" s="1"/>
  <c r="R56" i="98" s="1"/>
  <c r="R59" i="98" s="1"/>
  <c r="R63" i="98" s="1"/>
  <c r="R65" i="98" s="1"/>
  <c r="R66" i="98" s="1"/>
  <c r="R39" i="98" s="1"/>
  <c r="Z35" i="98"/>
  <c r="Z41" i="98" s="1"/>
  <c r="W35" i="98"/>
  <c r="W41" i="98" s="1"/>
  <c r="E30" i="98"/>
  <c r="E34" i="98" s="1"/>
  <c r="E56" i="98" s="1"/>
  <c r="E59" i="98" s="1"/>
  <c r="E63" i="98" s="1"/>
  <c r="E65" i="98" s="1"/>
  <c r="E66" i="98" s="1"/>
  <c r="E39" i="98" s="1"/>
  <c r="E28" i="98"/>
  <c r="E32" i="98" s="1"/>
  <c r="E29" i="98"/>
  <c r="E33" i="98" s="1"/>
  <c r="AC30" i="98"/>
  <c r="AC34" i="98" s="1"/>
  <c r="AC56" i="98" s="1"/>
  <c r="AC59" i="98" s="1"/>
  <c r="AC63" i="98" s="1"/>
  <c r="AC65" i="98" s="1"/>
  <c r="AC66" i="98" s="1"/>
  <c r="AC39" i="98" s="1"/>
  <c r="AC28" i="98"/>
  <c r="AC32" i="98" s="1"/>
  <c r="AC29" i="98"/>
  <c r="AC33" i="98" s="1"/>
  <c r="H29" i="98"/>
  <c r="H33" i="98" s="1"/>
  <c r="H28" i="98"/>
  <c r="H32" i="98" s="1"/>
  <c r="H30" i="98"/>
  <c r="H34" i="98" s="1"/>
  <c r="H56" i="98" s="1"/>
  <c r="H59" i="98" s="1"/>
  <c r="H63" i="98" s="1"/>
  <c r="H65" i="98" s="1"/>
  <c r="H66" i="98" s="1"/>
  <c r="H39" i="98" s="1"/>
  <c r="Q30" i="98"/>
  <c r="Q34" i="98" s="1"/>
  <c r="Q56" i="98" s="1"/>
  <c r="Q59" i="98" s="1"/>
  <c r="Q63" i="98" s="1"/>
  <c r="Q65" i="98" s="1"/>
  <c r="Q66" i="98" s="1"/>
  <c r="Q39" i="98" s="1"/>
  <c r="Q28" i="98"/>
  <c r="Q32" i="98" s="1"/>
  <c r="Q29" i="98"/>
  <c r="Q33" i="98" s="1"/>
  <c r="T29" i="98"/>
  <c r="T33" i="98" s="1"/>
  <c r="T28" i="98"/>
  <c r="T32" i="98" s="1"/>
  <c r="T30" i="98"/>
  <c r="T34" i="98" s="1"/>
  <c r="T56" i="98" s="1"/>
  <c r="T59" i="98" s="1"/>
  <c r="T63" i="98" s="1"/>
  <c r="T65" i="98" s="1"/>
  <c r="T66" i="98" s="1"/>
  <c r="T39" i="98" s="1"/>
  <c r="I30" i="98"/>
  <c r="I34" i="98" s="1"/>
  <c r="I56" i="98" s="1"/>
  <c r="I59" i="98" s="1"/>
  <c r="I63" i="98" s="1"/>
  <c r="I65" i="98" s="1"/>
  <c r="I66" i="98" s="1"/>
  <c r="I39" i="98" s="1"/>
  <c r="I29" i="98"/>
  <c r="I33" i="98" s="1"/>
  <c r="I28" i="98"/>
  <c r="I32" i="98" s="1"/>
  <c r="N29" i="98"/>
  <c r="N33" i="98" s="1"/>
  <c r="N30" i="98"/>
  <c r="N34" i="98" s="1"/>
  <c r="N56" i="98" s="1"/>
  <c r="N59" i="98" s="1"/>
  <c r="N63" i="98" s="1"/>
  <c r="N65" i="98" s="1"/>
  <c r="N66" i="98" s="1"/>
  <c r="N39" i="98" s="1"/>
  <c r="N28" i="98"/>
  <c r="N32" i="98" s="1"/>
  <c r="AD35" i="98"/>
  <c r="AD41" i="98" s="1"/>
  <c r="AD44" i="98" s="1"/>
  <c r="AD46" i="98" s="1"/>
  <c r="AA35" i="98"/>
  <c r="AA41" i="98" s="1"/>
  <c r="AA44" i="98" s="1"/>
  <c r="AA46" i="98" s="1"/>
  <c r="K35" i="98"/>
  <c r="K41" i="98" s="1"/>
  <c r="O35" i="98"/>
  <c r="O41" i="98" s="1"/>
  <c r="O44" i="98" s="1"/>
  <c r="O46" i="98" s="1"/>
  <c r="U30" i="98"/>
  <c r="U34" i="98" s="1"/>
  <c r="U56" i="98" s="1"/>
  <c r="U59" i="98" s="1"/>
  <c r="U63" i="98" s="1"/>
  <c r="U65" i="98" s="1"/>
  <c r="U66" i="98" s="1"/>
  <c r="U39" i="98" s="1"/>
  <c r="U29" i="98"/>
  <c r="U33" i="98" s="1"/>
  <c r="U28" i="98"/>
  <c r="U32" i="98" s="1"/>
  <c r="F75" i="98"/>
  <c r="E81" i="98"/>
  <c r="G73" i="98"/>
  <c r="G76" i="98"/>
  <c r="E82" i="98"/>
  <c r="F91" i="98"/>
  <c r="F94" i="98" s="1"/>
  <c r="F95" i="98"/>
  <c r="G87" i="98" s="1"/>
  <c r="G89" i="98" s="1"/>
  <c r="E76" i="54"/>
  <c r="E78" i="54" s="1"/>
  <c r="F75" i="54" s="1"/>
  <c r="E80" i="54"/>
  <c r="E73" i="54"/>
  <c r="D57" i="54"/>
  <c r="E57" i="54"/>
  <c r="D37" i="54"/>
  <c r="D56" i="54" s="1"/>
  <c r="E37" i="54"/>
  <c r="E56" i="54" s="1"/>
  <c r="D20" i="54"/>
  <c r="D24" i="54" s="1"/>
  <c r="D95" i="54"/>
  <c r="E87" i="54" s="1"/>
  <c r="E89" i="54" s="1"/>
  <c r="K50" i="124"/>
  <c r="F50" i="124"/>
  <c r="K49" i="124"/>
  <c r="K48" i="124"/>
  <c r="H48" i="124"/>
  <c r="K47" i="124"/>
  <c r="H47" i="124"/>
  <c r="K46" i="124"/>
  <c r="H46" i="124"/>
  <c r="G44" i="124"/>
  <c r="H44" i="124" s="1"/>
  <c r="M44" i="124" s="1"/>
  <c r="L43" i="124"/>
  <c r="M43" i="124" s="1"/>
  <c r="K43" i="124"/>
  <c r="H43" i="124"/>
  <c r="K42" i="124"/>
  <c r="H42" i="124"/>
  <c r="K41" i="124"/>
  <c r="H41" i="124"/>
  <c r="J39" i="124"/>
  <c r="K39" i="124" s="1"/>
  <c r="G39" i="124"/>
  <c r="H39" i="124" s="1"/>
  <c r="J38" i="124"/>
  <c r="K38" i="124" s="1"/>
  <c r="G38" i="124"/>
  <c r="H38" i="124" s="1"/>
  <c r="K36" i="124"/>
  <c r="L36" i="124" s="1"/>
  <c r="M36" i="124" s="1"/>
  <c r="H36" i="124"/>
  <c r="K35" i="124"/>
  <c r="H35" i="124"/>
  <c r="J34" i="124"/>
  <c r="K34" i="124" s="1"/>
  <c r="G34" i="124"/>
  <c r="H34" i="124" s="1"/>
  <c r="J33" i="124"/>
  <c r="K33" i="124" s="1"/>
  <c r="G33" i="124"/>
  <c r="H33" i="124" s="1"/>
  <c r="J32" i="124"/>
  <c r="K32" i="124" s="1"/>
  <c r="L32" i="124" s="1"/>
  <c r="M32" i="124" s="1"/>
  <c r="G32" i="124"/>
  <c r="H32" i="124" s="1"/>
  <c r="J31" i="124"/>
  <c r="K31" i="124" s="1"/>
  <c r="G31" i="124"/>
  <c r="H31" i="124" s="1"/>
  <c r="J30" i="124"/>
  <c r="K30" i="124" s="1"/>
  <c r="G30" i="124"/>
  <c r="H30" i="124" s="1"/>
  <c r="J28" i="124"/>
  <c r="K28" i="124" s="1"/>
  <c r="G28" i="124"/>
  <c r="H28" i="124" s="1"/>
  <c r="J27" i="124"/>
  <c r="K27" i="124" s="1"/>
  <c r="L27" i="124" s="1"/>
  <c r="M27" i="124" s="1"/>
  <c r="G27" i="124"/>
  <c r="H27" i="124" s="1"/>
  <c r="J26" i="124"/>
  <c r="K26" i="124" s="1"/>
  <c r="G26" i="124"/>
  <c r="H26" i="124" s="1"/>
  <c r="J25" i="124"/>
  <c r="K25" i="124" s="1"/>
  <c r="G25" i="124"/>
  <c r="H25" i="124" s="1"/>
  <c r="J24" i="124"/>
  <c r="K24" i="124" s="1"/>
  <c r="G24" i="124"/>
  <c r="H24" i="124" s="1"/>
  <c r="L24" i="124" s="1"/>
  <c r="M24" i="124" s="1"/>
  <c r="J23" i="124"/>
  <c r="K23" i="124" s="1"/>
  <c r="G23" i="124"/>
  <c r="H23" i="124" s="1"/>
  <c r="J22" i="124"/>
  <c r="K22" i="124" s="1"/>
  <c r="G22" i="124"/>
  <c r="H22" i="124" s="1"/>
  <c r="J21" i="124"/>
  <c r="K21" i="124" s="1"/>
  <c r="G21" i="124"/>
  <c r="H21" i="124" s="1"/>
  <c r="J20" i="124"/>
  <c r="K20" i="124" s="1"/>
  <c r="G20" i="124"/>
  <c r="H20" i="124" s="1"/>
  <c r="L20" i="124" s="1"/>
  <c r="M20" i="124" s="1"/>
  <c r="J19" i="124"/>
  <c r="K19" i="124" s="1"/>
  <c r="G19" i="124"/>
  <c r="H19" i="124" s="1"/>
  <c r="K18" i="124"/>
  <c r="H18" i="124"/>
  <c r="L17" i="124"/>
  <c r="M17" i="124" s="1"/>
  <c r="K17" i="124"/>
  <c r="H17" i="124"/>
  <c r="L16" i="124"/>
  <c r="M16" i="124" s="1"/>
  <c r="K16" i="124"/>
  <c r="H16" i="124"/>
  <c r="A16" i="124"/>
  <c r="A17" i="124" s="1"/>
  <c r="A18" i="124" s="1"/>
  <c r="A19" i="124" s="1"/>
  <c r="A20" i="124" s="1"/>
  <c r="A21" i="124" s="1"/>
  <c r="A22" i="124" s="1"/>
  <c r="A23" i="124" s="1"/>
  <c r="A24" i="124" s="1"/>
  <c r="A25" i="124" s="1"/>
  <c r="A26" i="124" s="1"/>
  <c r="A27" i="124" s="1"/>
  <c r="A28" i="124" s="1"/>
  <c r="A29" i="124" s="1"/>
  <c r="A30" i="124" s="1"/>
  <c r="A31" i="124" s="1"/>
  <c r="A32" i="124" s="1"/>
  <c r="A33" i="124" s="1"/>
  <c r="A34" i="124" s="1"/>
  <c r="A35" i="124" s="1"/>
  <c r="A36" i="124" s="1"/>
  <c r="A37" i="124" s="1"/>
  <c r="A38" i="124" s="1"/>
  <c r="A39" i="124" s="1"/>
  <c r="A40" i="124" s="1"/>
  <c r="A41" i="124" s="1"/>
  <c r="A42" i="124" s="1"/>
  <c r="A43" i="124" s="1"/>
  <c r="A44" i="124" s="1"/>
  <c r="A46" i="124" s="1"/>
  <c r="A47" i="124" s="1"/>
  <c r="A48" i="124" s="1"/>
  <c r="A49" i="124" s="1"/>
  <c r="A50" i="124" s="1"/>
  <c r="A51" i="124" s="1"/>
  <c r="A52" i="124" s="1"/>
  <c r="A53" i="124" s="1"/>
  <c r="A54" i="124" s="1"/>
  <c r="A55" i="124" s="1"/>
  <c r="A56" i="124" s="1"/>
  <c r="A57" i="124" s="1"/>
  <c r="A58" i="124" s="1"/>
  <c r="A59" i="124" s="1"/>
  <c r="A60" i="124" s="1"/>
  <c r="A61" i="124" s="1"/>
  <c r="A62" i="124" s="1"/>
  <c r="A63" i="124" s="1"/>
  <c r="A64" i="124" s="1"/>
  <c r="A65" i="124" s="1"/>
  <c r="A66" i="124" s="1"/>
  <c r="A67" i="124" s="1"/>
  <c r="A68" i="124" s="1"/>
  <c r="A69" i="124" s="1"/>
  <c r="K15" i="124"/>
  <c r="H15" i="124"/>
  <c r="L15" i="124" s="1"/>
  <c r="M15" i="124" s="1"/>
  <c r="A15" i="124"/>
  <c r="K14" i="124"/>
  <c r="H14" i="124"/>
  <c r="A14" i="124"/>
  <c r="L13" i="124"/>
  <c r="M13" i="124" s="1"/>
  <c r="K13" i="124"/>
  <c r="H13" i="124"/>
  <c r="A13" i="124"/>
  <c r="G74" i="123"/>
  <c r="D74" i="123"/>
  <c r="B74" i="123"/>
  <c r="G73" i="123"/>
  <c r="D73" i="123"/>
  <c r="B73" i="123"/>
  <c r="G72" i="123"/>
  <c r="D72" i="123"/>
  <c r="B72" i="123"/>
  <c r="G71" i="123"/>
  <c r="D71" i="123"/>
  <c r="B71" i="123"/>
  <c r="G70" i="123"/>
  <c r="D70" i="123"/>
  <c r="B70" i="123"/>
  <c r="D69" i="123"/>
  <c r="B69" i="123"/>
  <c r="D68" i="123"/>
  <c r="B68" i="123"/>
  <c r="D67" i="123"/>
  <c r="B67" i="123"/>
  <c r="D66" i="123"/>
  <c r="B66" i="123"/>
  <c r="D65" i="123"/>
  <c r="B65" i="123"/>
  <c r="G64" i="123"/>
  <c r="D64" i="123"/>
  <c r="B64" i="123"/>
  <c r="G63" i="123"/>
  <c r="D63" i="123"/>
  <c r="B63" i="123"/>
  <c r="G62" i="123"/>
  <c r="D62" i="123"/>
  <c r="B62" i="123"/>
  <c r="G61" i="123"/>
  <c r="D61" i="123"/>
  <c r="B61" i="123"/>
  <c r="G60" i="123"/>
  <c r="D60" i="123"/>
  <c r="B60" i="123"/>
  <c r="G59" i="123"/>
  <c r="D59" i="123"/>
  <c r="B59" i="123"/>
  <c r="G58" i="123"/>
  <c r="D58" i="123"/>
  <c r="B58" i="123"/>
  <c r="G57" i="123"/>
  <c r="D57" i="123"/>
  <c r="B57" i="123"/>
  <c r="G56" i="123"/>
  <c r="D56" i="123"/>
  <c r="B56" i="123"/>
  <c r="G55" i="123"/>
  <c r="D55" i="123"/>
  <c r="B55" i="123"/>
  <c r="T49" i="123"/>
  <c r="T48" i="123"/>
  <c r="T47" i="123"/>
  <c r="T46" i="123"/>
  <c r="T45" i="123"/>
  <c r="T44" i="123"/>
  <c r="T43" i="123"/>
  <c r="T42" i="123"/>
  <c r="T41" i="123"/>
  <c r="T40" i="123"/>
  <c r="T39" i="123"/>
  <c r="T38" i="123"/>
  <c r="U31" i="123"/>
  <c r="U32" i="123" s="1"/>
  <c r="U33" i="123" s="1"/>
  <c r="U34" i="123" s="1"/>
  <c r="U35" i="123" s="1"/>
  <c r="U36" i="123" s="1"/>
  <c r="U37" i="123" s="1"/>
  <c r="U38" i="123" s="1"/>
  <c r="U39" i="123" s="1"/>
  <c r="U40" i="123" s="1"/>
  <c r="U41" i="123" s="1"/>
  <c r="U42" i="123" s="1"/>
  <c r="U43" i="123" s="1"/>
  <c r="U44" i="123" s="1"/>
  <c r="U45" i="123" s="1"/>
  <c r="U46" i="123" s="1"/>
  <c r="U47" i="123" s="1"/>
  <c r="U48" i="123" s="1"/>
  <c r="U49" i="123" s="1"/>
  <c r="M1" i="123"/>
  <c r="L28" i="124" l="1"/>
  <c r="M28" i="124" s="1"/>
  <c r="L26" i="124"/>
  <c r="M26" i="124" s="1"/>
  <c r="L48" i="124"/>
  <c r="M48" i="124" s="1"/>
  <c r="L30" i="124"/>
  <c r="M30" i="124" s="1"/>
  <c r="L21" i="124"/>
  <c r="M21" i="124" s="1"/>
  <c r="L22" i="124"/>
  <c r="M22" i="124" s="1"/>
  <c r="L33" i="124"/>
  <c r="M33" i="124" s="1"/>
  <c r="L34" i="124"/>
  <c r="M34" i="124" s="1"/>
  <c r="H29" i="124"/>
  <c r="M29" i="124" s="1"/>
  <c r="L23" i="124"/>
  <c r="M23" i="124" s="1"/>
  <c r="L19" i="124"/>
  <c r="M19" i="124" s="1"/>
  <c r="L25" i="124"/>
  <c r="M25" i="124" s="1"/>
  <c r="L31" i="124"/>
  <c r="M31" i="124" s="1"/>
  <c r="L39" i="124"/>
  <c r="M39" i="124" s="1"/>
  <c r="L42" i="124"/>
  <c r="M42" i="124" s="1"/>
  <c r="L35" i="124"/>
  <c r="M35" i="124" s="1"/>
  <c r="L47" i="124"/>
  <c r="M47" i="124" s="1"/>
  <c r="L46" i="124"/>
  <c r="M46" i="124" s="1"/>
  <c r="L18" i="124"/>
  <c r="M18" i="124" s="1"/>
  <c r="I35" i="98"/>
  <c r="I41" i="98" s="1"/>
  <c r="I44" i="98" s="1"/>
  <c r="I46" i="98" s="1"/>
  <c r="T35" i="98"/>
  <c r="T41" i="98" s="1"/>
  <c r="E35" i="98"/>
  <c r="E41" i="98" s="1"/>
  <c r="N35" i="98"/>
  <c r="N41" i="98" s="1"/>
  <c r="AC35" i="98"/>
  <c r="AC41" i="98" s="1"/>
  <c r="U35" i="98"/>
  <c r="U41" i="98" s="1"/>
  <c r="U44" i="98" s="1"/>
  <c r="U46" i="98" s="1"/>
  <c r="H35" i="98"/>
  <c r="H41" i="98" s="1"/>
  <c r="Q35" i="98"/>
  <c r="Q41" i="98" s="1"/>
  <c r="F78" i="98"/>
  <c r="F80" i="98"/>
  <c r="G91" i="98"/>
  <c r="G94" i="98" s="1"/>
  <c r="G95" i="98"/>
  <c r="H87" i="98" s="1"/>
  <c r="H89" i="98" s="1"/>
  <c r="H71" i="98"/>
  <c r="E91" i="54"/>
  <c r="E94" i="54" s="1"/>
  <c r="E82" i="54"/>
  <c r="F20" i="54" s="1"/>
  <c r="D28" i="54"/>
  <c r="D32" i="54" s="1"/>
  <c r="D29" i="54"/>
  <c r="D33" i="54" s="1"/>
  <c r="D55" i="54" s="1"/>
  <c r="D58" i="54" s="1"/>
  <c r="D62" i="54" s="1"/>
  <c r="D64" i="54" s="1"/>
  <c r="D65" i="54" s="1"/>
  <c r="D38" i="54" s="1"/>
  <c r="D27" i="54"/>
  <c r="D31" i="54" s="1"/>
  <c r="E28" i="54"/>
  <c r="E32" i="54" s="1"/>
  <c r="E27" i="54"/>
  <c r="E31" i="54" s="1"/>
  <c r="E29" i="54"/>
  <c r="E33" i="54" s="1"/>
  <c r="E55" i="54" s="1"/>
  <c r="E58" i="54" s="1"/>
  <c r="E62" i="54" s="1"/>
  <c r="E64" i="54" s="1"/>
  <c r="E65" i="54" s="1"/>
  <c r="E38" i="54" s="1"/>
  <c r="E81" i="54"/>
  <c r="F71" i="54"/>
  <c r="L38" i="124"/>
  <c r="M38" i="124" s="1"/>
  <c r="L41" i="124"/>
  <c r="M41" i="124" s="1"/>
  <c r="K29" i="124"/>
  <c r="L14" i="124"/>
  <c r="M14" i="124" s="1"/>
  <c r="H49" i="124"/>
  <c r="L49" i="124" s="1"/>
  <c r="M49" i="124" s="1"/>
  <c r="H50" i="124"/>
  <c r="H37" i="124" l="1"/>
  <c r="H40" i="124" s="1"/>
  <c r="H76" i="98"/>
  <c r="H73" i="98"/>
  <c r="G75" i="98"/>
  <c r="F81" i="98"/>
  <c r="F82" i="98" s="1"/>
  <c r="H91" i="98"/>
  <c r="H94" i="98" s="1"/>
  <c r="H57" i="54"/>
  <c r="G57" i="54"/>
  <c r="E34" i="54"/>
  <c r="E40" i="54" s="1"/>
  <c r="E43" i="54" s="1"/>
  <c r="E45" i="54" s="1"/>
  <c r="F80" i="54"/>
  <c r="F73" i="54"/>
  <c r="F76" i="54"/>
  <c r="F78" i="54" s="1"/>
  <c r="G75" i="54" s="1"/>
  <c r="H20" i="54"/>
  <c r="H24" i="54" s="1"/>
  <c r="G20" i="54"/>
  <c r="G24" i="54" s="1"/>
  <c r="D34" i="54"/>
  <c r="D40" i="54" s="1"/>
  <c r="E95" i="54"/>
  <c r="F87" i="54" s="1"/>
  <c r="F89" i="54" s="1"/>
  <c r="K37" i="124"/>
  <c r="L29" i="124"/>
  <c r="L50" i="124"/>
  <c r="M50" i="124" s="1"/>
  <c r="G78" i="98" l="1"/>
  <c r="G80" i="98"/>
  <c r="H95" i="98"/>
  <c r="I87" i="98" s="1"/>
  <c r="I89" i="98" s="1"/>
  <c r="I71" i="98"/>
  <c r="F91" i="54"/>
  <c r="F94" i="54" s="1"/>
  <c r="F81" i="54"/>
  <c r="G71" i="54"/>
  <c r="G29" i="54"/>
  <c r="G33" i="54" s="1"/>
  <c r="G55" i="54" s="1"/>
  <c r="G58" i="54" s="1"/>
  <c r="G62" i="54" s="1"/>
  <c r="G64" i="54" s="1"/>
  <c r="G65" i="54" s="1"/>
  <c r="G38" i="54" s="1"/>
  <c r="G28" i="54"/>
  <c r="G32" i="54" s="1"/>
  <c r="G27" i="54"/>
  <c r="G31" i="54" s="1"/>
  <c r="F82" i="54"/>
  <c r="I20" i="54" s="1"/>
  <c r="H29" i="54"/>
  <c r="H33" i="54" s="1"/>
  <c r="H55" i="54" s="1"/>
  <c r="H58" i="54" s="1"/>
  <c r="H62" i="54" s="1"/>
  <c r="H64" i="54" s="1"/>
  <c r="H65" i="54" s="1"/>
  <c r="H38" i="54" s="1"/>
  <c r="H27" i="54"/>
  <c r="H31" i="54" s="1"/>
  <c r="H28" i="54"/>
  <c r="H32" i="54" s="1"/>
  <c r="H52" i="124"/>
  <c r="H58" i="124"/>
  <c r="K40" i="124"/>
  <c r="L37" i="124"/>
  <c r="M37" i="124" s="1"/>
  <c r="H64" i="124"/>
  <c r="I73" i="98" l="1"/>
  <c r="I76" i="98"/>
  <c r="I91" i="98"/>
  <c r="I94" i="98" s="1"/>
  <c r="I95" i="98"/>
  <c r="J87" i="98" s="1"/>
  <c r="J89" i="98" s="1"/>
  <c r="H75" i="98"/>
  <c r="H78" i="98" s="1"/>
  <c r="G81" i="98"/>
  <c r="H80" i="98" s="1"/>
  <c r="K57" i="54"/>
  <c r="J57" i="54"/>
  <c r="J20" i="54"/>
  <c r="J24" i="54" s="1"/>
  <c r="K20" i="54"/>
  <c r="K24" i="54" s="1"/>
  <c r="G76" i="54"/>
  <c r="G78" i="54" s="1"/>
  <c r="H75" i="54" s="1"/>
  <c r="G80" i="54"/>
  <c r="G73" i="54"/>
  <c r="F95" i="54"/>
  <c r="G87" i="54" s="1"/>
  <c r="G89" i="54" s="1"/>
  <c r="G34" i="54"/>
  <c r="G40" i="54" s="1"/>
  <c r="H34" i="54"/>
  <c r="H40" i="54" s="1"/>
  <c r="H43" i="54" s="1"/>
  <c r="H45" i="54" s="1"/>
  <c r="L40" i="124"/>
  <c r="M40" i="124" s="1"/>
  <c r="K64" i="124"/>
  <c r="K58" i="124"/>
  <c r="K52" i="124"/>
  <c r="H59" i="124"/>
  <c r="H65" i="124"/>
  <c r="H66" i="124" s="1"/>
  <c r="H53" i="124"/>
  <c r="J91" i="98" l="1"/>
  <c r="J94" i="98" s="1"/>
  <c r="I75" i="98"/>
  <c r="I78" i="98" s="1"/>
  <c r="J75" i="98" s="1"/>
  <c r="H81" i="98"/>
  <c r="I80" i="98" s="1"/>
  <c r="J71" i="98"/>
  <c r="I81" i="98"/>
  <c r="J80" i="98" s="1"/>
  <c r="G82" i="98"/>
  <c r="G91" i="54"/>
  <c r="G94" i="54" s="1"/>
  <c r="K28" i="54"/>
  <c r="K32" i="54" s="1"/>
  <c r="K27" i="54"/>
  <c r="K31" i="54" s="1"/>
  <c r="K29" i="54"/>
  <c r="K33" i="54" s="1"/>
  <c r="K55" i="54" s="1"/>
  <c r="K58" i="54" s="1"/>
  <c r="K62" i="54" s="1"/>
  <c r="K64" i="54" s="1"/>
  <c r="K65" i="54" s="1"/>
  <c r="K38" i="54" s="1"/>
  <c r="H71" i="54"/>
  <c r="G81" i="54"/>
  <c r="G82" i="54" s="1"/>
  <c r="L20" i="54" s="1"/>
  <c r="J29" i="54"/>
  <c r="J33" i="54" s="1"/>
  <c r="J55" i="54" s="1"/>
  <c r="J58" i="54" s="1"/>
  <c r="J62" i="54" s="1"/>
  <c r="J64" i="54" s="1"/>
  <c r="J65" i="54" s="1"/>
  <c r="J38" i="54" s="1"/>
  <c r="J27" i="54"/>
  <c r="J31" i="54" s="1"/>
  <c r="J28" i="54"/>
  <c r="J32" i="54" s="1"/>
  <c r="K65" i="124"/>
  <c r="L65" i="124" s="1"/>
  <c r="M65" i="124" s="1"/>
  <c r="L64" i="124"/>
  <c r="M64" i="124" s="1"/>
  <c r="H54" i="124"/>
  <c r="H60" i="124"/>
  <c r="K53" i="124"/>
  <c r="L53" i="124" s="1"/>
  <c r="M53" i="124" s="1"/>
  <c r="L52" i="124"/>
  <c r="M52" i="124" s="1"/>
  <c r="H68" i="124"/>
  <c r="K59" i="124"/>
  <c r="L59" i="124" s="1"/>
  <c r="M59" i="124" s="1"/>
  <c r="L58" i="124"/>
  <c r="M58" i="124" s="1"/>
  <c r="K34" i="54" l="1"/>
  <c r="K40" i="54" s="1"/>
  <c r="K43" i="54" s="1"/>
  <c r="K45" i="54" s="1"/>
  <c r="I82" i="98"/>
  <c r="H82" i="98"/>
  <c r="J73" i="98"/>
  <c r="J76" i="98"/>
  <c r="J78" i="98"/>
  <c r="K75" i="98" s="1"/>
  <c r="J95" i="98"/>
  <c r="K87" i="98" s="1"/>
  <c r="K89" i="98" s="1"/>
  <c r="N20" i="54"/>
  <c r="N24" i="54" s="1"/>
  <c r="M20" i="54"/>
  <c r="M24" i="54" s="1"/>
  <c r="H76" i="54"/>
  <c r="H78" i="54" s="1"/>
  <c r="I75" i="54" s="1"/>
  <c r="H80" i="54"/>
  <c r="H73" i="54"/>
  <c r="N57" i="54"/>
  <c r="M57" i="54"/>
  <c r="J34" i="54"/>
  <c r="J40" i="54" s="1"/>
  <c r="G95" i="54"/>
  <c r="H87" i="54" s="1"/>
  <c r="H89" i="54" s="1"/>
  <c r="K66" i="124"/>
  <c r="K54" i="124"/>
  <c r="H61" i="124"/>
  <c r="H62" i="124" s="1"/>
  <c r="H55" i="124"/>
  <c r="H56" i="124" s="1"/>
  <c r="K60" i="124"/>
  <c r="J81" i="98" l="1"/>
  <c r="K71" i="98"/>
  <c r="K91" i="98"/>
  <c r="K94" i="98" s="1"/>
  <c r="M29" i="54"/>
  <c r="M33" i="54" s="1"/>
  <c r="M55" i="54" s="1"/>
  <c r="M58" i="54" s="1"/>
  <c r="M62" i="54" s="1"/>
  <c r="M64" i="54" s="1"/>
  <c r="M65" i="54" s="1"/>
  <c r="M38" i="54" s="1"/>
  <c r="M28" i="54"/>
  <c r="M32" i="54" s="1"/>
  <c r="M27" i="54"/>
  <c r="M31" i="54" s="1"/>
  <c r="H91" i="54"/>
  <c r="H94" i="54" s="1"/>
  <c r="H81" i="54"/>
  <c r="I80" i="54" s="1"/>
  <c r="I71" i="54"/>
  <c r="N29" i="54"/>
  <c r="N33" i="54" s="1"/>
  <c r="N55" i="54" s="1"/>
  <c r="N58" i="54" s="1"/>
  <c r="N62" i="54" s="1"/>
  <c r="N64" i="54" s="1"/>
  <c r="N65" i="54" s="1"/>
  <c r="N38" i="54" s="1"/>
  <c r="N27" i="54"/>
  <c r="N31" i="54" s="1"/>
  <c r="N28" i="54"/>
  <c r="N32" i="54" s="1"/>
  <c r="L60" i="124"/>
  <c r="M60" i="124" s="1"/>
  <c r="K62" i="124"/>
  <c r="L62" i="124" s="1"/>
  <c r="M62" i="124" s="1"/>
  <c r="L66" i="124"/>
  <c r="M66" i="124" s="1"/>
  <c r="K68" i="124"/>
  <c r="L68" i="124" s="1"/>
  <c r="M68" i="124" s="1"/>
  <c r="K56" i="124"/>
  <c r="L56" i="124" s="1"/>
  <c r="M56" i="124" s="1"/>
  <c r="L54" i="124"/>
  <c r="M54" i="124" s="1"/>
  <c r="K80" i="98" l="1"/>
  <c r="J82" i="98"/>
  <c r="K95" i="98"/>
  <c r="L87" i="98" s="1"/>
  <c r="L89" i="98" s="1"/>
  <c r="K73" i="98"/>
  <c r="K76" i="98"/>
  <c r="N34" i="54"/>
  <c r="N40" i="54" s="1"/>
  <c r="N43" i="54" s="1"/>
  <c r="N45" i="54" s="1"/>
  <c r="P57" i="54"/>
  <c r="Q57" i="54"/>
  <c r="H95" i="54"/>
  <c r="I87" i="54" s="1"/>
  <c r="I89" i="54" s="1"/>
  <c r="H82" i="54"/>
  <c r="O20" i="54" s="1"/>
  <c r="I76" i="54"/>
  <c r="I73" i="54"/>
  <c r="M34" i="54"/>
  <c r="M40" i="54" s="1"/>
  <c r="E118" i="122"/>
  <c r="D118" i="122"/>
  <c r="C118" i="122"/>
  <c r="H118" i="122" s="1"/>
  <c r="D116" i="122"/>
  <c r="C116" i="122"/>
  <c r="B116" i="122"/>
  <c r="D89" i="122"/>
  <c r="F89" i="122" s="1"/>
  <c r="C89" i="122"/>
  <c r="H70" i="122"/>
  <c r="A69" i="122"/>
  <c r="A68" i="122"/>
  <c r="A67" i="122"/>
  <c r="A66" i="122"/>
  <c r="A65" i="122"/>
  <c r="B64" i="122"/>
  <c r="A64" i="122"/>
  <c r="E46" i="122"/>
  <c r="D46" i="122"/>
  <c r="C46" i="122"/>
  <c r="B46" i="122"/>
  <c r="E116" i="122"/>
  <c r="F44" i="122"/>
  <c r="F43" i="122"/>
  <c r="F42" i="122"/>
  <c r="J39" i="122"/>
  <c r="J38" i="122"/>
  <c r="J37" i="122"/>
  <c r="K36" i="122"/>
  <c r="J36" i="122"/>
  <c r="N35" i="122"/>
  <c r="M35" i="122"/>
  <c r="L35" i="122"/>
  <c r="K35" i="122"/>
  <c r="H1" i="122"/>
  <c r="H116" i="122" l="1"/>
  <c r="F122" i="122"/>
  <c r="F125" i="122" s="1"/>
  <c r="E89" i="122"/>
  <c r="L71" i="98"/>
  <c r="K81" i="98"/>
  <c r="L80" i="98" s="1"/>
  <c r="L91" i="98"/>
  <c r="L94" i="98" s="1"/>
  <c r="L95" i="98"/>
  <c r="K78" i="98"/>
  <c r="L75" i="98" s="1"/>
  <c r="Q20" i="54"/>
  <c r="Q24" i="54" s="1"/>
  <c r="P20" i="54"/>
  <c r="P24" i="54" s="1"/>
  <c r="I91" i="54"/>
  <c r="I94" i="54" s="1"/>
  <c r="I81" i="54"/>
  <c r="J71" i="54"/>
  <c r="R37" i="54"/>
  <c r="I78" i="54"/>
  <c r="J75" i="54" s="1"/>
  <c r="B56" i="122"/>
  <c r="B62" i="122" s="1"/>
  <c r="D122" i="122"/>
  <c r="D125" i="122" s="1"/>
  <c r="C122" i="122"/>
  <c r="C125" i="122" s="1"/>
  <c r="B122" i="122"/>
  <c r="E122" i="122"/>
  <c r="E125" i="122" s="1"/>
  <c r="H64" i="122"/>
  <c r="B70" i="122"/>
  <c r="C65" i="122"/>
  <c r="G122" i="122" s="1"/>
  <c r="F45" i="122"/>
  <c r="F46" i="122" s="1"/>
  <c r="H22" i="23"/>
  <c r="F22" i="23"/>
  <c r="K82" i="98" l="1"/>
  <c r="L73" i="98"/>
  <c r="L76" i="98"/>
  <c r="J73" i="54"/>
  <c r="J76" i="54"/>
  <c r="U37" i="54" s="1"/>
  <c r="P29" i="54"/>
  <c r="P33" i="54" s="1"/>
  <c r="P55" i="54" s="1"/>
  <c r="P58" i="54" s="1"/>
  <c r="P62" i="54" s="1"/>
  <c r="P64" i="54" s="1"/>
  <c r="P65" i="54" s="1"/>
  <c r="P38" i="54" s="1"/>
  <c r="P27" i="54"/>
  <c r="P31" i="54" s="1"/>
  <c r="P28" i="54"/>
  <c r="P32" i="54" s="1"/>
  <c r="J80" i="54"/>
  <c r="I82" i="54"/>
  <c r="R20" i="54" s="1"/>
  <c r="Q28" i="54"/>
  <c r="Q32" i="54" s="1"/>
  <c r="Q27" i="54"/>
  <c r="Q31" i="54" s="1"/>
  <c r="Q29" i="54"/>
  <c r="Q33" i="54" s="1"/>
  <c r="Q55" i="54" s="1"/>
  <c r="Q58" i="54" s="1"/>
  <c r="Q62" i="54" s="1"/>
  <c r="Q64" i="54" s="1"/>
  <c r="Q65" i="54" s="1"/>
  <c r="Q38" i="54" s="1"/>
  <c r="T57" i="54"/>
  <c r="S57" i="54"/>
  <c r="T37" i="54"/>
  <c r="T56" i="54" s="1"/>
  <c r="S37" i="54"/>
  <c r="S56" i="54" s="1"/>
  <c r="I95" i="54"/>
  <c r="J87" i="54" s="1"/>
  <c r="J89" i="54" s="1"/>
  <c r="H56" i="122"/>
  <c r="E38" i="122"/>
  <c r="D38" i="122"/>
  <c r="D36" i="122"/>
  <c r="E36" i="122"/>
  <c r="E37" i="122"/>
  <c r="C36" i="122"/>
  <c r="E39" i="122"/>
  <c r="F39" i="122" s="1"/>
  <c r="D37" i="122"/>
  <c r="B36" i="122"/>
  <c r="C37" i="122"/>
  <c r="H120" i="122"/>
  <c r="G125" i="122"/>
  <c r="B125" i="122"/>
  <c r="D66" i="122"/>
  <c r="C57" i="122"/>
  <c r="H65" i="122"/>
  <c r="C70" i="122"/>
  <c r="F21" i="81"/>
  <c r="E35" i="81"/>
  <c r="D35" i="81"/>
  <c r="E20" i="81"/>
  <c r="E22" i="81" s="1"/>
  <c r="D20" i="81"/>
  <c r="B27" i="71"/>
  <c r="D57" i="100"/>
  <c r="D60" i="100" s="1"/>
  <c r="H125" i="122" l="1"/>
  <c r="F20" i="81"/>
  <c r="D22" i="81"/>
  <c r="F22" i="81" s="1"/>
  <c r="F38" i="122"/>
  <c r="L78" i="98"/>
  <c r="L81" i="98" s="1"/>
  <c r="L82" i="98" s="1"/>
  <c r="V37" i="54"/>
  <c r="V56" i="54" s="1"/>
  <c r="W37" i="54"/>
  <c r="W56" i="54" s="1"/>
  <c r="Q34" i="54"/>
  <c r="Q40" i="54" s="1"/>
  <c r="Q43" i="54" s="1"/>
  <c r="Q45" i="54" s="1"/>
  <c r="K71" i="54"/>
  <c r="J91" i="54"/>
  <c r="J94" i="54" s="1"/>
  <c r="P34" i="54"/>
  <c r="P40" i="54" s="1"/>
  <c r="J78" i="54"/>
  <c r="K75" i="54" s="1"/>
  <c r="T20" i="54"/>
  <c r="T24" i="54" s="1"/>
  <c r="S20" i="54"/>
  <c r="S24" i="54" s="1"/>
  <c r="H122" i="122"/>
  <c r="C40" i="122"/>
  <c r="H57" i="122"/>
  <c r="C62" i="122"/>
  <c r="H66" i="122"/>
  <c r="D58" i="122"/>
  <c r="D70" i="122"/>
  <c r="E67" i="122"/>
  <c r="E40" i="122"/>
  <c r="D40" i="122"/>
  <c r="F37" i="122"/>
  <c r="F36" i="122"/>
  <c r="B40" i="122"/>
  <c r="E56" i="89"/>
  <c r="E54" i="61"/>
  <c r="K76" i="54" l="1"/>
  <c r="X37" i="54" s="1"/>
  <c r="K73" i="54"/>
  <c r="J81" i="54"/>
  <c r="S29" i="54"/>
  <c r="S33" i="54" s="1"/>
  <c r="S55" i="54" s="1"/>
  <c r="S58" i="54" s="1"/>
  <c r="S62" i="54" s="1"/>
  <c r="S64" i="54" s="1"/>
  <c r="S65" i="54" s="1"/>
  <c r="S38" i="54" s="1"/>
  <c r="S28" i="54"/>
  <c r="S32" i="54" s="1"/>
  <c r="S27" i="54"/>
  <c r="S31" i="54" s="1"/>
  <c r="W57" i="54"/>
  <c r="V57" i="54"/>
  <c r="T29" i="54"/>
  <c r="T33" i="54" s="1"/>
  <c r="T55" i="54" s="1"/>
  <c r="T58" i="54" s="1"/>
  <c r="T62" i="54" s="1"/>
  <c r="T64" i="54" s="1"/>
  <c r="T65" i="54" s="1"/>
  <c r="T38" i="54" s="1"/>
  <c r="T27" i="54"/>
  <c r="T31" i="54" s="1"/>
  <c r="T28" i="54"/>
  <c r="T32" i="54" s="1"/>
  <c r="J95" i="54"/>
  <c r="K87" i="54" s="1"/>
  <c r="K89" i="54" s="1"/>
  <c r="F40" i="122"/>
  <c r="E70" i="122"/>
  <c r="F68" i="122"/>
  <c r="H67" i="122"/>
  <c r="E59" i="122"/>
  <c r="D62" i="122"/>
  <c r="H58" i="122"/>
  <c r="I18" i="90"/>
  <c r="I56" i="90"/>
  <c r="I55" i="90"/>
  <c r="I54" i="90"/>
  <c r="I53" i="90"/>
  <c r="I52" i="90"/>
  <c r="I51" i="90"/>
  <c r="I50" i="90"/>
  <c r="I49" i="90"/>
  <c r="I48" i="90"/>
  <c r="I47" i="90"/>
  <c r="I46" i="90"/>
  <c r="I45" i="90"/>
  <c r="I44" i="90"/>
  <c r="I42" i="90"/>
  <c r="I41" i="90"/>
  <c r="I40" i="90"/>
  <c r="I39" i="90"/>
  <c r="I38" i="90"/>
  <c r="I37" i="90"/>
  <c r="I36" i="90"/>
  <c r="I35" i="90"/>
  <c r="I34" i="90"/>
  <c r="I33" i="90"/>
  <c r="I32" i="90"/>
  <c r="I31" i="90"/>
  <c r="I30" i="90"/>
  <c r="I29" i="90"/>
  <c r="I28" i="90"/>
  <c r="I27" i="90"/>
  <c r="I26" i="90"/>
  <c r="I25" i="90"/>
  <c r="I24" i="90"/>
  <c r="I23" i="90"/>
  <c r="I22" i="90"/>
  <c r="I21" i="90"/>
  <c r="I20" i="90"/>
  <c r="I19" i="90"/>
  <c r="C57" i="121"/>
  <c r="E56" i="121"/>
  <c r="E55" i="121"/>
  <c r="E54" i="121"/>
  <c r="E53" i="121"/>
  <c r="E52" i="121"/>
  <c r="E51" i="121"/>
  <c r="E50" i="121"/>
  <c r="E49" i="121"/>
  <c r="E48" i="121"/>
  <c r="E47" i="121"/>
  <c r="E46" i="121"/>
  <c r="E45" i="121"/>
  <c r="E44" i="121"/>
  <c r="E42" i="121"/>
  <c r="E41" i="121"/>
  <c r="E40" i="121"/>
  <c r="E39" i="121"/>
  <c r="E38" i="121"/>
  <c r="E37" i="121"/>
  <c r="E36" i="121"/>
  <c r="E35" i="121"/>
  <c r="E34" i="121"/>
  <c r="E33" i="121"/>
  <c r="E32" i="121"/>
  <c r="E31" i="121"/>
  <c r="E30" i="121"/>
  <c r="E29" i="121"/>
  <c r="E28" i="121"/>
  <c r="E27" i="121"/>
  <c r="E26" i="121"/>
  <c r="E25" i="121"/>
  <c r="E24" i="121"/>
  <c r="E23" i="121"/>
  <c r="E22" i="121"/>
  <c r="E21" i="121"/>
  <c r="E20" i="121"/>
  <c r="E19" i="121"/>
  <c r="E18" i="121"/>
  <c r="H1" i="121"/>
  <c r="C55" i="120"/>
  <c r="I17" i="61"/>
  <c r="K17" i="61" s="1"/>
  <c r="I17" i="62"/>
  <c r="J55" i="62"/>
  <c r="I54" i="62"/>
  <c r="I53" i="62"/>
  <c r="I52" i="62"/>
  <c r="I51" i="62"/>
  <c r="I50" i="62"/>
  <c r="I49" i="62"/>
  <c r="I48" i="62"/>
  <c r="I47" i="62"/>
  <c r="I46" i="62"/>
  <c r="I45" i="62"/>
  <c r="I44" i="62"/>
  <c r="I43" i="62"/>
  <c r="I42" i="62"/>
  <c r="I41" i="62"/>
  <c r="I40" i="62"/>
  <c r="I39" i="62"/>
  <c r="I38" i="62"/>
  <c r="I37" i="62"/>
  <c r="I36" i="62"/>
  <c r="I35" i="62"/>
  <c r="I34" i="62"/>
  <c r="I33" i="62"/>
  <c r="I32" i="62"/>
  <c r="I31" i="62"/>
  <c r="I30" i="62"/>
  <c r="I29" i="62"/>
  <c r="I28" i="62"/>
  <c r="I27" i="62"/>
  <c r="I26" i="62"/>
  <c r="I25" i="62"/>
  <c r="I24" i="62"/>
  <c r="I23" i="62"/>
  <c r="I22" i="62"/>
  <c r="I21" i="62"/>
  <c r="I20" i="62"/>
  <c r="I19" i="62"/>
  <c r="I18" i="62"/>
  <c r="G55" i="120"/>
  <c r="E54" i="120"/>
  <c r="E53" i="120"/>
  <c r="E52" i="120"/>
  <c r="E51" i="120"/>
  <c r="E50" i="120"/>
  <c r="E49" i="120"/>
  <c r="E48" i="120"/>
  <c r="E47" i="120"/>
  <c r="E46" i="120"/>
  <c r="E45" i="120"/>
  <c r="E44" i="120"/>
  <c r="E43" i="120"/>
  <c r="E42" i="120"/>
  <c r="E41" i="120"/>
  <c r="E40" i="120"/>
  <c r="E39" i="120"/>
  <c r="E38" i="120"/>
  <c r="E37" i="120"/>
  <c r="E36" i="120"/>
  <c r="E35" i="120"/>
  <c r="E34" i="120"/>
  <c r="E33" i="120"/>
  <c r="E32" i="120"/>
  <c r="E31" i="120"/>
  <c r="E30" i="120"/>
  <c r="E29" i="120"/>
  <c r="E28" i="120"/>
  <c r="E27" i="120"/>
  <c r="E26" i="120"/>
  <c r="E25" i="120"/>
  <c r="E24" i="120"/>
  <c r="E23" i="120"/>
  <c r="E22" i="120"/>
  <c r="E21" i="120"/>
  <c r="E20" i="120"/>
  <c r="E19" i="120"/>
  <c r="E18" i="120"/>
  <c r="E17" i="120"/>
  <c r="H1" i="120"/>
  <c r="I57" i="90" l="1"/>
  <c r="Z37" i="54"/>
  <c r="Z56" i="54" s="1"/>
  <c r="Y37" i="54"/>
  <c r="Y56" i="54" s="1"/>
  <c r="K91" i="54"/>
  <c r="K94" i="54" s="1"/>
  <c r="K78" i="54"/>
  <c r="L75" i="54" s="1"/>
  <c r="K80" i="54"/>
  <c r="J82" i="54"/>
  <c r="U20" i="54" s="1"/>
  <c r="T34" i="54"/>
  <c r="T40" i="54" s="1"/>
  <c r="T43" i="54" s="1"/>
  <c r="T45" i="54" s="1"/>
  <c r="S34" i="54"/>
  <c r="S40" i="54" s="1"/>
  <c r="L71" i="54"/>
  <c r="E62" i="122"/>
  <c r="H59" i="122"/>
  <c r="G69" i="122"/>
  <c r="F60" i="122"/>
  <c r="F70" i="122"/>
  <c r="H68" i="122"/>
  <c r="K17" i="62"/>
  <c r="I55" i="62"/>
  <c r="D28" i="75"/>
  <c r="D31" i="75" s="1"/>
  <c r="D31" i="119"/>
  <c r="E28" i="119" s="1"/>
  <c r="E31" i="119" s="1"/>
  <c r="F28" i="119" s="1"/>
  <c r="F31" i="119" s="1"/>
  <c r="D25" i="119"/>
  <c r="B17" i="119"/>
  <c r="J1" i="119"/>
  <c r="E31" i="118"/>
  <c r="F28" i="118" s="1"/>
  <c r="F31" i="118" s="1"/>
  <c r="E25" i="118"/>
  <c r="B17" i="118"/>
  <c r="J1" i="118"/>
  <c r="L76" i="54" l="1"/>
  <c r="AA37" i="54" s="1"/>
  <c r="L73" i="54"/>
  <c r="Z57" i="54"/>
  <c r="Y57" i="54"/>
  <c r="K81" i="54"/>
  <c r="L80" i="54" s="1"/>
  <c r="V20" i="54"/>
  <c r="V24" i="54" s="1"/>
  <c r="W20" i="54"/>
  <c r="W24" i="54" s="1"/>
  <c r="K95" i="54"/>
  <c r="L87" i="54" s="1"/>
  <c r="L89" i="54" s="1"/>
  <c r="F62" i="122"/>
  <c r="H60" i="122"/>
  <c r="G70" i="122"/>
  <c r="G61" i="122"/>
  <c r="H69" i="122"/>
  <c r="D33" i="119"/>
  <c r="F17" i="120"/>
  <c r="C33" i="75"/>
  <c r="D22" i="75"/>
  <c r="D25" i="75" s="1"/>
  <c r="D33" i="75" s="1"/>
  <c r="E33" i="118"/>
  <c r="F22" i="118"/>
  <c r="F25" i="118" s="1"/>
  <c r="F33" i="118" s="1"/>
  <c r="G38" i="118" s="1"/>
  <c r="E22" i="119"/>
  <c r="E25" i="119" s="1"/>
  <c r="E26" i="32"/>
  <c r="L91" i="54" l="1"/>
  <c r="L94" i="54" s="1"/>
  <c r="W28" i="54"/>
  <c r="W32" i="54" s="1"/>
  <c r="W29" i="54"/>
  <c r="W33" i="54" s="1"/>
  <c r="W55" i="54" s="1"/>
  <c r="W58" i="54" s="1"/>
  <c r="W62" i="54" s="1"/>
  <c r="W64" i="54" s="1"/>
  <c r="W65" i="54" s="1"/>
  <c r="W38" i="54" s="1"/>
  <c r="W27" i="54"/>
  <c r="W31" i="54" s="1"/>
  <c r="AB37" i="54"/>
  <c r="AB56" i="54" s="1"/>
  <c r="AC37" i="54"/>
  <c r="AC56" i="54" s="1"/>
  <c r="V28" i="54"/>
  <c r="V32" i="54" s="1"/>
  <c r="V29" i="54"/>
  <c r="V33" i="54" s="1"/>
  <c r="V55" i="54" s="1"/>
  <c r="V58" i="54" s="1"/>
  <c r="V62" i="54" s="1"/>
  <c r="V64" i="54" s="1"/>
  <c r="V65" i="54" s="1"/>
  <c r="V38" i="54" s="1"/>
  <c r="V27" i="54"/>
  <c r="V31" i="54" s="1"/>
  <c r="L78" i="54"/>
  <c r="L81" i="54" s="1"/>
  <c r="L82" i="54" s="1"/>
  <c r="AA20" i="54" s="1"/>
  <c r="K82" i="54"/>
  <c r="X20" i="54" s="1"/>
  <c r="H61" i="122"/>
  <c r="G62" i="122"/>
  <c r="H62" i="122" s="1"/>
  <c r="H17" i="120"/>
  <c r="G37" i="118"/>
  <c r="G39" i="118" s="1"/>
  <c r="E33" i="119"/>
  <c r="F22" i="119"/>
  <c r="F25" i="119" s="1"/>
  <c r="F33" i="119" s="1"/>
  <c r="O1" i="54"/>
  <c r="K1" i="55"/>
  <c r="A101" i="114"/>
  <c r="A92" i="114"/>
  <c r="A83" i="114"/>
  <c r="A74" i="114"/>
  <c r="A65" i="114"/>
  <c r="A56" i="114"/>
  <c r="A47" i="114"/>
  <c r="A38" i="114"/>
  <c r="A29" i="114"/>
  <c r="A20" i="114"/>
  <c r="F30" i="114"/>
  <c r="E31" i="114"/>
  <c r="D38" i="114"/>
  <c r="D39" i="114"/>
  <c r="D48" i="114"/>
  <c r="F56" i="114"/>
  <c r="F66" i="114"/>
  <c r="E67" i="114"/>
  <c r="D74" i="114"/>
  <c r="G75" i="114"/>
  <c r="D84" i="114"/>
  <c r="G85" i="114"/>
  <c r="F92" i="114"/>
  <c r="F102" i="114"/>
  <c r="E103" i="114"/>
  <c r="D21" i="114"/>
  <c r="C22" i="114"/>
  <c r="E20" i="114"/>
  <c r="E101" i="114"/>
  <c r="G94" i="114"/>
  <c r="G93" i="114"/>
  <c r="D92" i="114"/>
  <c r="C92" i="114"/>
  <c r="F83" i="114"/>
  <c r="D83" i="114"/>
  <c r="C83" i="114"/>
  <c r="D75" i="114"/>
  <c r="E74" i="114"/>
  <c r="C67" i="114"/>
  <c r="C58" i="114"/>
  <c r="C57" i="114"/>
  <c r="D49" i="114"/>
  <c r="G40" i="114"/>
  <c r="E40" i="114"/>
  <c r="D40" i="114"/>
  <c r="F39" i="114"/>
  <c r="E39" i="114"/>
  <c r="G38" i="114"/>
  <c r="F31" i="114"/>
  <c r="C31" i="114"/>
  <c r="G30" i="114"/>
  <c r="C30" i="114"/>
  <c r="F29" i="114"/>
  <c r="E29" i="114"/>
  <c r="F21" i="114"/>
  <c r="E22" i="114"/>
  <c r="F22" i="114"/>
  <c r="C107" i="114"/>
  <c r="D107" i="114"/>
  <c r="E107" i="114"/>
  <c r="F107" i="114"/>
  <c r="G107" i="114"/>
  <c r="C108" i="114"/>
  <c r="D108" i="114"/>
  <c r="E108" i="114"/>
  <c r="C109" i="114"/>
  <c r="D109" i="114"/>
  <c r="E109" i="114"/>
  <c r="B109" i="114"/>
  <c r="B107" i="114"/>
  <c r="C112" i="114" s="1"/>
  <c r="G1" i="71"/>
  <c r="C20" i="114"/>
  <c r="E21" i="114"/>
  <c r="E30" i="114"/>
  <c r="G31" i="114"/>
  <c r="G39" i="114"/>
  <c r="D47" i="114"/>
  <c r="E65" i="114"/>
  <c r="D76" i="114"/>
  <c r="G83" i="114"/>
  <c r="G92" i="114"/>
  <c r="F101" i="114"/>
  <c r="D85" i="114"/>
  <c r="C21" i="114"/>
  <c r="C39" i="114"/>
  <c r="F47" i="114"/>
  <c r="E49" i="114"/>
  <c r="E57" i="114"/>
  <c r="E58" i="114"/>
  <c r="C66" i="114"/>
  <c r="F67" i="114"/>
  <c r="E75" i="114"/>
  <c r="E76" i="114"/>
  <c r="E85" i="114"/>
  <c r="C93" i="114"/>
  <c r="E94" i="114"/>
  <c r="B108" i="114"/>
  <c r="C38" i="114"/>
  <c r="G47" i="114"/>
  <c r="D56" i="114"/>
  <c r="D66" i="114"/>
  <c r="F75" i="114"/>
  <c r="G76" i="114"/>
  <c r="E93" i="114"/>
  <c r="F94" i="114"/>
  <c r="C102" i="114"/>
  <c r="F38" i="114"/>
  <c r="G56" i="114"/>
  <c r="G66" i="114"/>
  <c r="C75" i="114"/>
  <c r="F84" i="114"/>
  <c r="F93" i="114"/>
  <c r="G102" i="114"/>
  <c r="G21" i="114"/>
  <c r="D29" i="114"/>
  <c r="D30" i="114"/>
  <c r="D31" i="114"/>
  <c r="E38" i="114"/>
  <c r="C40" i="114"/>
  <c r="C47" i="114"/>
  <c r="E48" i="114"/>
  <c r="C56" i="114"/>
  <c r="D57" i="114"/>
  <c r="D65" i="114"/>
  <c r="G67" i="114"/>
  <c r="C76" i="114"/>
  <c r="E84" i="114"/>
  <c r="D93" i="114"/>
  <c r="C94" i="114"/>
  <c r="D101" i="114"/>
  <c r="D102" i="114"/>
  <c r="G103" i="114"/>
  <c r="F65" i="114"/>
  <c r="F74" i="114"/>
  <c r="C103" i="114"/>
  <c r="F103" i="114"/>
  <c r="C48" i="114"/>
  <c r="E56" i="114"/>
  <c r="E66" i="114"/>
  <c r="D67" i="114"/>
  <c r="C74" i="114"/>
  <c r="G74" i="114"/>
  <c r="C84" i="114"/>
  <c r="G84" i="114"/>
  <c r="F85" i="114"/>
  <c r="E92" i="114"/>
  <c r="E102" i="114"/>
  <c r="D103" i="114"/>
  <c r="C29" i="114"/>
  <c r="G29" i="114"/>
  <c r="F40" i="114"/>
  <c r="E47" i="114"/>
  <c r="C49" i="114"/>
  <c r="D58" i="114"/>
  <c r="C65" i="114"/>
  <c r="G65" i="114"/>
  <c r="F76" i="114"/>
  <c r="E83" i="114"/>
  <c r="C85" i="114"/>
  <c r="D94" i="114"/>
  <c r="C101" i="114"/>
  <c r="G101" i="114"/>
  <c r="G20" i="114"/>
  <c r="D20" i="114"/>
  <c r="D22" i="114"/>
  <c r="G22" i="114"/>
  <c r="F20" i="114"/>
  <c r="B40" i="71"/>
  <c r="G1" i="114"/>
  <c r="C27" i="71"/>
  <c r="D27" i="71"/>
  <c r="D40" i="71" s="1"/>
  <c r="E27" i="71"/>
  <c r="F27" i="71"/>
  <c r="I12" i="14"/>
  <c r="B17" i="75"/>
  <c r="E36" i="78"/>
  <c r="F21" i="23"/>
  <c r="H21" i="23"/>
  <c r="C1" i="110"/>
  <c r="E51" i="14"/>
  <c r="E62" i="14" s="1"/>
  <c r="F51" i="14"/>
  <c r="F62" i="14" s="1"/>
  <c r="H51" i="14"/>
  <c r="H62" i="14" s="1"/>
  <c r="I51" i="14"/>
  <c r="I62" i="14" s="1"/>
  <c r="J51" i="14"/>
  <c r="J62" i="14" s="1"/>
  <c r="D51" i="14"/>
  <c r="D62" i="14" s="1"/>
  <c r="J49" i="14"/>
  <c r="J60" i="14" s="1"/>
  <c r="P22" i="102"/>
  <c r="P20" i="102"/>
  <c r="P19" i="102"/>
  <c r="P18" i="102"/>
  <c r="P17" i="102"/>
  <c r="M22" i="102"/>
  <c r="M21" i="102"/>
  <c r="M20" i="102"/>
  <c r="M19" i="102"/>
  <c r="M18" i="102"/>
  <c r="M17" i="102"/>
  <c r="J22" i="102"/>
  <c r="J20" i="102"/>
  <c r="J19" i="102"/>
  <c r="J18" i="102"/>
  <c r="J17" i="102"/>
  <c r="G22" i="102"/>
  <c r="G20" i="102"/>
  <c r="G19" i="102"/>
  <c r="G18" i="102"/>
  <c r="G17" i="102"/>
  <c r="D20" i="102"/>
  <c r="D22" i="102"/>
  <c r="D18" i="102"/>
  <c r="D19" i="102"/>
  <c r="D17" i="102"/>
  <c r="A46" i="32"/>
  <c r="C1" i="101"/>
  <c r="AY17" i="106"/>
  <c r="AY15" i="106"/>
  <c r="AZ15" i="106" s="1"/>
  <c r="AW15" i="106"/>
  <c r="AW16" i="106" s="1"/>
  <c r="BB14" i="106"/>
  <c r="AY11" i="106"/>
  <c r="AY9" i="106"/>
  <c r="AZ9" i="106"/>
  <c r="BB9" i="106" s="1"/>
  <c r="BC9" i="106" s="1"/>
  <c r="AW9" i="106"/>
  <c r="AW10" i="106" s="1"/>
  <c r="BB8" i="106"/>
  <c r="AY6" i="106"/>
  <c r="AX6" i="106"/>
  <c r="AW6" i="106"/>
  <c r="AY4" i="106"/>
  <c r="AX4" i="106"/>
  <c r="AW4" i="106"/>
  <c r="AY3" i="106"/>
  <c r="AX3" i="106"/>
  <c r="AW3" i="106"/>
  <c r="AW5" i="106" s="1"/>
  <c r="AY2" i="106"/>
  <c r="AX2" i="106"/>
  <c r="AW2" i="106"/>
  <c r="C1" i="106"/>
  <c r="AZ6" i="106"/>
  <c r="BB6" i="106" s="1"/>
  <c r="BC6" i="106" s="1"/>
  <c r="AZ2" i="106"/>
  <c r="BB2" i="106" s="1"/>
  <c r="BC2" i="106" s="1"/>
  <c r="AZ3" i="106"/>
  <c r="BB3" i="106" s="1"/>
  <c r="BC3" i="106" s="1"/>
  <c r="AZ4" i="106"/>
  <c r="BB4" i="106"/>
  <c r="BC4" i="106" s="1"/>
  <c r="AZ10" i="106"/>
  <c r="BB10" i="106" s="1"/>
  <c r="BC10" i="106" s="1"/>
  <c r="AZ11" i="106"/>
  <c r="AZ12" i="106"/>
  <c r="H13" i="105"/>
  <c r="C13" i="105"/>
  <c r="J13" i="105"/>
  <c r="I1" i="105"/>
  <c r="A39" i="101"/>
  <c r="A43" i="101"/>
  <c r="A37" i="101"/>
  <c r="C12" i="5"/>
  <c r="B12" i="5"/>
  <c r="D12" i="20"/>
  <c r="C12" i="20"/>
  <c r="I12" i="20"/>
  <c r="H12" i="5"/>
  <c r="J13" i="14"/>
  <c r="J50" i="14" s="1"/>
  <c r="J61" i="14" s="1"/>
  <c r="B12" i="102"/>
  <c r="Q14" i="102" s="1"/>
  <c r="H1" i="5"/>
  <c r="H27" i="5"/>
  <c r="G27" i="5"/>
  <c r="F27" i="5"/>
  <c r="E27" i="5"/>
  <c r="C27" i="5"/>
  <c r="B27" i="5"/>
  <c r="H26" i="5"/>
  <c r="G26" i="5"/>
  <c r="F26" i="5"/>
  <c r="E26" i="5"/>
  <c r="C26" i="5"/>
  <c r="B26" i="5"/>
  <c r="H24" i="5"/>
  <c r="G24" i="5"/>
  <c r="F24" i="5"/>
  <c r="E24" i="5"/>
  <c r="E28" i="5" s="1"/>
  <c r="C24" i="5"/>
  <c r="B24" i="5"/>
  <c r="H20" i="5"/>
  <c r="H28" i="5"/>
  <c r="G20" i="5"/>
  <c r="F20" i="5"/>
  <c r="E20" i="5"/>
  <c r="C20" i="5"/>
  <c r="C28" i="5" s="1"/>
  <c r="B20" i="5"/>
  <c r="H16" i="5"/>
  <c r="I17" i="20" s="1"/>
  <c r="G16" i="5"/>
  <c r="H17" i="20" s="1"/>
  <c r="H18" i="20" s="1"/>
  <c r="F16" i="5"/>
  <c r="G17" i="20" s="1"/>
  <c r="E16" i="5"/>
  <c r="C16" i="5"/>
  <c r="F28" i="5"/>
  <c r="B28" i="5"/>
  <c r="G28" i="5"/>
  <c r="E28" i="75"/>
  <c r="E31" i="75" s="1"/>
  <c r="F28" i="75" s="1"/>
  <c r="F31" i="75" s="1"/>
  <c r="E56" i="90"/>
  <c r="E55" i="90"/>
  <c r="E54" i="90"/>
  <c r="E53" i="90"/>
  <c r="E52" i="90"/>
  <c r="E51" i="90"/>
  <c r="E50" i="90"/>
  <c r="E49" i="90"/>
  <c r="E48" i="90"/>
  <c r="E47" i="90"/>
  <c r="E46" i="90"/>
  <c r="E45" i="90"/>
  <c r="E44" i="90"/>
  <c r="E42" i="90"/>
  <c r="E41" i="90"/>
  <c r="E40" i="90"/>
  <c r="E39" i="90"/>
  <c r="E38" i="90"/>
  <c r="E37" i="90"/>
  <c r="E36" i="90"/>
  <c r="E35" i="90"/>
  <c r="E34" i="90"/>
  <c r="E33" i="90"/>
  <c r="E32" i="90"/>
  <c r="E31" i="90"/>
  <c r="E30" i="90"/>
  <c r="E29" i="90"/>
  <c r="E28" i="90"/>
  <c r="E27" i="90"/>
  <c r="E26" i="90"/>
  <c r="E25" i="90"/>
  <c r="E24" i="90"/>
  <c r="E23" i="90"/>
  <c r="E22" i="90"/>
  <c r="E21" i="90"/>
  <c r="E20" i="90"/>
  <c r="E19" i="90"/>
  <c r="E18" i="90"/>
  <c r="G55" i="62"/>
  <c r="C55" i="62"/>
  <c r="E54" i="62"/>
  <c r="E53" i="62"/>
  <c r="E52" i="62"/>
  <c r="E51" i="62"/>
  <c r="E50" i="62"/>
  <c r="E49" i="62"/>
  <c r="E48" i="62"/>
  <c r="E47" i="62"/>
  <c r="E46" i="62"/>
  <c r="E45" i="62"/>
  <c r="E44" i="62"/>
  <c r="E43" i="62"/>
  <c r="E42" i="62"/>
  <c r="E41" i="62"/>
  <c r="E40" i="62"/>
  <c r="E39" i="62"/>
  <c r="E38" i="62"/>
  <c r="E37" i="62"/>
  <c r="E36" i="62"/>
  <c r="E35" i="62"/>
  <c r="E34" i="62"/>
  <c r="E33" i="62"/>
  <c r="E32" i="62"/>
  <c r="E31" i="62"/>
  <c r="E30" i="62"/>
  <c r="E29" i="62"/>
  <c r="E28" i="62"/>
  <c r="E27" i="62"/>
  <c r="E26" i="62"/>
  <c r="E25" i="62"/>
  <c r="E24" i="62"/>
  <c r="E23" i="62"/>
  <c r="E22" i="62"/>
  <c r="E21" i="62"/>
  <c r="E20" i="62"/>
  <c r="E19" i="62"/>
  <c r="E18" i="62"/>
  <c r="E17" i="62"/>
  <c r="E22" i="75"/>
  <c r="E25" i="75" s="1"/>
  <c r="F1" i="33"/>
  <c r="K1" i="6"/>
  <c r="H1" i="20"/>
  <c r="J1" i="14"/>
  <c r="K1" i="53"/>
  <c r="J1" i="75"/>
  <c r="U1" i="102"/>
  <c r="U21" i="102"/>
  <c r="T21" i="102"/>
  <c r="S21" i="102"/>
  <c r="R21" i="102"/>
  <c r="Q21" i="102"/>
  <c r="O21" i="102"/>
  <c r="P21" i="102" s="1"/>
  <c r="N21" i="102"/>
  <c r="L21" i="102"/>
  <c r="K21" i="102"/>
  <c r="I21" i="102"/>
  <c r="J21" i="102" s="1"/>
  <c r="H21" i="102"/>
  <c r="F21" i="102"/>
  <c r="G21" i="102" s="1"/>
  <c r="E21" i="102"/>
  <c r="C21" i="102"/>
  <c r="D21" i="102" s="1"/>
  <c r="B21" i="102"/>
  <c r="K20" i="53"/>
  <c r="F20" i="53"/>
  <c r="K19" i="53"/>
  <c r="F19" i="53"/>
  <c r="L1" i="58"/>
  <c r="O1" i="59"/>
  <c r="K1" i="60"/>
  <c r="K1" i="61"/>
  <c r="H1" i="62"/>
  <c r="L59" i="100"/>
  <c r="G59" i="100"/>
  <c r="L58" i="100"/>
  <c r="M58" i="100" s="1"/>
  <c r="G58" i="100"/>
  <c r="K57" i="100"/>
  <c r="K60" i="100" s="1"/>
  <c r="J57" i="100"/>
  <c r="J60" i="100" s="1"/>
  <c r="J62" i="100" s="1"/>
  <c r="I57" i="100"/>
  <c r="I60" i="100" s="1"/>
  <c r="F57" i="100"/>
  <c r="F60" i="100" s="1"/>
  <c r="E57" i="100"/>
  <c r="E60" i="100" s="1"/>
  <c r="L56" i="100"/>
  <c r="G56" i="100"/>
  <c r="L54" i="100"/>
  <c r="I115" i="100" s="1"/>
  <c r="L115" i="100" s="1"/>
  <c r="G54" i="100"/>
  <c r="D115" i="100" s="1"/>
  <c r="G115" i="100" s="1"/>
  <c r="D239" i="100" s="1"/>
  <c r="G239" i="100" s="1"/>
  <c r="D363" i="100" s="1"/>
  <c r="G363" i="100" s="1"/>
  <c r="D488" i="100" s="1"/>
  <c r="G488" i="100" s="1"/>
  <c r="D550" i="100" s="1"/>
  <c r="G550" i="100" s="1"/>
  <c r="L53" i="100"/>
  <c r="I114" i="100" s="1"/>
  <c r="L114" i="100" s="1"/>
  <c r="G53" i="100"/>
  <c r="D114" i="100" s="1"/>
  <c r="G114" i="100" s="1"/>
  <c r="D238" i="100" s="1"/>
  <c r="G238" i="100" s="1"/>
  <c r="D362" i="100" s="1"/>
  <c r="G362" i="100" s="1"/>
  <c r="D486" i="100" s="1"/>
  <c r="G486" i="100" s="1"/>
  <c r="D548" i="100" s="1"/>
  <c r="G548" i="100" s="1"/>
  <c r="L52" i="100"/>
  <c r="I113" i="100" s="1"/>
  <c r="L113" i="100" s="1"/>
  <c r="G52" i="100"/>
  <c r="D113" i="100" s="1"/>
  <c r="G113" i="100" s="1"/>
  <c r="D237" i="100" s="1"/>
  <c r="G237" i="100" s="1"/>
  <c r="D361" i="100" s="1"/>
  <c r="G361" i="100" s="1"/>
  <c r="D485" i="100" s="1"/>
  <c r="G485" i="100" s="1"/>
  <c r="D547" i="100" s="1"/>
  <c r="G547" i="100" s="1"/>
  <c r="L51" i="100"/>
  <c r="I112" i="100" s="1"/>
  <c r="L112" i="100" s="1"/>
  <c r="G51" i="100"/>
  <c r="D112" i="100" s="1"/>
  <c r="G112" i="100" s="1"/>
  <c r="D236" i="100" s="1"/>
  <c r="G236" i="100" s="1"/>
  <c r="D360" i="100" s="1"/>
  <c r="G360" i="100" s="1"/>
  <c r="D484" i="100" s="1"/>
  <c r="G484" i="100" s="1"/>
  <c r="D546" i="100" s="1"/>
  <c r="G546" i="100" s="1"/>
  <c r="L50" i="100"/>
  <c r="I111" i="100" s="1"/>
  <c r="L111" i="100" s="1"/>
  <c r="G50" i="100"/>
  <c r="L49" i="100"/>
  <c r="I110" i="100" s="1"/>
  <c r="L110" i="100" s="1"/>
  <c r="G49" i="100"/>
  <c r="L48" i="100"/>
  <c r="I109" i="100" s="1"/>
  <c r="L109" i="100" s="1"/>
  <c r="G48" i="100"/>
  <c r="D109" i="100" s="1"/>
  <c r="G109" i="100" s="1"/>
  <c r="D233" i="100" s="1"/>
  <c r="G233" i="100" s="1"/>
  <c r="D357" i="100" s="1"/>
  <c r="G357" i="100" s="1"/>
  <c r="D481" i="100" s="1"/>
  <c r="G481" i="100" s="1"/>
  <c r="D543" i="100" s="1"/>
  <c r="G543" i="100" s="1"/>
  <c r="L47" i="100"/>
  <c r="I108" i="100" s="1"/>
  <c r="L108" i="100" s="1"/>
  <c r="G47" i="100"/>
  <c r="L46" i="100"/>
  <c r="I107" i="100" s="1"/>
  <c r="L107" i="100" s="1"/>
  <c r="G46" i="100"/>
  <c r="D107" i="100" s="1"/>
  <c r="G107" i="100" s="1"/>
  <c r="D231" i="100" s="1"/>
  <c r="G231" i="100" s="1"/>
  <c r="D355" i="100" s="1"/>
  <c r="G355" i="100" s="1"/>
  <c r="D479" i="100" s="1"/>
  <c r="G479" i="100" s="1"/>
  <c r="D541" i="100" s="1"/>
  <c r="G541" i="100" s="1"/>
  <c r="L45" i="100"/>
  <c r="I106" i="100" s="1"/>
  <c r="L106" i="100" s="1"/>
  <c r="G45" i="100"/>
  <c r="L44" i="100"/>
  <c r="I105" i="100" s="1"/>
  <c r="L105" i="100" s="1"/>
  <c r="G44" i="100"/>
  <c r="D105" i="100" s="1"/>
  <c r="G105" i="100" s="1"/>
  <c r="D229" i="100" s="1"/>
  <c r="G229" i="100" s="1"/>
  <c r="D353" i="100" s="1"/>
  <c r="G353" i="100" s="1"/>
  <c r="D477" i="100" s="1"/>
  <c r="G477" i="100" s="1"/>
  <c r="D539" i="100" s="1"/>
  <c r="G539" i="100" s="1"/>
  <c r="L43" i="100"/>
  <c r="I104" i="100" s="1"/>
  <c r="L104" i="100" s="1"/>
  <c r="G43" i="100"/>
  <c r="D104" i="100" s="1"/>
  <c r="G104" i="100" s="1"/>
  <c r="D228" i="100" s="1"/>
  <c r="G228" i="100" s="1"/>
  <c r="D352" i="100" s="1"/>
  <c r="G352" i="100" s="1"/>
  <c r="D476" i="100" s="1"/>
  <c r="G476" i="100" s="1"/>
  <c r="D538" i="100" s="1"/>
  <c r="G538" i="100" s="1"/>
  <c r="L42" i="100"/>
  <c r="I103" i="100" s="1"/>
  <c r="L103" i="100" s="1"/>
  <c r="G42" i="100"/>
  <c r="D103" i="100" s="1"/>
  <c r="G103" i="100" s="1"/>
  <c r="D227" i="100" s="1"/>
  <c r="G227" i="100" s="1"/>
  <c r="D351" i="100" s="1"/>
  <c r="G351" i="100" s="1"/>
  <c r="D475" i="100" s="1"/>
  <c r="G475" i="100" s="1"/>
  <c r="D537" i="100" s="1"/>
  <c r="G537" i="100" s="1"/>
  <c r="L41" i="100"/>
  <c r="I102" i="100" s="1"/>
  <c r="L102" i="100" s="1"/>
  <c r="G41" i="100"/>
  <c r="D102" i="100" s="1"/>
  <c r="G102" i="100" s="1"/>
  <c r="D226" i="100" s="1"/>
  <c r="G226" i="100" s="1"/>
  <c r="D350" i="100" s="1"/>
  <c r="G350" i="100" s="1"/>
  <c r="D474" i="100" s="1"/>
  <c r="G474" i="100" s="1"/>
  <c r="D536" i="100" s="1"/>
  <c r="G536" i="100" s="1"/>
  <c r="L40" i="100"/>
  <c r="I101" i="100" s="1"/>
  <c r="L101" i="100" s="1"/>
  <c r="G40" i="100"/>
  <c r="D101" i="100" s="1"/>
  <c r="G101" i="100" s="1"/>
  <c r="D225" i="100" s="1"/>
  <c r="G225" i="100" s="1"/>
  <c r="D349" i="100" s="1"/>
  <c r="G349" i="100" s="1"/>
  <c r="D473" i="100" s="1"/>
  <c r="G473" i="100" s="1"/>
  <c r="D535" i="100" s="1"/>
  <c r="G535" i="100" s="1"/>
  <c r="L39" i="100"/>
  <c r="I100" i="100" s="1"/>
  <c r="L100" i="100" s="1"/>
  <c r="G39" i="100"/>
  <c r="D100" i="100" s="1"/>
  <c r="G100" i="100" s="1"/>
  <c r="D224" i="100" s="1"/>
  <c r="G224" i="100" s="1"/>
  <c r="D348" i="100" s="1"/>
  <c r="G348" i="100" s="1"/>
  <c r="D472" i="100" s="1"/>
  <c r="G472" i="100" s="1"/>
  <c r="D534" i="100" s="1"/>
  <c r="G534" i="100" s="1"/>
  <c r="L38" i="100"/>
  <c r="I99" i="100" s="1"/>
  <c r="L99" i="100" s="1"/>
  <c r="G38" i="100"/>
  <c r="D99" i="100" s="1"/>
  <c r="G99" i="100" s="1"/>
  <c r="D223" i="100" s="1"/>
  <c r="G223" i="100" s="1"/>
  <c r="D347" i="100" s="1"/>
  <c r="G347" i="100" s="1"/>
  <c r="D471" i="100" s="1"/>
  <c r="G471" i="100" s="1"/>
  <c r="D533" i="100" s="1"/>
  <c r="G533" i="100" s="1"/>
  <c r="L37" i="100"/>
  <c r="I98" i="100" s="1"/>
  <c r="L98" i="100" s="1"/>
  <c r="G37" i="100"/>
  <c r="D98" i="100" s="1"/>
  <c r="G98" i="100" s="1"/>
  <c r="D222" i="100" s="1"/>
  <c r="G222" i="100" s="1"/>
  <c r="D346" i="100" s="1"/>
  <c r="G346" i="100" s="1"/>
  <c r="D470" i="100" s="1"/>
  <c r="G470" i="100" s="1"/>
  <c r="D532" i="100" s="1"/>
  <c r="G532" i="100" s="1"/>
  <c r="L36" i="100"/>
  <c r="I97" i="100" s="1"/>
  <c r="L97" i="100" s="1"/>
  <c r="G36" i="100"/>
  <c r="D97" i="100" s="1"/>
  <c r="G97" i="100" s="1"/>
  <c r="L35" i="100"/>
  <c r="I96" i="100" s="1"/>
  <c r="L96" i="100" s="1"/>
  <c r="G35" i="100"/>
  <c r="D96" i="100" s="1"/>
  <c r="G96" i="100" s="1"/>
  <c r="D220" i="100" s="1"/>
  <c r="G220" i="100" s="1"/>
  <c r="D344" i="100" s="1"/>
  <c r="G344" i="100" s="1"/>
  <c r="D468" i="100" s="1"/>
  <c r="G468" i="100" s="1"/>
  <c r="D530" i="100" s="1"/>
  <c r="G530" i="100" s="1"/>
  <c r="L34" i="100"/>
  <c r="I95" i="100" s="1"/>
  <c r="L95" i="100" s="1"/>
  <c r="G34" i="100"/>
  <c r="L33" i="100"/>
  <c r="I94" i="100" s="1"/>
  <c r="L94" i="100" s="1"/>
  <c r="G33" i="100"/>
  <c r="L32" i="100"/>
  <c r="I93" i="100" s="1"/>
  <c r="L93" i="100" s="1"/>
  <c r="G32" i="100"/>
  <c r="D93" i="100" s="1"/>
  <c r="G93" i="100" s="1"/>
  <c r="L31" i="100"/>
  <c r="I92" i="100" s="1"/>
  <c r="L92" i="100" s="1"/>
  <c r="G31" i="100"/>
  <c r="L30" i="100"/>
  <c r="I91" i="100" s="1"/>
  <c r="L91" i="100" s="1"/>
  <c r="G30" i="100"/>
  <c r="D91" i="100" s="1"/>
  <c r="G91" i="100" s="1"/>
  <c r="D215" i="100" s="1"/>
  <c r="G215" i="100" s="1"/>
  <c r="D339" i="100" s="1"/>
  <c r="G339" i="100" s="1"/>
  <c r="D463" i="100" s="1"/>
  <c r="G463" i="100" s="1"/>
  <c r="D525" i="100" s="1"/>
  <c r="G525" i="100" s="1"/>
  <c r="L29" i="100"/>
  <c r="I90" i="100" s="1"/>
  <c r="L90" i="100" s="1"/>
  <c r="G29" i="100"/>
  <c r="D90" i="100" s="1"/>
  <c r="G90" i="100" s="1"/>
  <c r="D214" i="100" s="1"/>
  <c r="G214" i="100" s="1"/>
  <c r="D338" i="100" s="1"/>
  <c r="G338" i="100" s="1"/>
  <c r="D462" i="100" s="1"/>
  <c r="G462" i="100" s="1"/>
  <c r="D524" i="100" s="1"/>
  <c r="G524" i="100" s="1"/>
  <c r="L28" i="100"/>
  <c r="I89" i="100" s="1"/>
  <c r="L89" i="100" s="1"/>
  <c r="G28" i="100"/>
  <c r="D89" i="100" s="1"/>
  <c r="G89" i="100" s="1"/>
  <c r="D213" i="100" s="1"/>
  <c r="G213" i="100" s="1"/>
  <c r="D337" i="100" s="1"/>
  <c r="G337" i="100" s="1"/>
  <c r="D461" i="100" s="1"/>
  <c r="G461" i="100" s="1"/>
  <c r="D523" i="100" s="1"/>
  <c r="G523" i="100" s="1"/>
  <c r="L27" i="100"/>
  <c r="I88" i="100" s="1"/>
  <c r="L88" i="100" s="1"/>
  <c r="G27" i="100"/>
  <c r="D88" i="100" s="1"/>
  <c r="G88" i="100" s="1"/>
  <c r="D212" i="100" s="1"/>
  <c r="G212" i="100" s="1"/>
  <c r="D336" i="100" s="1"/>
  <c r="G336" i="100" s="1"/>
  <c r="D460" i="100" s="1"/>
  <c r="G460" i="100" s="1"/>
  <c r="D522" i="100" s="1"/>
  <c r="G522" i="100" s="1"/>
  <c r="L26" i="100"/>
  <c r="I87" i="100" s="1"/>
  <c r="L87" i="100" s="1"/>
  <c r="G26" i="100"/>
  <c r="D87" i="100" s="1"/>
  <c r="G87" i="100" s="1"/>
  <c r="D211" i="100" s="1"/>
  <c r="G211" i="100" s="1"/>
  <c r="D335" i="100" s="1"/>
  <c r="G335" i="100" s="1"/>
  <c r="D459" i="100" s="1"/>
  <c r="G459" i="100" s="1"/>
  <c r="D521" i="100" s="1"/>
  <c r="G521" i="100" s="1"/>
  <c r="L25" i="100"/>
  <c r="I86" i="100" s="1"/>
  <c r="L86" i="100" s="1"/>
  <c r="G25" i="100"/>
  <c r="D86" i="100" s="1"/>
  <c r="G86" i="100" s="1"/>
  <c r="D210" i="100" s="1"/>
  <c r="G210" i="100" s="1"/>
  <c r="D334" i="100" s="1"/>
  <c r="G334" i="100" s="1"/>
  <c r="D458" i="100" s="1"/>
  <c r="G458" i="100" s="1"/>
  <c r="D520" i="100" s="1"/>
  <c r="G520" i="100" s="1"/>
  <c r="L24" i="100"/>
  <c r="I85" i="100" s="1"/>
  <c r="L85" i="100" s="1"/>
  <c r="G24" i="100"/>
  <c r="L23" i="100"/>
  <c r="I84" i="100" s="1"/>
  <c r="L84" i="100" s="1"/>
  <c r="G23" i="100"/>
  <c r="D84" i="100" s="1"/>
  <c r="G84" i="100" s="1"/>
  <c r="D208" i="100" s="1"/>
  <c r="G208" i="100" s="1"/>
  <c r="D332" i="100" s="1"/>
  <c r="G332" i="100" s="1"/>
  <c r="D456" i="100" s="1"/>
  <c r="G456" i="100" s="1"/>
  <c r="D518" i="100" s="1"/>
  <c r="G518" i="100" s="1"/>
  <c r="L22" i="100"/>
  <c r="I83" i="100" s="1"/>
  <c r="L83" i="100" s="1"/>
  <c r="G22" i="100"/>
  <c r="L21" i="100"/>
  <c r="I82" i="100" s="1"/>
  <c r="L82" i="100" s="1"/>
  <c r="G21" i="100"/>
  <c r="L20" i="100"/>
  <c r="I81" i="100" s="1"/>
  <c r="G20" i="100"/>
  <c r="L19" i="100"/>
  <c r="G19" i="100"/>
  <c r="L18" i="100"/>
  <c r="M18" i="100"/>
  <c r="G18" i="100"/>
  <c r="L17" i="100"/>
  <c r="G17" i="100"/>
  <c r="M1" i="100"/>
  <c r="G1" i="15"/>
  <c r="B13" i="15"/>
  <c r="G13" i="15"/>
  <c r="K1" i="12"/>
  <c r="F13" i="12"/>
  <c r="G13" i="12"/>
  <c r="H13" i="12"/>
  <c r="D33" i="12" s="1"/>
  <c r="J13" i="12"/>
  <c r="E33" i="12" s="1"/>
  <c r="O1" i="50"/>
  <c r="C102" i="33"/>
  <c r="D102" i="33" s="1"/>
  <c r="E102" i="33" s="1"/>
  <c r="H1" i="23"/>
  <c r="H1" i="21"/>
  <c r="G1" i="34"/>
  <c r="H20" i="23"/>
  <c r="F20" i="23"/>
  <c r="E1" i="78"/>
  <c r="P1" i="30"/>
  <c r="J1" i="79"/>
  <c r="I1" i="81"/>
  <c r="H1" i="90"/>
  <c r="K1" i="89"/>
  <c r="O1" i="88"/>
  <c r="L1" i="87"/>
  <c r="I56" i="89"/>
  <c r="I55" i="89"/>
  <c r="E55" i="89"/>
  <c r="I54" i="89"/>
  <c r="E54" i="89"/>
  <c r="I53" i="89"/>
  <c r="E53" i="89"/>
  <c r="I52" i="89"/>
  <c r="E52" i="89"/>
  <c r="I51" i="89"/>
  <c r="E51" i="89"/>
  <c r="I50" i="89"/>
  <c r="E50" i="89"/>
  <c r="I49" i="89"/>
  <c r="E49" i="89"/>
  <c r="I48" i="89"/>
  <c r="E48" i="89"/>
  <c r="I47" i="89"/>
  <c r="E47" i="89"/>
  <c r="I46" i="89"/>
  <c r="E46" i="89"/>
  <c r="I45" i="89"/>
  <c r="E45" i="89"/>
  <c r="I44" i="89"/>
  <c r="E44" i="89"/>
  <c r="I42" i="89"/>
  <c r="E42" i="89"/>
  <c r="I41" i="89"/>
  <c r="E41" i="89"/>
  <c r="I40" i="89"/>
  <c r="E40" i="89"/>
  <c r="I39" i="89"/>
  <c r="E39" i="89"/>
  <c r="I38" i="89"/>
  <c r="E38" i="89"/>
  <c r="I37" i="89"/>
  <c r="E37" i="89"/>
  <c r="I36" i="89"/>
  <c r="E36" i="89"/>
  <c r="I35" i="89"/>
  <c r="E35" i="89"/>
  <c r="I34" i="89"/>
  <c r="E34" i="89"/>
  <c r="I33" i="89"/>
  <c r="E33" i="89"/>
  <c r="I32" i="89"/>
  <c r="E32" i="89"/>
  <c r="I31" i="89"/>
  <c r="E31" i="89"/>
  <c r="I30" i="89"/>
  <c r="E30" i="89"/>
  <c r="I29" i="89"/>
  <c r="E29" i="89"/>
  <c r="I28" i="89"/>
  <c r="E28" i="89"/>
  <c r="I27" i="89"/>
  <c r="E27" i="89"/>
  <c r="I26" i="89"/>
  <c r="E26" i="89"/>
  <c r="I25" i="89"/>
  <c r="E25" i="89"/>
  <c r="I24" i="89"/>
  <c r="E24" i="89"/>
  <c r="I23" i="89"/>
  <c r="E23" i="89"/>
  <c r="I22" i="89"/>
  <c r="E22" i="89"/>
  <c r="I21" i="89"/>
  <c r="E21" i="89"/>
  <c r="I20" i="89"/>
  <c r="E20" i="89"/>
  <c r="I19" i="89"/>
  <c r="E19" i="89"/>
  <c r="I18" i="89"/>
  <c r="E18" i="89"/>
  <c r="M56" i="88"/>
  <c r="I56" i="88"/>
  <c r="H56" i="88"/>
  <c r="G56" i="88"/>
  <c r="M55" i="88"/>
  <c r="O55" i="88" s="1"/>
  <c r="I55" i="88"/>
  <c r="H55" i="88"/>
  <c r="G55" i="88"/>
  <c r="M54" i="88"/>
  <c r="I54" i="88"/>
  <c r="J54" i="88" s="1"/>
  <c r="L54" i="88" s="1"/>
  <c r="H54" i="88"/>
  <c r="G54" i="88"/>
  <c r="M53" i="88"/>
  <c r="O53" i="88" s="1"/>
  <c r="I53" i="88"/>
  <c r="H53" i="88"/>
  <c r="G53" i="88"/>
  <c r="M52" i="88"/>
  <c r="O52" i="88" s="1"/>
  <c r="F52" i="89" s="1"/>
  <c r="H52" i="89" s="1"/>
  <c r="I52" i="88"/>
  <c r="H52" i="88"/>
  <c r="G52" i="88"/>
  <c r="M51" i="88"/>
  <c r="O51" i="88" s="1"/>
  <c r="I51" i="88"/>
  <c r="H51" i="88"/>
  <c r="G51" i="88"/>
  <c r="M50" i="88"/>
  <c r="O50" i="88" s="1"/>
  <c r="I50" i="88"/>
  <c r="J50" i="88" s="1"/>
  <c r="L50" i="88" s="1"/>
  <c r="H50" i="88"/>
  <c r="G50" i="88"/>
  <c r="M49" i="88"/>
  <c r="I49" i="88"/>
  <c r="H49" i="88"/>
  <c r="G49" i="88"/>
  <c r="M48" i="88"/>
  <c r="I48" i="88"/>
  <c r="H48" i="88"/>
  <c r="J48" i="88"/>
  <c r="L48" i="88" s="1"/>
  <c r="G48" i="88"/>
  <c r="M47" i="88"/>
  <c r="I47" i="88"/>
  <c r="H47" i="88"/>
  <c r="O47" i="88" s="1"/>
  <c r="F47" i="89" s="1"/>
  <c r="H47" i="89" s="1"/>
  <c r="G47" i="88"/>
  <c r="M46" i="88"/>
  <c r="I46" i="88"/>
  <c r="H46" i="88"/>
  <c r="G46" i="88"/>
  <c r="M45" i="88"/>
  <c r="I45" i="88"/>
  <c r="H45" i="88"/>
  <c r="G45" i="88"/>
  <c r="M44" i="88"/>
  <c r="I44" i="88"/>
  <c r="H44" i="88"/>
  <c r="G44" i="88"/>
  <c r="M42" i="88"/>
  <c r="I42" i="88"/>
  <c r="H42" i="88"/>
  <c r="G42" i="88"/>
  <c r="M41" i="88"/>
  <c r="I41" i="88"/>
  <c r="H41" i="88"/>
  <c r="G41" i="88"/>
  <c r="M40" i="88"/>
  <c r="I40" i="88"/>
  <c r="H40" i="88"/>
  <c r="G40" i="88"/>
  <c r="M39" i="88"/>
  <c r="I39" i="88"/>
  <c r="H39" i="88"/>
  <c r="G39" i="88"/>
  <c r="M38" i="88"/>
  <c r="I38" i="88"/>
  <c r="H38" i="88"/>
  <c r="G38" i="88"/>
  <c r="M37" i="88"/>
  <c r="I37" i="88"/>
  <c r="H37" i="88"/>
  <c r="G37" i="88"/>
  <c r="M36" i="88"/>
  <c r="I36" i="88"/>
  <c r="H36" i="88"/>
  <c r="G36" i="88"/>
  <c r="M35" i="88"/>
  <c r="I35" i="88"/>
  <c r="H35" i="88"/>
  <c r="G35" i="88"/>
  <c r="M34" i="88"/>
  <c r="I34" i="88"/>
  <c r="H34" i="88"/>
  <c r="G34" i="88"/>
  <c r="M33" i="88"/>
  <c r="I33" i="88"/>
  <c r="H33" i="88"/>
  <c r="O33" i="88" s="1"/>
  <c r="G33" i="88"/>
  <c r="M32" i="88"/>
  <c r="I32" i="88"/>
  <c r="H32" i="88"/>
  <c r="G32" i="88"/>
  <c r="M31" i="88"/>
  <c r="I31" i="88"/>
  <c r="H31" i="88"/>
  <c r="O31" i="88" s="1"/>
  <c r="G31" i="88"/>
  <c r="M30" i="88"/>
  <c r="I30" i="88"/>
  <c r="H30" i="88"/>
  <c r="G30" i="88"/>
  <c r="M29" i="88"/>
  <c r="I29" i="88"/>
  <c r="H29" i="88"/>
  <c r="G29" i="88"/>
  <c r="M28" i="88"/>
  <c r="I28" i="88"/>
  <c r="H28" i="88"/>
  <c r="G28" i="88"/>
  <c r="M27" i="88"/>
  <c r="I27" i="88"/>
  <c r="H27" i="88"/>
  <c r="G27" i="88"/>
  <c r="M26" i="88"/>
  <c r="I26" i="88"/>
  <c r="H26" i="88"/>
  <c r="G26" i="88"/>
  <c r="M25" i="88"/>
  <c r="I25" i="88"/>
  <c r="H25" i="88"/>
  <c r="G25" i="88"/>
  <c r="M24" i="88"/>
  <c r="I24" i="88"/>
  <c r="H24" i="88"/>
  <c r="G24" i="88"/>
  <c r="M23" i="88"/>
  <c r="I23" i="88"/>
  <c r="H23" i="88"/>
  <c r="G23" i="88"/>
  <c r="M22" i="88"/>
  <c r="I22" i="88"/>
  <c r="H22" i="88"/>
  <c r="G22" i="88"/>
  <c r="M21" i="88"/>
  <c r="I21" i="88"/>
  <c r="H21" i="88"/>
  <c r="G21" i="88"/>
  <c r="M20" i="88"/>
  <c r="I20" i="88"/>
  <c r="H20" i="88"/>
  <c r="G20" i="88"/>
  <c r="M19" i="88"/>
  <c r="I19" i="88"/>
  <c r="H19" i="88"/>
  <c r="G19" i="88"/>
  <c r="M18" i="88"/>
  <c r="I18" i="88"/>
  <c r="H18" i="88"/>
  <c r="O18" i="88" s="1"/>
  <c r="G18" i="88"/>
  <c r="I55" i="87"/>
  <c r="E55" i="87"/>
  <c r="J54" i="87"/>
  <c r="L54" i="87" s="1"/>
  <c r="I54" i="87"/>
  <c r="E54" i="87"/>
  <c r="G54" i="87" s="1"/>
  <c r="L53" i="87"/>
  <c r="J53" i="87"/>
  <c r="I53" i="87"/>
  <c r="E53" i="87"/>
  <c r="G53" i="87"/>
  <c r="J52" i="87"/>
  <c r="L52" i="87" s="1"/>
  <c r="I52" i="87"/>
  <c r="E52" i="87"/>
  <c r="G52" i="87" s="1"/>
  <c r="L51" i="87"/>
  <c r="J51" i="87"/>
  <c r="I51" i="87"/>
  <c r="E51" i="87"/>
  <c r="G51" i="87"/>
  <c r="J50" i="87"/>
  <c r="L50" i="87" s="1"/>
  <c r="I50" i="87"/>
  <c r="G50" i="87"/>
  <c r="E50" i="87"/>
  <c r="J49" i="87"/>
  <c r="L49" i="87" s="1"/>
  <c r="I49" i="87"/>
  <c r="E49" i="87"/>
  <c r="G49" i="87" s="1"/>
  <c r="J48" i="87"/>
  <c r="L48" i="87" s="1"/>
  <c r="I48" i="87"/>
  <c r="E48" i="87"/>
  <c r="G48" i="87" s="1"/>
  <c r="J47" i="87"/>
  <c r="L47" i="87" s="1"/>
  <c r="I47" i="87"/>
  <c r="E47" i="87"/>
  <c r="G47" i="87" s="1"/>
  <c r="J46" i="87"/>
  <c r="L46" i="87"/>
  <c r="I46" i="87"/>
  <c r="G46" i="87"/>
  <c r="E46" i="87"/>
  <c r="J45" i="87"/>
  <c r="L45" i="87" s="1"/>
  <c r="I45" i="87"/>
  <c r="E45" i="87"/>
  <c r="G45" i="87"/>
  <c r="J44" i="87"/>
  <c r="L44" i="87" s="1"/>
  <c r="I44" i="87"/>
  <c r="E44" i="87"/>
  <c r="G44" i="87" s="1"/>
  <c r="J43" i="87"/>
  <c r="L43" i="87" s="1"/>
  <c r="I43" i="87"/>
  <c r="E43" i="87"/>
  <c r="G43" i="87" s="1"/>
  <c r="J42" i="87"/>
  <c r="L42" i="87" s="1"/>
  <c r="I42" i="87"/>
  <c r="E42" i="87"/>
  <c r="G42" i="87" s="1"/>
  <c r="L41" i="87"/>
  <c r="J41" i="87"/>
  <c r="I41" i="87"/>
  <c r="E41" i="87"/>
  <c r="G41" i="87"/>
  <c r="J40" i="87"/>
  <c r="L40" i="87" s="1"/>
  <c r="I40" i="87"/>
  <c r="G40" i="87"/>
  <c r="E40" i="87"/>
  <c r="J39" i="87"/>
  <c r="L39" i="87" s="1"/>
  <c r="I39" i="87"/>
  <c r="E39" i="87"/>
  <c r="G39" i="87" s="1"/>
  <c r="J38" i="87"/>
  <c r="L38" i="87" s="1"/>
  <c r="I38" i="87"/>
  <c r="G38" i="87"/>
  <c r="E38" i="87"/>
  <c r="J37" i="87"/>
  <c r="L37" i="87" s="1"/>
  <c r="I37" i="87"/>
  <c r="E37" i="87"/>
  <c r="G37" i="87" s="1"/>
  <c r="I36" i="87"/>
  <c r="E36" i="87"/>
  <c r="G36" i="87" s="1"/>
  <c r="G56" i="87" s="1"/>
  <c r="I35" i="87"/>
  <c r="E35" i="87"/>
  <c r="G35" i="87" s="1"/>
  <c r="J34" i="87"/>
  <c r="L34" i="87"/>
  <c r="I34" i="87"/>
  <c r="E34" i="87"/>
  <c r="G34" i="87" s="1"/>
  <c r="J33" i="87"/>
  <c r="L33" i="87" s="1"/>
  <c r="I33" i="87"/>
  <c r="E33" i="87"/>
  <c r="G33" i="87"/>
  <c r="J32" i="87"/>
  <c r="L32" i="87" s="1"/>
  <c r="I32" i="87"/>
  <c r="G32" i="87"/>
  <c r="E32" i="87"/>
  <c r="J31" i="87"/>
  <c r="L31" i="87" s="1"/>
  <c r="I31" i="87"/>
  <c r="E31" i="87"/>
  <c r="G31" i="87" s="1"/>
  <c r="J30" i="87"/>
  <c r="L30" i="87" s="1"/>
  <c r="I30" i="87"/>
  <c r="E30" i="87"/>
  <c r="G30" i="87" s="1"/>
  <c r="J29" i="87"/>
  <c r="L29" i="87" s="1"/>
  <c r="I29" i="87"/>
  <c r="E29" i="87"/>
  <c r="G29" i="87"/>
  <c r="J28" i="87"/>
  <c r="L28" i="87" s="1"/>
  <c r="I28" i="87"/>
  <c r="E28" i="87"/>
  <c r="G28" i="87" s="1"/>
  <c r="J27" i="87"/>
  <c r="L27" i="87" s="1"/>
  <c r="I27" i="87"/>
  <c r="E27" i="87"/>
  <c r="G27" i="87"/>
  <c r="J26" i="87"/>
  <c r="L26" i="87" s="1"/>
  <c r="I26" i="87"/>
  <c r="E26" i="87"/>
  <c r="G26" i="87" s="1"/>
  <c r="J25" i="87"/>
  <c r="L25" i="87" s="1"/>
  <c r="I25" i="87"/>
  <c r="E25" i="87"/>
  <c r="G25" i="87"/>
  <c r="J24" i="87"/>
  <c r="L24" i="87" s="1"/>
  <c r="I24" i="87"/>
  <c r="E24" i="87"/>
  <c r="G24" i="87" s="1"/>
  <c r="L23" i="87"/>
  <c r="J23" i="87"/>
  <c r="I23" i="87"/>
  <c r="E23" i="87"/>
  <c r="G23" i="87"/>
  <c r="J22" i="87"/>
  <c r="L22" i="87"/>
  <c r="I22" i="87"/>
  <c r="G22" i="87"/>
  <c r="E22" i="87"/>
  <c r="L21" i="87"/>
  <c r="J21" i="87"/>
  <c r="I21" i="87"/>
  <c r="E21" i="87"/>
  <c r="G21" i="87"/>
  <c r="J20" i="87"/>
  <c r="L20" i="87"/>
  <c r="I20" i="87"/>
  <c r="G20" i="87"/>
  <c r="E20" i="87"/>
  <c r="L19" i="87"/>
  <c r="J19" i="87"/>
  <c r="I19" i="87"/>
  <c r="E19" i="87"/>
  <c r="G19" i="87"/>
  <c r="J18" i="87"/>
  <c r="L18" i="87" s="1"/>
  <c r="I18" i="87"/>
  <c r="E18" i="87"/>
  <c r="G18" i="87" s="1"/>
  <c r="F34" i="81"/>
  <c r="F33" i="81"/>
  <c r="F32" i="81"/>
  <c r="F31" i="81"/>
  <c r="F30" i="81"/>
  <c r="F29" i="81"/>
  <c r="F28" i="81"/>
  <c r="F27" i="81"/>
  <c r="F35" i="81" s="1"/>
  <c r="F26" i="81"/>
  <c r="F25" i="81"/>
  <c r="F24" i="81"/>
  <c r="F23" i="81"/>
  <c r="F19" i="81"/>
  <c r="F18" i="81"/>
  <c r="J25" i="79"/>
  <c r="I25" i="79"/>
  <c r="F25" i="79"/>
  <c r="E25" i="79"/>
  <c r="D25" i="79"/>
  <c r="C25" i="79"/>
  <c r="K24" i="79"/>
  <c r="K23" i="79"/>
  <c r="K25" i="79"/>
  <c r="J55" i="61"/>
  <c r="G55" i="61"/>
  <c r="C55" i="61"/>
  <c r="I54" i="61"/>
  <c r="I53" i="61"/>
  <c r="E53" i="61"/>
  <c r="I52" i="61"/>
  <c r="K52" i="61" s="1"/>
  <c r="E52" i="61"/>
  <c r="I51" i="61"/>
  <c r="K51" i="61" s="1"/>
  <c r="E51" i="61"/>
  <c r="I50" i="61"/>
  <c r="E50" i="61"/>
  <c r="I49" i="61"/>
  <c r="K49" i="61" s="1"/>
  <c r="K49" i="62" s="1"/>
  <c r="F49" i="120" s="1"/>
  <c r="H49" i="120" s="1"/>
  <c r="E49" i="61"/>
  <c r="I48" i="61"/>
  <c r="K48" i="61" s="1"/>
  <c r="K48" i="62" s="1"/>
  <c r="F48" i="120" s="1"/>
  <c r="H48" i="120" s="1"/>
  <c r="E48" i="61"/>
  <c r="I47" i="61"/>
  <c r="E47" i="61"/>
  <c r="I46" i="61"/>
  <c r="K46" i="61" s="1"/>
  <c r="E46" i="61"/>
  <c r="I45" i="61"/>
  <c r="E45" i="61"/>
  <c r="I44" i="61"/>
  <c r="E44" i="61"/>
  <c r="I43" i="61"/>
  <c r="E43" i="61"/>
  <c r="I42" i="61"/>
  <c r="E42" i="61"/>
  <c r="I41" i="61"/>
  <c r="E41" i="61"/>
  <c r="I40" i="61"/>
  <c r="E40" i="61"/>
  <c r="I39" i="61"/>
  <c r="K39" i="61" s="1"/>
  <c r="K39" i="62" s="1"/>
  <c r="F39" i="120" s="1"/>
  <c r="H39" i="120" s="1"/>
  <c r="E39" i="61"/>
  <c r="I38" i="61"/>
  <c r="E38" i="61"/>
  <c r="I37" i="61"/>
  <c r="E37" i="61"/>
  <c r="I36" i="61"/>
  <c r="E36" i="61"/>
  <c r="I35" i="61"/>
  <c r="E35" i="61"/>
  <c r="I34" i="61"/>
  <c r="E34" i="61"/>
  <c r="I33" i="61"/>
  <c r="K33" i="61" s="1"/>
  <c r="K33" i="62" s="1"/>
  <c r="F33" i="120" s="1"/>
  <c r="H33" i="120" s="1"/>
  <c r="E33" i="61"/>
  <c r="I32" i="61"/>
  <c r="K32" i="61" s="1"/>
  <c r="K32" i="62" s="1"/>
  <c r="F32" i="120" s="1"/>
  <c r="H32" i="120" s="1"/>
  <c r="E32" i="61"/>
  <c r="I31" i="61"/>
  <c r="E31" i="61"/>
  <c r="I30" i="61"/>
  <c r="E30" i="61"/>
  <c r="I29" i="61"/>
  <c r="E29" i="61"/>
  <c r="I28" i="61"/>
  <c r="E28" i="61"/>
  <c r="I27" i="61"/>
  <c r="K27" i="61" s="1"/>
  <c r="K27" i="62" s="1"/>
  <c r="F27" i="120" s="1"/>
  <c r="H27" i="120" s="1"/>
  <c r="E27" i="61"/>
  <c r="I26" i="61"/>
  <c r="E26" i="61"/>
  <c r="I25" i="61"/>
  <c r="E25" i="61"/>
  <c r="I24" i="61"/>
  <c r="E24" i="61"/>
  <c r="I23" i="61"/>
  <c r="E23" i="61"/>
  <c r="I22" i="61"/>
  <c r="E22" i="61"/>
  <c r="I21" i="61"/>
  <c r="E21" i="61"/>
  <c r="I20" i="61"/>
  <c r="E20" i="61"/>
  <c r="I19" i="61"/>
  <c r="E19" i="61"/>
  <c r="I18" i="61"/>
  <c r="K18" i="61" s="1"/>
  <c r="K18" i="62" s="1"/>
  <c r="E18" i="61"/>
  <c r="E17" i="61"/>
  <c r="J55" i="60"/>
  <c r="G55" i="60"/>
  <c r="C55" i="60"/>
  <c r="I54" i="60"/>
  <c r="E54" i="60"/>
  <c r="I53" i="60"/>
  <c r="E53" i="60"/>
  <c r="I52" i="60"/>
  <c r="E52" i="60"/>
  <c r="I51" i="60"/>
  <c r="E51" i="60"/>
  <c r="I50" i="60"/>
  <c r="E50" i="60"/>
  <c r="I49" i="60"/>
  <c r="E49" i="60"/>
  <c r="I48" i="60"/>
  <c r="E48" i="60"/>
  <c r="I47" i="60"/>
  <c r="E47" i="60"/>
  <c r="I46" i="60"/>
  <c r="E46" i="60"/>
  <c r="I45" i="60"/>
  <c r="E45" i="60"/>
  <c r="I44" i="60"/>
  <c r="E44" i="60"/>
  <c r="I43" i="60"/>
  <c r="E43" i="60"/>
  <c r="I42" i="60"/>
  <c r="E42" i="60"/>
  <c r="I41" i="60"/>
  <c r="E41" i="60"/>
  <c r="I40" i="60"/>
  <c r="E40" i="60"/>
  <c r="I39" i="60"/>
  <c r="E39" i="60"/>
  <c r="I38" i="60"/>
  <c r="E38" i="60"/>
  <c r="I37" i="60"/>
  <c r="E37" i="60"/>
  <c r="I36" i="60"/>
  <c r="E36" i="60"/>
  <c r="I35" i="60"/>
  <c r="E35" i="60"/>
  <c r="I34" i="60"/>
  <c r="E34" i="60"/>
  <c r="I33" i="60"/>
  <c r="E33" i="60"/>
  <c r="I32" i="60"/>
  <c r="E32" i="60"/>
  <c r="I31" i="60"/>
  <c r="E31" i="60"/>
  <c r="I30" i="60"/>
  <c r="E30" i="60"/>
  <c r="I29" i="60"/>
  <c r="E29" i="60"/>
  <c r="I28" i="60"/>
  <c r="E28" i="60"/>
  <c r="I27" i="60"/>
  <c r="E27" i="60"/>
  <c r="I26" i="60"/>
  <c r="E26" i="60"/>
  <c r="I25" i="60"/>
  <c r="E25" i="60"/>
  <c r="I24" i="60"/>
  <c r="E24" i="60"/>
  <c r="I23" i="60"/>
  <c r="E23" i="60"/>
  <c r="I22" i="60"/>
  <c r="E22" i="60"/>
  <c r="I21" i="60"/>
  <c r="E21" i="60"/>
  <c r="I20" i="60"/>
  <c r="E20" i="60"/>
  <c r="I19" i="60"/>
  <c r="E19" i="60"/>
  <c r="I18" i="60"/>
  <c r="E18" i="60"/>
  <c r="I17" i="60"/>
  <c r="E17" i="60"/>
  <c r="N55" i="59"/>
  <c r="K55" i="59"/>
  <c r="D55" i="59"/>
  <c r="C55" i="59"/>
  <c r="M54" i="59"/>
  <c r="I54" i="59"/>
  <c r="H54" i="59"/>
  <c r="G54" i="59"/>
  <c r="M53" i="59"/>
  <c r="I53" i="59"/>
  <c r="H53" i="59"/>
  <c r="G53" i="59"/>
  <c r="M52" i="59"/>
  <c r="I52" i="59"/>
  <c r="H52" i="59"/>
  <c r="G52" i="59"/>
  <c r="M51" i="59"/>
  <c r="I51" i="59"/>
  <c r="H51" i="59"/>
  <c r="G51" i="59"/>
  <c r="M50" i="59"/>
  <c r="I50" i="59"/>
  <c r="H50" i="59"/>
  <c r="G50" i="59"/>
  <c r="M49" i="59"/>
  <c r="I49" i="59"/>
  <c r="H49" i="59"/>
  <c r="G49" i="59"/>
  <c r="M48" i="59"/>
  <c r="I48" i="59"/>
  <c r="H48" i="59"/>
  <c r="G48" i="59"/>
  <c r="M47" i="59"/>
  <c r="I47" i="59"/>
  <c r="H47" i="59"/>
  <c r="G47" i="59"/>
  <c r="M46" i="59"/>
  <c r="I46" i="59"/>
  <c r="H46" i="59"/>
  <c r="G46" i="59"/>
  <c r="M45" i="59"/>
  <c r="I45" i="59"/>
  <c r="H45" i="59"/>
  <c r="G45" i="59"/>
  <c r="M44" i="59"/>
  <c r="I44" i="59"/>
  <c r="H44" i="59"/>
  <c r="G44" i="59"/>
  <c r="M43" i="59"/>
  <c r="I43" i="59"/>
  <c r="H43" i="59"/>
  <c r="G43" i="59"/>
  <c r="M42" i="59"/>
  <c r="I42" i="59"/>
  <c r="H42" i="59"/>
  <c r="G42" i="59"/>
  <c r="M41" i="59"/>
  <c r="I41" i="59"/>
  <c r="H41" i="59"/>
  <c r="G41" i="59"/>
  <c r="M40" i="59"/>
  <c r="I40" i="59"/>
  <c r="J40" i="59"/>
  <c r="L40" i="59"/>
  <c r="H40" i="59"/>
  <c r="G40" i="59"/>
  <c r="M39" i="59"/>
  <c r="O39" i="59"/>
  <c r="F39" i="60"/>
  <c r="H39" i="60"/>
  <c r="I39" i="59"/>
  <c r="H39" i="59"/>
  <c r="G39" i="59"/>
  <c r="M38" i="59"/>
  <c r="I38" i="59"/>
  <c r="H38" i="59"/>
  <c r="G38" i="59"/>
  <c r="M37" i="59"/>
  <c r="I37" i="59"/>
  <c r="H37" i="59"/>
  <c r="G37" i="59"/>
  <c r="M36" i="59"/>
  <c r="I36" i="59"/>
  <c r="H36" i="59"/>
  <c r="J36" i="59"/>
  <c r="L36" i="59"/>
  <c r="G36" i="59"/>
  <c r="M35" i="59"/>
  <c r="I35" i="59"/>
  <c r="H35" i="59"/>
  <c r="G35" i="59"/>
  <c r="M34" i="59"/>
  <c r="I34" i="59"/>
  <c r="H34" i="59"/>
  <c r="G34" i="59"/>
  <c r="M33" i="59"/>
  <c r="I33" i="59"/>
  <c r="H33" i="59"/>
  <c r="G33" i="59"/>
  <c r="M32" i="59"/>
  <c r="I32" i="59"/>
  <c r="H32" i="59"/>
  <c r="J32" i="59"/>
  <c r="L32" i="59"/>
  <c r="G32" i="59"/>
  <c r="O31" i="59"/>
  <c r="F31" i="60"/>
  <c r="H31" i="60"/>
  <c r="M31" i="59"/>
  <c r="I31" i="59"/>
  <c r="J31" i="59"/>
  <c r="L31" i="59"/>
  <c r="H31" i="59"/>
  <c r="G31" i="59"/>
  <c r="M30" i="59"/>
  <c r="I30" i="59"/>
  <c r="H30" i="59"/>
  <c r="G30" i="59"/>
  <c r="M29" i="59"/>
  <c r="I29" i="59"/>
  <c r="H29" i="59"/>
  <c r="G29" i="59"/>
  <c r="M28" i="59"/>
  <c r="I28" i="59"/>
  <c r="H28" i="59"/>
  <c r="G28" i="59"/>
  <c r="M27" i="59"/>
  <c r="I27" i="59"/>
  <c r="H27" i="59"/>
  <c r="G27" i="59"/>
  <c r="M26" i="59"/>
  <c r="I26" i="59"/>
  <c r="J26" i="59"/>
  <c r="L26" i="59"/>
  <c r="H26" i="59"/>
  <c r="G26" i="59"/>
  <c r="M25" i="59"/>
  <c r="I25" i="59"/>
  <c r="H25" i="59"/>
  <c r="G25" i="59"/>
  <c r="M24" i="59"/>
  <c r="I24" i="59"/>
  <c r="H24" i="59"/>
  <c r="G24" i="59"/>
  <c r="M23" i="59"/>
  <c r="I23" i="59"/>
  <c r="H23" i="59"/>
  <c r="O23" i="59" s="1"/>
  <c r="F23" i="60" s="1"/>
  <c r="G23" i="59"/>
  <c r="M22" i="59"/>
  <c r="I22" i="59"/>
  <c r="H22" i="59"/>
  <c r="G22" i="59"/>
  <c r="M21" i="59"/>
  <c r="I21" i="59"/>
  <c r="H21" i="59"/>
  <c r="G21" i="59"/>
  <c r="M20" i="59"/>
  <c r="I20" i="59"/>
  <c r="H20" i="59"/>
  <c r="G20" i="59"/>
  <c r="M19" i="59"/>
  <c r="I19" i="59"/>
  <c r="J19" i="59"/>
  <c r="L19" i="59"/>
  <c r="H19" i="59"/>
  <c r="G19" i="59"/>
  <c r="M18" i="59"/>
  <c r="I18" i="59"/>
  <c r="H18" i="59"/>
  <c r="G18" i="59"/>
  <c r="M17" i="59"/>
  <c r="I17" i="59"/>
  <c r="H17" i="59"/>
  <c r="G17" i="59"/>
  <c r="K55" i="58"/>
  <c r="F55" i="58"/>
  <c r="D55" i="58"/>
  <c r="C55" i="58"/>
  <c r="J54" i="58"/>
  <c r="L54" i="58"/>
  <c r="I54" i="58"/>
  <c r="G54" i="58"/>
  <c r="E54" i="58"/>
  <c r="J53" i="58"/>
  <c r="L53" i="58"/>
  <c r="I53" i="58"/>
  <c r="G53" i="58"/>
  <c r="E53" i="58"/>
  <c r="J52" i="58"/>
  <c r="L52" i="58"/>
  <c r="I52" i="58"/>
  <c r="E52" i="58"/>
  <c r="G52" i="58"/>
  <c r="J51" i="58"/>
  <c r="L51" i="58"/>
  <c r="I51" i="58"/>
  <c r="E51" i="58"/>
  <c r="G51" i="58"/>
  <c r="J50" i="58"/>
  <c r="L50" i="58"/>
  <c r="I50" i="58"/>
  <c r="E50" i="58"/>
  <c r="G50" i="58"/>
  <c r="J49" i="58"/>
  <c r="L49" i="58"/>
  <c r="I49" i="58"/>
  <c r="E49" i="58"/>
  <c r="G49" i="58"/>
  <c r="J48" i="58"/>
  <c r="L48" i="58"/>
  <c r="I48" i="58"/>
  <c r="E48" i="58"/>
  <c r="G48" i="58"/>
  <c r="J47" i="58"/>
  <c r="L47" i="58"/>
  <c r="I47" i="58"/>
  <c r="E47" i="58"/>
  <c r="G47" i="58"/>
  <c r="J46" i="58"/>
  <c r="L46" i="58"/>
  <c r="I46" i="58"/>
  <c r="G46" i="58"/>
  <c r="E46" i="58"/>
  <c r="J45" i="58"/>
  <c r="L45" i="58"/>
  <c r="I45" i="58"/>
  <c r="G45" i="58"/>
  <c r="E45" i="58"/>
  <c r="J44" i="58"/>
  <c r="L44" i="58"/>
  <c r="I44" i="58"/>
  <c r="E44" i="58"/>
  <c r="G44" i="58"/>
  <c r="J43" i="58"/>
  <c r="L43" i="58"/>
  <c r="I43" i="58"/>
  <c r="E43" i="58"/>
  <c r="G43" i="58"/>
  <c r="J42" i="58"/>
  <c r="L42" i="58"/>
  <c r="I42" i="58"/>
  <c r="E42" i="58"/>
  <c r="G42" i="58"/>
  <c r="J41" i="58"/>
  <c r="L41" i="58"/>
  <c r="I41" i="58"/>
  <c r="E41" i="58"/>
  <c r="G41" i="58"/>
  <c r="J40" i="58"/>
  <c r="L40" i="58"/>
  <c r="I40" i="58"/>
  <c r="E40" i="58"/>
  <c r="G40" i="58"/>
  <c r="J39" i="58"/>
  <c r="I39" i="58"/>
  <c r="E39" i="58"/>
  <c r="G39" i="58" s="1"/>
  <c r="J38" i="58"/>
  <c r="L38" i="58"/>
  <c r="I38" i="58"/>
  <c r="G38" i="58"/>
  <c r="E38" i="58"/>
  <c r="J37" i="58"/>
  <c r="L37" i="58"/>
  <c r="I37" i="58"/>
  <c r="G37" i="58"/>
  <c r="E37" i="58"/>
  <c r="J36" i="58"/>
  <c r="L36" i="58"/>
  <c r="I36" i="58"/>
  <c r="E36" i="58"/>
  <c r="G36" i="58"/>
  <c r="J35" i="58"/>
  <c r="L35" i="58"/>
  <c r="I35" i="58"/>
  <c r="E35" i="58"/>
  <c r="G35" i="58"/>
  <c r="J34" i="58"/>
  <c r="L34" i="58"/>
  <c r="I34" i="58"/>
  <c r="E34" i="58"/>
  <c r="G34" i="58"/>
  <c r="J33" i="58"/>
  <c r="L33" i="58"/>
  <c r="I33" i="58"/>
  <c r="E33" i="58"/>
  <c r="G33" i="58"/>
  <c r="J32" i="58"/>
  <c r="L32" i="58"/>
  <c r="I32" i="58"/>
  <c r="E32" i="58"/>
  <c r="G32" i="58"/>
  <c r="J31" i="58"/>
  <c r="L31" i="58"/>
  <c r="I31" i="58"/>
  <c r="E31" i="58"/>
  <c r="G31" i="58"/>
  <c r="J30" i="58"/>
  <c r="L30" i="58"/>
  <c r="I30" i="58"/>
  <c r="G30" i="58"/>
  <c r="E30" i="58"/>
  <c r="J29" i="58"/>
  <c r="L29" i="58"/>
  <c r="I29" i="58"/>
  <c r="G29" i="58"/>
  <c r="E29" i="58"/>
  <c r="J28" i="58"/>
  <c r="L28" i="58"/>
  <c r="I28" i="58"/>
  <c r="E28" i="58"/>
  <c r="G28" i="58"/>
  <c r="J27" i="58"/>
  <c r="L27" i="58"/>
  <c r="I27" i="58"/>
  <c r="E27" i="58"/>
  <c r="G27" i="58"/>
  <c r="J26" i="58"/>
  <c r="L26" i="58"/>
  <c r="I26" i="58"/>
  <c r="E26" i="58"/>
  <c r="G26" i="58"/>
  <c r="J25" i="58"/>
  <c r="L25" i="58"/>
  <c r="I25" i="58"/>
  <c r="E25" i="58"/>
  <c r="G25" i="58"/>
  <c r="J24" i="58"/>
  <c r="L24" i="58"/>
  <c r="I24" i="58"/>
  <c r="E24" i="58"/>
  <c r="G24" i="58"/>
  <c r="I23" i="58"/>
  <c r="E23" i="58"/>
  <c r="G23" i="58" s="1"/>
  <c r="J23" i="58" s="1"/>
  <c r="L23" i="58" s="1"/>
  <c r="J22" i="58"/>
  <c r="L22" i="58"/>
  <c r="I22" i="58"/>
  <c r="G22" i="58"/>
  <c r="E22" i="58"/>
  <c r="J21" i="58"/>
  <c r="L21" i="58"/>
  <c r="I21" i="58"/>
  <c r="G21" i="58"/>
  <c r="E21" i="58"/>
  <c r="J20" i="58"/>
  <c r="L20" i="58"/>
  <c r="I20" i="58"/>
  <c r="E20" i="58"/>
  <c r="G20" i="58"/>
  <c r="J19" i="58"/>
  <c r="L19" i="58"/>
  <c r="I19" i="58"/>
  <c r="E19" i="58"/>
  <c r="G19" i="58"/>
  <c r="J18" i="58"/>
  <c r="L18" i="58"/>
  <c r="I18" i="58"/>
  <c r="E18" i="58"/>
  <c r="G18" i="58"/>
  <c r="J17" i="58"/>
  <c r="L17" i="58"/>
  <c r="I17" i="58"/>
  <c r="E17" i="58"/>
  <c r="G17" i="58"/>
  <c r="O19" i="59"/>
  <c r="F19" i="60"/>
  <c r="H19" i="60"/>
  <c r="O22" i="59"/>
  <c r="O27" i="59"/>
  <c r="F27" i="60"/>
  <c r="H27" i="60"/>
  <c r="J39" i="59"/>
  <c r="L39" i="59"/>
  <c r="J46" i="59"/>
  <c r="L46" i="59"/>
  <c r="O34" i="59"/>
  <c r="O35" i="59"/>
  <c r="F35" i="60"/>
  <c r="H35" i="60"/>
  <c r="J27" i="59"/>
  <c r="L27" i="59"/>
  <c r="J28" i="59"/>
  <c r="L28" i="59"/>
  <c r="J29" i="59"/>
  <c r="L29" i="59"/>
  <c r="J42" i="59"/>
  <c r="L42" i="59"/>
  <c r="J47" i="59"/>
  <c r="L47" i="59"/>
  <c r="J51" i="59"/>
  <c r="L51" i="59"/>
  <c r="J20" i="59"/>
  <c r="L20" i="59"/>
  <c r="J22" i="59"/>
  <c r="L22" i="59"/>
  <c r="J24" i="59"/>
  <c r="L24" i="59"/>
  <c r="J25" i="59"/>
  <c r="L25" i="59"/>
  <c r="J38" i="59"/>
  <c r="L38" i="59"/>
  <c r="O42" i="59"/>
  <c r="O43" i="59"/>
  <c r="O46" i="59"/>
  <c r="K46" i="60"/>
  <c r="O47" i="59"/>
  <c r="F47" i="60"/>
  <c r="H47" i="60"/>
  <c r="O48" i="59"/>
  <c r="F48" i="60"/>
  <c r="H48" i="60"/>
  <c r="O49" i="59"/>
  <c r="O50" i="59"/>
  <c r="O51" i="59"/>
  <c r="K51" i="60"/>
  <c r="O52" i="59"/>
  <c r="F52" i="60"/>
  <c r="H52" i="60"/>
  <c r="O53" i="59"/>
  <c r="O54" i="59"/>
  <c r="F54" i="60"/>
  <c r="H54" i="60" s="1"/>
  <c r="F51" i="60"/>
  <c r="H51" i="60"/>
  <c r="O33" i="59"/>
  <c r="F33" i="60"/>
  <c r="H33" i="60"/>
  <c r="J35" i="59"/>
  <c r="L35" i="59"/>
  <c r="O36" i="59"/>
  <c r="F36" i="60"/>
  <c r="H36" i="60"/>
  <c r="O18" i="59"/>
  <c r="F18" i="60"/>
  <c r="H18" i="60"/>
  <c r="O29" i="59"/>
  <c r="O38" i="59"/>
  <c r="K38" i="60"/>
  <c r="J41" i="59"/>
  <c r="L41" i="59"/>
  <c r="J50" i="59"/>
  <c r="L50" i="59"/>
  <c r="J54" i="59"/>
  <c r="L54" i="59"/>
  <c r="O20" i="59"/>
  <c r="F20" i="60"/>
  <c r="H20" i="60"/>
  <c r="O26" i="59"/>
  <c r="K26" i="60"/>
  <c r="J30" i="59"/>
  <c r="L30" i="59"/>
  <c r="J43" i="59"/>
  <c r="L43" i="59"/>
  <c r="J44" i="59"/>
  <c r="L44" i="59"/>
  <c r="J45" i="59"/>
  <c r="L45" i="59"/>
  <c r="J48" i="59"/>
  <c r="L48" i="59"/>
  <c r="J52" i="59"/>
  <c r="L52" i="59"/>
  <c r="K34" i="60"/>
  <c r="F34" i="61"/>
  <c r="H34" i="61" s="1"/>
  <c r="F34" i="60"/>
  <c r="H34" i="60"/>
  <c r="F53" i="60"/>
  <c r="H53" i="60"/>
  <c r="K53" i="60"/>
  <c r="F53" i="61"/>
  <c r="H53" i="61"/>
  <c r="K22" i="60"/>
  <c r="F22" i="61"/>
  <c r="H22" i="61" s="1"/>
  <c r="F22" i="60"/>
  <c r="H22" i="60"/>
  <c r="K33" i="60"/>
  <c r="F42" i="60"/>
  <c r="H42" i="60"/>
  <c r="K42" i="60"/>
  <c r="F42" i="61"/>
  <c r="H42" i="61" s="1"/>
  <c r="K18" i="60"/>
  <c r="F18" i="61"/>
  <c r="H18" i="61"/>
  <c r="F29" i="60"/>
  <c r="H29" i="60"/>
  <c r="K29" i="60"/>
  <c r="F29" i="61"/>
  <c r="H29" i="61" s="1"/>
  <c r="F49" i="60"/>
  <c r="H49" i="60"/>
  <c r="K49" i="60"/>
  <c r="F49" i="61"/>
  <c r="H49" i="61" s="1"/>
  <c r="M55" i="59"/>
  <c r="K43" i="60"/>
  <c r="K43" i="61" s="1"/>
  <c r="K43" i="62" s="1"/>
  <c r="F43" i="120" s="1"/>
  <c r="H43" i="120" s="1"/>
  <c r="F43" i="60"/>
  <c r="H43" i="60" s="1"/>
  <c r="F46" i="60"/>
  <c r="H46" i="60"/>
  <c r="J17" i="59"/>
  <c r="O17" i="59"/>
  <c r="J18" i="59"/>
  <c r="L18" i="59"/>
  <c r="O24" i="59"/>
  <c r="F24" i="60"/>
  <c r="H24" i="60"/>
  <c r="J33" i="59"/>
  <c r="L33" i="59"/>
  <c r="J34" i="59"/>
  <c r="L34" i="59"/>
  <c r="O40" i="59"/>
  <c r="F40" i="60"/>
  <c r="H40" i="60"/>
  <c r="O44" i="59"/>
  <c r="F44" i="60"/>
  <c r="H44" i="60"/>
  <c r="J53" i="59"/>
  <c r="L53" i="59"/>
  <c r="H55" i="59"/>
  <c r="I55" i="60"/>
  <c r="K24" i="60"/>
  <c r="K31" i="60"/>
  <c r="K48" i="60"/>
  <c r="K29" i="61"/>
  <c r="K29" i="62" s="1"/>
  <c r="F29" i="120" s="1"/>
  <c r="H29" i="120" s="1"/>
  <c r="F29" i="62"/>
  <c r="H29" i="62" s="1"/>
  <c r="I55" i="59"/>
  <c r="J21" i="59"/>
  <c r="L21" i="59"/>
  <c r="O21" i="59"/>
  <c r="O28" i="59"/>
  <c r="F28" i="60"/>
  <c r="H28" i="60"/>
  <c r="O30" i="59"/>
  <c r="J37" i="59"/>
  <c r="L37" i="59"/>
  <c r="O37" i="59"/>
  <c r="O45" i="59"/>
  <c r="J49" i="59"/>
  <c r="L49" i="59"/>
  <c r="K54" i="60"/>
  <c r="K54" i="61" s="1"/>
  <c r="K54" i="62" s="1"/>
  <c r="F54" i="120" s="1"/>
  <c r="H54" i="120" s="1"/>
  <c r="K27" i="60"/>
  <c r="K36" i="60"/>
  <c r="K52" i="60"/>
  <c r="O25" i="59"/>
  <c r="O32" i="59"/>
  <c r="F32" i="60"/>
  <c r="H32" i="60"/>
  <c r="O41" i="59"/>
  <c r="K50" i="60"/>
  <c r="F50" i="61"/>
  <c r="H50" i="61" s="1"/>
  <c r="F50" i="60"/>
  <c r="H50" i="60"/>
  <c r="K39" i="60"/>
  <c r="K19" i="60"/>
  <c r="K35" i="60"/>
  <c r="K47" i="60"/>
  <c r="I55" i="61"/>
  <c r="K34" i="61"/>
  <c r="K34" i="62" s="1"/>
  <c r="F34" i="120" s="1"/>
  <c r="H34" i="120" s="1"/>
  <c r="F34" i="62"/>
  <c r="H34" i="62" s="1"/>
  <c r="F26" i="60"/>
  <c r="H26" i="60"/>
  <c r="K22" i="61"/>
  <c r="K22" i="62" s="1"/>
  <c r="F22" i="120" s="1"/>
  <c r="H22" i="120" s="1"/>
  <c r="F51" i="61"/>
  <c r="H51" i="61" s="1"/>
  <c r="F46" i="61"/>
  <c r="H46" i="61" s="1"/>
  <c r="K50" i="61"/>
  <c r="K50" i="62" s="1"/>
  <c r="F50" i="120" s="1"/>
  <c r="H50" i="120" s="1"/>
  <c r="F50" i="62"/>
  <c r="H50" i="62" s="1"/>
  <c r="F38" i="61"/>
  <c r="H38" i="61"/>
  <c r="K38" i="61"/>
  <c r="K38" i="62" s="1"/>
  <c r="F38" i="120" s="1"/>
  <c r="H38" i="120" s="1"/>
  <c r="F26" i="61"/>
  <c r="H26" i="61" s="1"/>
  <c r="K26" i="61"/>
  <c r="K26" i="62" s="1"/>
  <c r="F26" i="120" s="1"/>
  <c r="H26" i="120" s="1"/>
  <c r="K20" i="60"/>
  <c r="K20" i="61"/>
  <c r="K20" i="62" s="1"/>
  <c r="F20" i="120" s="1"/>
  <c r="H20" i="120" s="1"/>
  <c r="K40" i="60"/>
  <c r="K40" i="61"/>
  <c r="K40" i="62" s="1"/>
  <c r="F40" i="120" s="1"/>
  <c r="H40" i="120" s="1"/>
  <c r="F38" i="60"/>
  <c r="H38" i="60"/>
  <c r="K42" i="61"/>
  <c r="K42" i="62" s="1"/>
  <c r="F42" i="120" s="1"/>
  <c r="H42" i="120" s="1"/>
  <c r="F42" i="62"/>
  <c r="H42" i="62" s="1"/>
  <c r="K53" i="61"/>
  <c r="K53" i="62" s="1"/>
  <c r="F53" i="120" s="1"/>
  <c r="H53" i="120" s="1"/>
  <c r="F53" i="62"/>
  <c r="H53" i="62" s="1"/>
  <c r="F19" i="61"/>
  <c r="H19" i="61"/>
  <c r="K19" i="61"/>
  <c r="K19" i="62" s="1"/>
  <c r="F19" i="120" s="1"/>
  <c r="H19" i="120" s="1"/>
  <c r="F39" i="61"/>
  <c r="H39" i="61"/>
  <c r="F52" i="61"/>
  <c r="H52" i="61" s="1"/>
  <c r="F45" i="60"/>
  <c r="H45" i="60"/>
  <c r="K45" i="60"/>
  <c r="K44" i="60"/>
  <c r="K28" i="60"/>
  <c r="F43" i="61"/>
  <c r="H43" i="61" s="1"/>
  <c r="K32" i="60"/>
  <c r="F41" i="60"/>
  <c r="H41" i="60"/>
  <c r="K41" i="60"/>
  <c r="K36" i="61"/>
  <c r="K36" i="62" s="1"/>
  <c r="F36" i="120" s="1"/>
  <c r="H36" i="120" s="1"/>
  <c r="F36" i="61"/>
  <c r="H36" i="61" s="1"/>
  <c r="F37" i="60"/>
  <c r="H37" i="60"/>
  <c r="K37" i="60"/>
  <c r="F21" i="60"/>
  <c r="H21" i="60"/>
  <c r="K21" i="60"/>
  <c r="F40" i="61"/>
  <c r="H40" i="61" s="1"/>
  <c r="F17" i="60"/>
  <c r="K17" i="60"/>
  <c r="F47" i="61"/>
  <c r="H47" i="61" s="1"/>
  <c r="K47" i="61"/>
  <c r="K47" i="62" s="1"/>
  <c r="F47" i="120" s="1"/>
  <c r="H47" i="120" s="1"/>
  <c r="F47" i="62"/>
  <c r="H47" i="62"/>
  <c r="F27" i="61"/>
  <c r="H27" i="61" s="1"/>
  <c r="F31" i="61"/>
  <c r="H31" i="61"/>
  <c r="K31" i="61"/>
  <c r="K31" i="62" s="1"/>
  <c r="F31" i="120" s="1"/>
  <c r="H31" i="120" s="1"/>
  <c r="L17" i="59"/>
  <c r="F33" i="61"/>
  <c r="H33" i="61"/>
  <c r="F35" i="61"/>
  <c r="H35" i="61" s="1"/>
  <c r="K35" i="61"/>
  <c r="K35" i="62" s="1"/>
  <c r="F35" i="120" s="1"/>
  <c r="H35" i="120" s="1"/>
  <c r="F25" i="60"/>
  <c r="H25" i="60"/>
  <c r="K25" i="60"/>
  <c r="K30" i="60"/>
  <c r="F30" i="60"/>
  <c r="H30" i="60"/>
  <c r="F48" i="61"/>
  <c r="H48" i="61"/>
  <c r="K24" i="61"/>
  <c r="K24" i="62" s="1"/>
  <c r="F24" i="120" s="1"/>
  <c r="H24" i="120" s="1"/>
  <c r="F24" i="62"/>
  <c r="H24" i="62" s="1"/>
  <c r="F24" i="61"/>
  <c r="H24" i="61" s="1"/>
  <c r="F20" i="61"/>
  <c r="H20" i="61" s="1"/>
  <c r="H17" i="60"/>
  <c r="F44" i="61"/>
  <c r="H44" i="61" s="1"/>
  <c r="K44" i="61"/>
  <c r="K44" i="62" s="1"/>
  <c r="F44" i="120" s="1"/>
  <c r="H44" i="120" s="1"/>
  <c r="F44" i="62"/>
  <c r="H44" i="62" s="1"/>
  <c r="F37" i="61"/>
  <c r="H37" i="61"/>
  <c r="K37" i="61"/>
  <c r="K37" i="62" s="1"/>
  <c r="F37" i="120" s="1"/>
  <c r="H37" i="120" s="1"/>
  <c r="F41" i="61"/>
  <c r="H41" i="61" s="1"/>
  <c r="K41" i="61"/>
  <c r="K41" i="62" s="1"/>
  <c r="F41" i="120" s="1"/>
  <c r="H41" i="120" s="1"/>
  <c r="F45" i="61"/>
  <c r="H45" i="61" s="1"/>
  <c r="K45" i="61"/>
  <c r="K45" i="62" s="1"/>
  <c r="F45" i="120" s="1"/>
  <c r="H45" i="120" s="1"/>
  <c r="F25" i="61"/>
  <c r="H25" i="61" s="1"/>
  <c r="K25" i="61"/>
  <c r="K25" i="62" s="1"/>
  <c r="F25" i="120" s="1"/>
  <c r="H25" i="120" s="1"/>
  <c r="F30" i="61"/>
  <c r="H30" i="61" s="1"/>
  <c r="K30" i="61"/>
  <c r="K30" i="62" s="1"/>
  <c r="F30" i="120" s="1"/>
  <c r="H30" i="120" s="1"/>
  <c r="F17" i="61"/>
  <c r="F17" i="62"/>
  <c r="H17" i="62" s="1"/>
  <c r="F21" i="61"/>
  <c r="H21" i="61" s="1"/>
  <c r="K21" i="61"/>
  <c r="K21" i="62" s="1"/>
  <c r="F21" i="120" s="1"/>
  <c r="H21" i="120" s="1"/>
  <c r="F32" i="61"/>
  <c r="H32" i="61"/>
  <c r="F28" i="61"/>
  <c r="H28" i="61" s="1"/>
  <c r="K28" i="61"/>
  <c r="K28" i="62" s="1"/>
  <c r="F28" i="120" s="1"/>
  <c r="H28" i="120" s="1"/>
  <c r="F28" i="62"/>
  <c r="H28" i="62" s="1"/>
  <c r="G13" i="105"/>
  <c r="F13" i="105"/>
  <c r="I13" i="105" s="1"/>
  <c r="E13" i="105"/>
  <c r="H12" i="20"/>
  <c r="G12" i="5"/>
  <c r="F12" i="5"/>
  <c r="G12" i="20"/>
  <c r="F12" i="20"/>
  <c r="E12" i="5"/>
  <c r="I13" i="14"/>
  <c r="E13" i="15"/>
  <c r="F13" i="15"/>
  <c r="D13" i="15"/>
  <c r="D88" i="33"/>
  <c r="D89" i="33"/>
  <c r="D90" i="33"/>
  <c r="E29" i="50"/>
  <c r="K29" i="50"/>
  <c r="I28" i="50"/>
  <c r="O28" i="50"/>
  <c r="I27" i="50"/>
  <c r="O27" i="50" s="1"/>
  <c r="E24" i="50"/>
  <c r="K24" i="50" s="1"/>
  <c r="I23" i="50"/>
  <c r="O23" i="50"/>
  <c r="I22" i="50"/>
  <c r="I24" i="50" s="1"/>
  <c r="O22" i="50"/>
  <c r="I27" i="14"/>
  <c r="I28" i="14"/>
  <c r="I57" i="14"/>
  <c r="I49" i="14"/>
  <c r="I60" i="14" s="1"/>
  <c r="H49" i="14"/>
  <c r="H60" i="14" s="1"/>
  <c r="B60" i="34"/>
  <c r="E54" i="34" s="1"/>
  <c r="G47" i="34"/>
  <c r="G46" i="34"/>
  <c r="G45" i="34"/>
  <c r="G44" i="34"/>
  <c r="G43" i="34"/>
  <c r="G49" i="34" s="1"/>
  <c r="F38" i="34"/>
  <c r="D47" i="34" s="1"/>
  <c r="E47" i="34"/>
  <c r="F37" i="34"/>
  <c r="E46" i="34"/>
  <c r="F36" i="34"/>
  <c r="E45" i="34"/>
  <c r="F35" i="34"/>
  <c r="E44" i="34"/>
  <c r="F34" i="34"/>
  <c r="D43" i="34" s="1"/>
  <c r="E43" i="34"/>
  <c r="A32" i="34"/>
  <c r="A41" i="34"/>
  <c r="F29" i="34"/>
  <c r="F28" i="34"/>
  <c r="F27" i="34"/>
  <c r="F26" i="34"/>
  <c r="F25" i="34"/>
  <c r="F24" i="34"/>
  <c r="F23" i="34"/>
  <c r="F113" i="33"/>
  <c r="F112" i="33"/>
  <c r="F111" i="33"/>
  <c r="F110" i="33"/>
  <c r="F109" i="33"/>
  <c r="F108" i="33"/>
  <c r="F107" i="33"/>
  <c r="F106" i="33"/>
  <c r="F105" i="33"/>
  <c r="F104" i="33"/>
  <c r="E90" i="33"/>
  <c r="C114" i="33"/>
  <c r="E89" i="33"/>
  <c r="C113" i="33" s="1"/>
  <c r="E88" i="33"/>
  <c r="C112" i="33" s="1"/>
  <c r="A59" i="33"/>
  <c r="A58" i="33"/>
  <c r="A90" i="33"/>
  <c r="A114" i="33"/>
  <c r="A56" i="33"/>
  <c r="A88" i="33"/>
  <c r="A112" i="33"/>
  <c r="A55" i="33"/>
  <c r="A87" i="33"/>
  <c r="A111" i="33"/>
  <c r="A54" i="33"/>
  <c r="A86" i="33"/>
  <c r="A110" i="33"/>
  <c r="A53" i="33"/>
  <c r="A85" i="33"/>
  <c r="A109" i="33"/>
  <c r="A52" i="33"/>
  <c r="A84" i="33"/>
  <c r="A108" i="33" s="1"/>
  <c r="A51" i="33"/>
  <c r="A83" i="33"/>
  <c r="A107" i="33"/>
  <c r="A50" i="33"/>
  <c r="A82" i="33" s="1"/>
  <c r="A106" i="33" s="1"/>
  <c r="A49" i="33"/>
  <c r="A81" i="33"/>
  <c r="A105" i="33"/>
  <c r="A48" i="33"/>
  <c r="A80" i="33"/>
  <c r="A104" i="33"/>
  <c r="B28" i="33"/>
  <c r="C27" i="33" s="1"/>
  <c r="D44" i="34"/>
  <c r="D45" i="34"/>
  <c r="D46" i="34"/>
  <c r="H48" i="6"/>
  <c r="J46" i="6"/>
  <c r="J45" i="6"/>
  <c r="J44" i="6"/>
  <c r="J43" i="6"/>
  <c r="J42" i="6"/>
  <c r="C14" i="21"/>
  <c r="D14" i="21"/>
  <c r="E14" i="21"/>
  <c r="F14" i="21"/>
  <c r="G14" i="21"/>
  <c r="G18" i="20"/>
  <c r="F19" i="23"/>
  <c r="H19" i="23"/>
  <c r="E27" i="14"/>
  <c r="F27" i="14"/>
  <c r="H27" i="14"/>
  <c r="J27" i="14"/>
  <c r="D27" i="14"/>
  <c r="H28" i="14"/>
  <c r="F23" i="23"/>
  <c r="H23" i="23"/>
  <c r="F18" i="23"/>
  <c r="H18" i="23"/>
  <c r="F17" i="23"/>
  <c r="H17" i="23"/>
  <c r="F16" i="23"/>
  <c r="H16" i="23"/>
  <c r="F15" i="23"/>
  <c r="H15" i="23"/>
  <c r="F14" i="23"/>
  <c r="H14" i="23"/>
  <c r="C19" i="20"/>
  <c r="I18" i="20"/>
  <c r="F18" i="20"/>
  <c r="D18" i="20"/>
  <c r="C18" i="20"/>
  <c r="C16" i="20"/>
  <c r="H21" i="21"/>
  <c r="H20" i="21"/>
  <c r="H18" i="21"/>
  <c r="H17" i="21"/>
  <c r="H16" i="21"/>
  <c r="G27" i="21"/>
  <c r="F27" i="21"/>
  <c r="E27" i="21"/>
  <c r="D27" i="21"/>
  <c r="I26" i="12"/>
  <c r="K25" i="12"/>
  <c r="K24" i="12"/>
  <c r="K23" i="12"/>
  <c r="K22" i="12"/>
  <c r="K21" i="12"/>
  <c r="K20" i="12"/>
  <c r="K19" i="12"/>
  <c r="K18" i="12"/>
  <c r="K17" i="12"/>
  <c r="K16" i="12"/>
  <c r="K15" i="12"/>
  <c r="I25" i="12"/>
  <c r="I24" i="12"/>
  <c r="I23" i="12"/>
  <c r="I22" i="12"/>
  <c r="I21" i="12"/>
  <c r="I20" i="12"/>
  <c r="I19" i="12"/>
  <c r="I18" i="12"/>
  <c r="I17" i="12"/>
  <c r="I16" i="12"/>
  <c r="I15" i="12"/>
  <c r="K26" i="12"/>
  <c r="D27" i="12"/>
  <c r="D26" i="12"/>
  <c r="B56" i="15"/>
  <c r="D15" i="20" s="1"/>
  <c r="D19" i="20" s="1"/>
  <c r="J57" i="14"/>
  <c r="H57" i="14"/>
  <c r="F57" i="14"/>
  <c r="E57" i="14"/>
  <c r="D57" i="14"/>
  <c r="E15" i="30"/>
  <c r="E16" i="30"/>
  <c r="E18" i="30"/>
  <c r="E19" i="30"/>
  <c r="E20" i="30"/>
  <c r="E21" i="30"/>
  <c r="E22" i="30"/>
  <c r="N24" i="30"/>
  <c r="E28" i="14"/>
  <c r="D28" i="14"/>
  <c r="J28" i="14"/>
  <c r="F28" i="14"/>
  <c r="J31" i="14" l="1"/>
  <c r="I71" i="14"/>
  <c r="I81" i="14"/>
  <c r="I92" i="14" s="1"/>
  <c r="I105" i="14" s="1"/>
  <c r="I121" i="14" s="1"/>
  <c r="I132" i="14" s="1"/>
  <c r="I143" i="14" s="1"/>
  <c r="J73" i="14"/>
  <c r="J83" i="14"/>
  <c r="J94" i="14" s="1"/>
  <c r="J107" i="14" s="1"/>
  <c r="J123" i="14" s="1"/>
  <c r="J134" i="14" s="1"/>
  <c r="J145" i="14" s="1"/>
  <c r="E73" i="14"/>
  <c r="E83" i="14"/>
  <c r="E94" i="14" s="1"/>
  <c r="E107" i="14" s="1"/>
  <c r="E123" i="14" s="1"/>
  <c r="E134" i="14" s="1"/>
  <c r="E145" i="14" s="1"/>
  <c r="I73" i="14"/>
  <c r="I83" i="14"/>
  <c r="I94" i="14" s="1"/>
  <c r="I107" i="14" s="1"/>
  <c r="I123" i="14" s="1"/>
  <c r="I134" i="14" s="1"/>
  <c r="I145" i="14" s="1"/>
  <c r="J71" i="14"/>
  <c r="J81" i="14"/>
  <c r="J92" i="14" s="1"/>
  <c r="J105" i="14" s="1"/>
  <c r="J121" i="14" s="1"/>
  <c r="J132" i="14" s="1"/>
  <c r="J143" i="14" s="1"/>
  <c r="H83" i="14"/>
  <c r="H94" i="14" s="1"/>
  <c r="H107" i="14" s="1"/>
  <c r="H123" i="14" s="1"/>
  <c r="H134" i="14" s="1"/>
  <c r="H145" i="14" s="1"/>
  <c r="H73" i="14"/>
  <c r="H31" i="14"/>
  <c r="H71" i="14"/>
  <c r="H81" i="14"/>
  <c r="H92" i="14" s="1"/>
  <c r="H105" i="14" s="1"/>
  <c r="H121" i="14" s="1"/>
  <c r="H132" i="14" s="1"/>
  <c r="H143" i="14" s="1"/>
  <c r="D73" i="14"/>
  <c r="D83" i="14"/>
  <c r="D94" i="14" s="1"/>
  <c r="D107" i="14" s="1"/>
  <c r="D123" i="14" s="1"/>
  <c r="D134" i="14" s="1"/>
  <c r="D145" i="14" s="1"/>
  <c r="F83" i="14"/>
  <c r="F94" i="14" s="1"/>
  <c r="F107" i="14" s="1"/>
  <c r="F123" i="14" s="1"/>
  <c r="F134" i="14" s="1"/>
  <c r="F145" i="14" s="1"/>
  <c r="F73" i="14"/>
  <c r="C20" i="33"/>
  <c r="C24" i="33"/>
  <c r="C18" i="33"/>
  <c r="C23" i="33"/>
  <c r="C25" i="33"/>
  <c r="C19" i="33"/>
  <c r="C21" i="33"/>
  <c r="C26" i="33"/>
  <c r="C17" i="33"/>
  <c r="C22" i="33"/>
  <c r="I31" i="14"/>
  <c r="D16" i="20"/>
  <c r="K31" i="50"/>
  <c r="O24" i="50"/>
  <c r="O29" i="50"/>
  <c r="O31" i="50" s="1"/>
  <c r="I29" i="50"/>
  <c r="J82" i="14"/>
  <c r="J93" i="14" s="1"/>
  <c r="J106" i="14" s="1"/>
  <c r="J122" i="14" s="1"/>
  <c r="J133" i="14" s="1"/>
  <c r="J144" i="14" s="1"/>
  <c r="J72" i="14"/>
  <c r="I27" i="12"/>
  <c r="D28" i="12"/>
  <c r="J28" i="12"/>
  <c r="K28" i="12" s="1"/>
  <c r="K27" i="12"/>
  <c r="I28" i="12"/>
  <c r="F28" i="12"/>
  <c r="C15" i="15"/>
  <c r="D31" i="14"/>
  <c r="E31" i="14"/>
  <c r="F31" i="14"/>
  <c r="I50" i="14"/>
  <c r="I61" i="14" s="1"/>
  <c r="E40" i="71"/>
  <c r="F40" i="71"/>
  <c r="C40" i="71"/>
  <c r="O23" i="88"/>
  <c r="F23" i="89" s="1"/>
  <c r="H23" i="89" s="1"/>
  <c r="O40" i="88"/>
  <c r="F40" i="89" s="1"/>
  <c r="H40" i="89" s="1"/>
  <c r="O46" i="88"/>
  <c r="J55" i="88"/>
  <c r="L55" i="88" s="1"/>
  <c r="J21" i="88"/>
  <c r="L21" i="88" s="1"/>
  <c r="J34" i="88"/>
  <c r="L34" i="88" s="1"/>
  <c r="O38" i="88"/>
  <c r="K38" i="89" s="1"/>
  <c r="K38" i="90" s="1"/>
  <c r="F38" i="121" s="1"/>
  <c r="H38" i="121" s="1"/>
  <c r="J40" i="88"/>
  <c r="L40" i="88" s="1"/>
  <c r="J41" i="88"/>
  <c r="L41" i="88" s="1"/>
  <c r="J46" i="88"/>
  <c r="L46" i="88" s="1"/>
  <c r="J47" i="88"/>
  <c r="L47" i="88" s="1"/>
  <c r="J25" i="88"/>
  <c r="L25" i="88" s="1"/>
  <c r="J26" i="88"/>
  <c r="L26" i="88" s="1"/>
  <c r="J31" i="88"/>
  <c r="L31" i="88" s="1"/>
  <c r="J23" i="88"/>
  <c r="L23" i="88" s="1"/>
  <c r="O49" i="88"/>
  <c r="F49" i="89" s="1"/>
  <c r="H49" i="89" s="1"/>
  <c r="J51" i="88"/>
  <c r="L51" i="88" s="1"/>
  <c r="J52" i="88"/>
  <c r="L52" i="88" s="1"/>
  <c r="O24" i="88"/>
  <c r="F24" i="89" s="1"/>
  <c r="H24" i="89" s="1"/>
  <c r="O27" i="88"/>
  <c r="F27" i="89" s="1"/>
  <c r="H27" i="89" s="1"/>
  <c r="O28" i="88"/>
  <c r="K28" i="89" s="1"/>
  <c r="K28" i="90" s="1"/>
  <c r="F28" i="121" s="1"/>
  <c r="H28" i="121" s="1"/>
  <c r="O29" i="88"/>
  <c r="F29" i="89" s="1"/>
  <c r="H29" i="89" s="1"/>
  <c r="O30" i="88"/>
  <c r="K30" i="89" s="1"/>
  <c r="J32" i="88"/>
  <c r="L32" i="88" s="1"/>
  <c r="J49" i="88"/>
  <c r="L49" i="88" s="1"/>
  <c r="O54" i="88"/>
  <c r="K54" i="89" s="1"/>
  <c r="K54" i="90" s="1"/>
  <c r="F54" i="121" s="1"/>
  <c r="H54" i="121" s="1"/>
  <c r="I57" i="89"/>
  <c r="K40" i="89"/>
  <c r="K40" i="90" s="1"/>
  <c r="F40" i="121" s="1"/>
  <c r="H40" i="121" s="1"/>
  <c r="J36" i="87"/>
  <c r="K47" i="89"/>
  <c r="K47" i="90" s="1"/>
  <c r="F47" i="121" s="1"/>
  <c r="H47" i="121" s="1"/>
  <c r="J42" i="88"/>
  <c r="L42" i="88" s="1"/>
  <c r="J53" i="88"/>
  <c r="L53" i="88" s="1"/>
  <c r="J45" i="88"/>
  <c r="L45" i="88" s="1"/>
  <c r="J44" i="88"/>
  <c r="L44" i="88" s="1"/>
  <c r="O44" i="88"/>
  <c r="F44" i="89" s="1"/>
  <c r="H44" i="89" s="1"/>
  <c r="J39" i="88"/>
  <c r="L39" i="88" s="1"/>
  <c r="O37" i="88"/>
  <c r="F37" i="89" s="1"/>
  <c r="H37" i="89" s="1"/>
  <c r="J37" i="88"/>
  <c r="L37" i="88" s="1"/>
  <c r="J36" i="88"/>
  <c r="L36" i="88" s="1"/>
  <c r="O36" i="88"/>
  <c r="J33" i="88"/>
  <c r="L33" i="88" s="1"/>
  <c r="O32" i="88"/>
  <c r="K32" i="89" s="1"/>
  <c r="K32" i="90" s="1"/>
  <c r="F32" i="121" s="1"/>
  <c r="H32" i="121" s="1"/>
  <c r="J28" i="88"/>
  <c r="L28" i="88" s="1"/>
  <c r="J27" i="88"/>
  <c r="L27" i="88" s="1"/>
  <c r="K53" i="89"/>
  <c r="K53" i="90" s="1"/>
  <c r="F53" i="121" s="1"/>
  <c r="H53" i="121" s="1"/>
  <c r="F53" i="89"/>
  <c r="H53" i="89" s="1"/>
  <c r="M57" i="88"/>
  <c r="J24" i="88"/>
  <c r="L24" i="88" s="1"/>
  <c r="F46" i="89"/>
  <c r="H46" i="89" s="1"/>
  <c r="K46" i="89"/>
  <c r="K46" i="90" s="1"/>
  <c r="F46" i="121" s="1"/>
  <c r="H46" i="121" s="1"/>
  <c r="K50" i="89"/>
  <c r="F50" i="90" s="1"/>
  <c r="H50" i="90" s="1"/>
  <c r="F50" i="89"/>
  <c r="H50" i="89" s="1"/>
  <c r="F51" i="89"/>
  <c r="H51" i="89" s="1"/>
  <c r="K51" i="89"/>
  <c r="K51" i="90" s="1"/>
  <c r="F51" i="121" s="1"/>
  <c r="H51" i="121" s="1"/>
  <c r="F55" i="89"/>
  <c r="H55" i="89" s="1"/>
  <c r="K55" i="89"/>
  <c r="K55" i="90" s="1"/>
  <c r="F55" i="121" s="1"/>
  <c r="H55" i="121" s="1"/>
  <c r="K52" i="89"/>
  <c r="K52" i="90" s="1"/>
  <c r="F52" i="121" s="1"/>
  <c r="H52" i="121" s="1"/>
  <c r="I57" i="88"/>
  <c r="O19" i="88"/>
  <c r="K19" i="89" s="1"/>
  <c r="K19" i="90" s="1"/>
  <c r="F19" i="121" s="1"/>
  <c r="H19" i="121" s="1"/>
  <c r="O20" i="88"/>
  <c r="F20" i="89" s="1"/>
  <c r="H20" i="89" s="1"/>
  <c r="O22" i="88"/>
  <c r="F22" i="89" s="1"/>
  <c r="H22" i="89" s="1"/>
  <c r="O34" i="88"/>
  <c r="F34" i="89" s="1"/>
  <c r="H34" i="89" s="1"/>
  <c r="O48" i="88"/>
  <c r="F48" i="89" s="1"/>
  <c r="H48" i="89" s="1"/>
  <c r="J56" i="88"/>
  <c r="L56" i="88" s="1"/>
  <c r="J18" i="88"/>
  <c r="L18" i="88" s="1"/>
  <c r="O39" i="88"/>
  <c r="K39" i="89" s="1"/>
  <c r="K39" i="90" s="1"/>
  <c r="F39" i="121" s="1"/>
  <c r="H39" i="121" s="1"/>
  <c r="O42" i="88"/>
  <c r="K42" i="89" s="1"/>
  <c r="O45" i="88"/>
  <c r="F45" i="89" s="1"/>
  <c r="H45" i="89" s="1"/>
  <c r="F53" i="90"/>
  <c r="H53" i="90" s="1"/>
  <c r="F28" i="89"/>
  <c r="H28" i="89" s="1"/>
  <c r="F30" i="89"/>
  <c r="H30" i="89" s="1"/>
  <c r="F54" i="89"/>
  <c r="H54" i="89" s="1"/>
  <c r="K24" i="89"/>
  <c r="K24" i="90" s="1"/>
  <c r="F24" i="121" s="1"/>
  <c r="H24" i="121" s="1"/>
  <c r="O26" i="88"/>
  <c r="J29" i="88"/>
  <c r="L29" i="88" s="1"/>
  <c r="J22" i="88"/>
  <c r="L22" i="88" s="1"/>
  <c r="J20" i="88"/>
  <c r="L20" i="88" s="1"/>
  <c r="J19" i="88"/>
  <c r="L19" i="88" s="1"/>
  <c r="O21" i="88"/>
  <c r="O25" i="88"/>
  <c r="J38" i="88"/>
  <c r="L38" i="88" s="1"/>
  <c r="O41" i="88"/>
  <c r="K23" i="89"/>
  <c r="H57" i="88"/>
  <c r="J30" i="88"/>
  <c r="L30" i="88" s="1"/>
  <c r="O56" i="88"/>
  <c r="G55" i="87"/>
  <c r="J55" i="87" s="1"/>
  <c r="L55" i="87" s="1"/>
  <c r="E56" i="87"/>
  <c r="M56" i="100"/>
  <c r="I144" i="100"/>
  <c r="L144" i="100" s="1"/>
  <c r="I268" i="100" s="1"/>
  <c r="L268" i="100" s="1"/>
  <c r="I392" i="100" s="1"/>
  <c r="L392" i="100" s="1"/>
  <c r="I206" i="100"/>
  <c r="L206" i="100" s="1"/>
  <c r="I330" i="100" s="1"/>
  <c r="L330" i="100" s="1"/>
  <c r="I454" i="100" s="1"/>
  <c r="L454" i="100" s="1"/>
  <c r="I516" i="100" s="1"/>
  <c r="L516" i="100" s="1"/>
  <c r="M516" i="100" s="1"/>
  <c r="I146" i="100"/>
  <c r="L146" i="100" s="1"/>
  <c r="I270" i="100" s="1"/>
  <c r="L270" i="100" s="1"/>
  <c r="I394" i="100" s="1"/>
  <c r="L394" i="100" s="1"/>
  <c r="I208" i="100"/>
  <c r="L208" i="100" s="1"/>
  <c r="I148" i="100"/>
  <c r="L148" i="100" s="1"/>
  <c r="I272" i="100" s="1"/>
  <c r="L272" i="100" s="1"/>
  <c r="I396" i="100" s="1"/>
  <c r="L396" i="100" s="1"/>
  <c r="I210" i="100"/>
  <c r="L210" i="100" s="1"/>
  <c r="I150" i="100"/>
  <c r="L150" i="100" s="1"/>
  <c r="I274" i="100" s="1"/>
  <c r="L274" i="100" s="1"/>
  <c r="I398" i="100" s="1"/>
  <c r="L398" i="100" s="1"/>
  <c r="I212" i="100"/>
  <c r="L212" i="100" s="1"/>
  <c r="I152" i="100"/>
  <c r="L152" i="100" s="1"/>
  <c r="I276" i="100" s="1"/>
  <c r="L276" i="100" s="1"/>
  <c r="I400" i="100" s="1"/>
  <c r="L400" i="100" s="1"/>
  <c r="I214" i="100"/>
  <c r="L214" i="100" s="1"/>
  <c r="I154" i="100"/>
  <c r="L154" i="100" s="1"/>
  <c r="I278" i="100" s="1"/>
  <c r="L278" i="100" s="1"/>
  <c r="I402" i="100" s="1"/>
  <c r="L402" i="100" s="1"/>
  <c r="I216" i="100"/>
  <c r="L216" i="100" s="1"/>
  <c r="I340" i="100" s="1"/>
  <c r="L340" i="100" s="1"/>
  <c r="I464" i="100" s="1"/>
  <c r="L464" i="100" s="1"/>
  <c r="I526" i="100" s="1"/>
  <c r="L526" i="100" s="1"/>
  <c r="I156" i="100"/>
  <c r="L156" i="100" s="1"/>
  <c r="I280" i="100" s="1"/>
  <c r="L280" i="100" s="1"/>
  <c r="I404" i="100" s="1"/>
  <c r="L404" i="100" s="1"/>
  <c r="I218" i="100"/>
  <c r="L218" i="100" s="1"/>
  <c r="I342" i="100" s="1"/>
  <c r="L342" i="100" s="1"/>
  <c r="I466" i="100" s="1"/>
  <c r="L466" i="100" s="1"/>
  <c r="I528" i="100" s="1"/>
  <c r="L528" i="100" s="1"/>
  <c r="I158" i="100"/>
  <c r="L158" i="100" s="1"/>
  <c r="I282" i="100" s="1"/>
  <c r="L282" i="100" s="1"/>
  <c r="I406" i="100" s="1"/>
  <c r="L406" i="100" s="1"/>
  <c r="I220" i="100"/>
  <c r="L220" i="100" s="1"/>
  <c r="I160" i="100"/>
  <c r="L160" i="100" s="1"/>
  <c r="I284" i="100" s="1"/>
  <c r="L284" i="100" s="1"/>
  <c r="I408" i="100" s="1"/>
  <c r="L408" i="100" s="1"/>
  <c r="I222" i="100"/>
  <c r="L222" i="100" s="1"/>
  <c r="I162" i="100"/>
  <c r="L162" i="100" s="1"/>
  <c r="I286" i="100" s="1"/>
  <c r="L286" i="100" s="1"/>
  <c r="I410" i="100" s="1"/>
  <c r="L410" i="100" s="1"/>
  <c r="I224" i="100"/>
  <c r="L224" i="100" s="1"/>
  <c r="I164" i="100"/>
  <c r="L164" i="100" s="1"/>
  <c r="I288" i="100" s="1"/>
  <c r="L288" i="100" s="1"/>
  <c r="I412" i="100" s="1"/>
  <c r="L412" i="100" s="1"/>
  <c r="I226" i="100"/>
  <c r="L226" i="100" s="1"/>
  <c r="I166" i="100"/>
  <c r="L166" i="100" s="1"/>
  <c r="I290" i="100" s="1"/>
  <c r="L290" i="100" s="1"/>
  <c r="I414" i="100" s="1"/>
  <c r="L414" i="100" s="1"/>
  <c r="I228" i="100"/>
  <c r="L228" i="100" s="1"/>
  <c r="I168" i="100"/>
  <c r="L168" i="100" s="1"/>
  <c r="I292" i="100" s="1"/>
  <c r="L292" i="100" s="1"/>
  <c r="I416" i="100" s="1"/>
  <c r="L416" i="100" s="1"/>
  <c r="I230" i="100"/>
  <c r="L230" i="100" s="1"/>
  <c r="I354" i="100" s="1"/>
  <c r="L354" i="100" s="1"/>
  <c r="I478" i="100" s="1"/>
  <c r="L478" i="100" s="1"/>
  <c r="I540" i="100" s="1"/>
  <c r="L540" i="100" s="1"/>
  <c r="I170" i="100"/>
  <c r="L170" i="100" s="1"/>
  <c r="I294" i="100" s="1"/>
  <c r="L294" i="100" s="1"/>
  <c r="I418" i="100" s="1"/>
  <c r="L418" i="100" s="1"/>
  <c r="I232" i="100"/>
  <c r="L232" i="100" s="1"/>
  <c r="I356" i="100" s="1"/>
  <c r="L356" i="100" s="1"/>
  <c r="I480" i="100" s="1"/>
  <c r="L480" i="100" s="1"/>
  <c r="I542" i="100" s="1"/>
  <c r="L542" i="100" s="1"/>
  <c r="I172" i="100"/>
  <c r="L172" i="100" s="1"/>
  <c r="I296" i="100" s="1"/>
  <c r="L296" i="100" s="1"/>
  <c r="I420" i="100" s="1"/>
  <c r="L420" i="100" s="1"/>
  <c r="I234" i="100"/>
  <c r="L234" i="100" s="1"/>
  <c r="I358" i="100" s="1"/>
  <c r="L358" i="100" s="1"/>
  <c r="I482" i="100" s="1"/>
  <c r="L482" i="100" s="1"/>
  <c r="I544" i="100" s="1"/>
  <c r="L544" i="100" s="1"/>
  <c r="I174" i="100"/>
  <c r="L174" i="100" s="1"/>
  <c r="I298" i="100" s="1"/>
  <c r="L298" i="100" s="1"/>
  <c r="I422" i="100" s="1"/>
  <c r="L422" i="100" s="1"/>
  <c r="I236" i="100"/>
  <c r="L236" i="100" s="1"/>
  <c r="I176" i="100"/>
  <c r="L176" i="100" s="1"/>
  <c r="I300" i="100" s="1"/>
  <c r="L300" i="100" s="1"/>
  <c r="I424" i="100" s="1"/>
  <c r="L424" i="100" s="1"/>
  <c r="I238" i="100"/>
  <c r="L238" i="100" s="1"/>
  <c r="D155" i="100"/>
  <c r="G155" i="100" s="1"/>
  <c r="D217" i="100"/>
  <c r="G217" i="100" s="1"/>
  <c r="D341" i="100" s="1"/>
  <c r="G341" i="100" s="1"/>
  <c r="D465" i="100" s="1"/>
  <c r="G465" i="100" s="1"/>
  <c r="D527" i="100" s="1"/>
  <c r="G527" i="100" s="1"/>
  <c r="D159" i="100"/>
  <c r="G159" i="100" s="1"/>
  <c r="D283" i="100" s="1"/>
  <c r="G283" i="100" s="1"/>
  <c r="D407" i="100" s="1"/>
  <c r="G407" i="100" s="1"/>
  <c r="D221" i="100"/>
  <c r="G221" i="100" s="1"/>
  <c r="D345" i="100" s="1"/>
  <c r="G345" i="100" s="1"/>
  <c r="D469" i="100" s="1"/>
  <c r="G469" i="100" s="1"/>
  <c r="D531" i="100" s="1"/>
  <c r="G531" i="100" s="1"/>
  <c r="I145" i="100"/>
  <c r="L145" i="100" s="1"/>
  <c r="I269" i="100" s="1"/>
  <c r="L269" i="100" s="1"/>
  <c r="I393" i="100" s="1"/>
  <c r="L393" i="100" s="1"/>
  <c r="I207" i="100"/>
  <c r="L207" i="100" s="1"/>
  <c r="I331" i="100" s="1"/>
  <c r="L331" i="100" s="1"/>
  <c r="I455" i="100" s="1"/>
  <c r="L455" i="100" s="1"/>
  <c r="I517" i="100" s="1"/>
  <c r="L517" i="100" s="1"/>
  <c r="I147" i="100"/>
  <c r="L147" i="100" s="1"/>
  <c r="I271" i="100" s="1"/>
  <c r="L271" i="100" s="1"/>
  <c r="I395" i="100" s="1"/>
  <c r="L395" i="100" s="1"/>
  <c r="I209" i="100"/>
  <c r="L209" i="100" s="1"/>
  <c r="I333" i="100" s="1"/>
  <c r="L333" i="100" s="1"/>
  <c r="I457" i="100" s="1"/>
  <c r="L457" i="100" s="1"/>
  <c r="I519" i="100" s="1"/>
  <c r="L519" i="100" s="1"/>
  <c r="I149" i="100"/>
  <c r="L149" i="100" s="1"/>
  <c r="I273" i="100" s="1"/>
  <c r="L273" i="100" s="1"/>
  <c r="I397" i="100" s="1"/>
  <c r="L397" i="100" s="1"/>
  <c r="I211" i="100"/>
  <c r="L211" i="100" s="1"/>
  <c r="I151" i="100"/>
  <c r="L151" i="100" s="1"/>
  <c r="I275" i="100" s="1"/>
  <c r="L275" i="100" s="1"/>
  <c r="I399" i="100" s="1"/>
  <c r="L399" i="100" s="1"/>
  <c r="I213" i="100"/>
  <c r="L213" i="100" s="1"/>
  <c r="I153" i="100"/>
  <c r="L153" i="100" s="1"/>
  <c r="I277" i="100" s="1"/>
  <c r="L277" i="100" s="1"/>
  <c r="I401" i="100" s="1"/>
  <c r="L401" i="100" s="1"/>
  <c r="I215" i="100"/>
  <c r="L215" i="100" s="1"/>
  <c r="I155" i="100"/>
  <c r="L155" i="100" s="1"/>
  <c r="I279" i="100" s="1"/>
  <c r="L279" i="100" s="1"/>
  <c r="I403" i="100" s="1"/>
  <c r="L403" i="100" s="1"/>
  <c r="I217" i="100"/>
  <c r="L217" i="100" s="1"/>
  <c r="I341" i="100" s="1"/>
  <c r="L341" i="100" s="1"/>
  <c r="I465" i="100" s="1"/>
  <c r="L465" i="100" s="1"/>
  <c r="I527" i="100" s="1"/>
  <c r="L527" i="100" s="1"/>
  <c r="I157" i="100"/>
  <c r="L157" i="100" s="1"/>
  <c r="I281" i="100" s="1"/>
  <c r="L281" i="100" s="1"/>
  <c r="I405" i="100" s="1"/>
  <c r="L405" i="100" s="1"/>
  <c r="I219" i="100"/>
  <c r="L219" i="100" s="1"/>
  <c r="I343" i="100" s="1"/>
  <c r="L343" i="100" s="1"/>
  <c r="I467" i="100" s="1"/>
  <c r="L467" i="100" s="1"/>
  <c r="I529" i="100" s="1"/>
  <c r="I159" i="100"/>
  <c r="L159" i="100" s="1"/>
  <c r="I283" i="100" s="1"/>
  <c r="L283" i="100" s="1"/>
  <c r="I407" i="100" s="1"/>
  <c r="L407" i="100" s="1"/>
  <c r="I221" i="100"/>
  <c r="L221" i="100" s="1"/>
  <c r="I345" i="100" s="1"/>
  <c r="L345" i="100" s="1"/>
  <c r="I469" i="100" s="1"/>
  <c r="L469" i="100" s="1"/>
  <c r="I531" i="100" s="1"/>
  <c r="L531" i="100" s="1"/>
  <c r="I161" i="100"/>
  <c r="L161" i="100" s="1"/>
  <c r="I285" i="100" s="1"/>
  <c r="L285" i="100" s="1"/>
  <c r="I409" i="100" s="1"/>
  <c r="L409" i="100" s="1"/>
  <c r="I223" i="100"/>
  <c r="L223" i="100" s="1"/>
  <c r="I163" i="100"/>
  <c r="L163" i="100" s="1"/>
  <c r="I287" i="100" s="1"/>
  <c r="L287" i="100" s="1"/>
  <c r="I411" i="100" s="1"/>
  <c r="L411" i="100" s="1"/>
  <c r="I225" i="100"/>
  <c r="L225" i="100" s="1"/>
  <c r="I165" i="100"/>
  <c r="L165" i="100" s="1"/>
  <c r="I289" i="100" s="1"/>
  <c r="L289" i="100" s="1"/>
  <c r="I413" i="100" s="1"/>
  <c r="L413" i="100" s="1"/>
  <c r="I227" i="100"/>
  <c r="L227" i="100" s="1"/>
  <c r="I167" i="100"/>
  <c r="L167" i="100" s="1"/>
  <c r="I291" i="100" s="1"/>
  <c r="L291" i="100" s="1"/>
  <c r="I415" i="100" s="1"/>
  <c r="L415" i="100" s="1"/>
  <c r="I229" i="100"/>
  <c r="L229" i="100" s="1"/>
  <c r="I169" i="100"/>
  <c r="L169" i="100" s="1"/>
  <c r="I293" i="100" s="1"/>
  <c r="L293" i="100" s="1"/>
  <c r="I417" i="100" s="1"/>
  <c r="L417" i="100" s="1"/>
  <c r="I231" i="100"/>
  <c r="L231" i="100" s="1"/>
  <c r="I171" i="100"/>
  <c r="L171" i="100" s="1"/>
  <c r="I295" i="100" s="1"/>
  <c r="L295" i="100" s="1"/>
  <c r="I419" i="100" s="1"/>
  <c r="L419" i="100" s="1"/>
  <c r="I233" i="100"/>
  <c r="L233" i="100" s="1"/>
  <c r="I173" i="100"/>
  <c r="L173" i="100" s="1"/>
  <c r="I297" i="100" s="1"/>
  <c r="L297" i="100" s="1"/>
  <c r="I421" i="100" s="1"/>
  <c r="L421" i="100" s="1"/>
  <c r="I235" i="100"/>
  <c r="L235" i="100" s="1"/>
  <c r="I359" i="100" s="1"/>
  <c r="L359" i="100" s="1"/>
  <c r="I483" i="100" s="1"/>
  <c r="L483" i="100" s="1"/>
  <c r="I545" i="100" s="1"/>
  <c r="L545" i="100" s="1"/>
  <c r="I175" i="100"/>
  <c r="L175" i="100" s="1"/>
  <c r="I299" i="100" s="1"/>
  <c r="L299" i="100" s="1"/>
  <c r="I423" i="100" s="1"/>
  <c r="L423" i="100" s="1"/>
  <c r="I237" i="100"/>
  <c r="L237" i="100" s="1"/>
  <c r="I177" i="100"/>
  <c r="L177" i="100" s="1"/>
  <c r="I301" i="100" s="1"/>
  <c r="L301" i="100" s="1"/>
  <c r="I239" i="100"/>
  <c r="L239" i="100" s="1"/>
  <c r="M48" i="100"/>
  <c r="M59" i="100"/>
  <c r="M84" i="100"/>
  <c r="D146" i="100"/>
  <c r="G146" i="100" s="1"/>
  <c r="D270" i="100" s="1"/>
  <c r="G270" i="100" s="1"/>
  <c r="D394" i="100" s="1"/>
  <c r="G394" i="100" s="1"/>
  <c r="M88" i="100"/>
  <c r="D150" i="100"/>
  <c r="G150" i="100" s="1"/>
  <c r="D274" i="100" s="1"/>
  <c r="G274" i="100" s="1"/>
  <c r="M96" i="100"/>
  <c r="D158" i="100"/>
  <c r="G158" i="100" s="1"/>
  <c r="D282" i="100" s="1"/>
  <c r="G282" i="100" s="1"/>
  <c r="D406" i="100" s="1"/>
  <c r="G406" i="100" s="1"/>
  <c r="M100" i="100"/>
  <c r="D162" i="100"/>
  <c r="G162" i="100" s="1"/>
  <c r="D286" i="100" s="1"/>
  <c r="G286" i="100" s="1"/>
  <c r="M104" i="100"/>
  <c r="D166" i="100"/>
  <c r="G166" i="100" s="1"/>
  <c r="D290" i="100" s="1"/>
  <c r="G290" i="100" s="1"/>
  <c r="D414" i="100" s="1"/>
  <c r="G414" i="100" s="1"/>
  <c r="M112" i="100"/>
  <c r="D174" i="100"/>
  <c r="G174" i="100" s="1"/>
  <c r="D298" i="100" s="1"/>
  <c r="G298" i="100" s="1"/>
  <c r="M87" i="100"/>
  <c r="D149" i="100"/>
  <c r="G149" i="100" s="1"/>
  <c r="D273" i="100" s="1"/>
  <c r="G273" i="100" s="1"/>
  <c r="D397" i="100" s="1"/>
  <c r="G397" i="100" s="1"/>
  <c r="M89" i="100"/>
  <c r="D151" i="100"/>
  <c r="G151" i="100" s="1"/>
  <c r="M91" i="100"/>
  <c r="D153" i="100"/>
  <c r="G153" i="100" s="1"/>
  <c r="D277" i="100" s="1"/>
  <c r="G277" i="100" s="1"/>
  <c r="D401" i="100" s="1"/>
  <c r="G401" i="100" s="1"/>
  <c r="M99" i="100"/>
  <c r="D161" i="100"/>
  <c r="G161" i="100" s="1"/>
  <c r="M101" i="100"/>
  <c r="D163" i="100"/>
  <c r="G163" i="100" s="1"/>
  <c r="M103" i="100"/>
  <c r="D165" i="100"/>
  <c r="G165" i="100" s="1"/>
  <c r="M105" i="100"/>
  <c r="D167" i="100"/>
  <c r="G167" i="100" s="1"/>
  <c r="M107" i="100"/>
  <c r="D169" i="100"/>
  <c r="G169" i="100" s="1"/>
  <c r="M109" i="100"/>
  <c r="D171" i="100"/>
  <c r="G171" i="100" s="1"/>
  <c r="M113" i="100"/>
  <c r="D175" i="100"/>
  <c r="G175" i="100" s="1"/>
  <c r="M115" i="100"/>
  <c r="D177" i="100"/>
  <c r="G177" i="100" s="1"/>
  <c r="D301" i="100" s="1"/>
  <c r="G301" i="100" s="1"/>
  <c r="M86" i="100"/>
  <c r="D148" i="100"/>
  <c r="G148" i="100" s="1"/>
  <c r="M90" i="100"/>
  <c r="D152" i="100"/>
  <c r="G152" i="100" s="1"/>
  <c r="M98" i="100"/>
  <c r="D160" i="100"/>
  <c r="G160" i="100" s="1"/>
  <c r="M102" i="100"/>
  <c r="D164" i="100"/>
  <c r="G164" i="100" s="1"/>
  <c r="M114" i="100"/>
  <c r="D176" i="100"/>
  <c r="G176" i="100" s="1"/>
  <c r="M21" i="100"/>
  <c r="D82" i="100"/>
  <c r="G82" i="100" s="1"/>
  <c r="D206" i="100" s="1"/>
  <c r="G206" i="100" s="1"/>
  <c r="D330" i="100" s="1"/>
  <c r="G330" i="100" s="1"/>
  <c r="D454" i="100" s="1"/>
  <c r="G454" i="100" s="1"/>
  <c r="D516" i="100" s="1"/>
  <c r="G516" i="100" s="1"/>
  <c r="M31" i="100"/>
  <c r="D92" i="100"/>
  <c r="G92" i="100" s="1"/>
  <c r="D216" i="100" s="1"/>
  <c r="G216" i="100" s="1"/>
  <c r="D340" i="100" s="1"/>
  <c r="G340" i="100" s="1"/>
  <c r="D464" i="100" s="1"/>
  <c r="G464" i="100" s="1"/>
  <c r="D526" i="100" s="1"/>
  <c r="G526" i="100" s="1"/>
  <c r="M526" i="100" s="1"/>
  <c r="M45" i="100"/>
  <c r="D106" i="100"/>
  <c r="G106" i="100" s="1"/>
  <c r="D230" i="100" s="1"/>
  <c r="G230" i="100" s="1"/>
  <c r="D354" i="100" s="1"/>
  <c r="G354" i="100" s="1"/>
  <c r="D478" i="100" s="1"/>
  <c r="G478" i="100" s="1"/>
  <c r="D540" i="100" s="1"/>
  <c r="G540" i="100" s="1"/>
  <c r="M49" i="100"/>
  <c r="D110" i="100"/>
  <c r="G110" i="100" s="1"/>
  <c r="D234" i="100" s="1"/>
  <c r="G234" i="100" s="1"/>
  <c r="D358" i="100" s="1"/>
  <c r="G358" i="100" s="1"/>
  <c r="M20" i="100"/>
  <c r="D81" i="100"/>
  <c r="M22" i="100"/>
  <c r="D83" i="100"/>
  <c r="G83" i="100" s="1"/>
  <c r="D207" i="100" s="1"/>
  <c r="G207" i="100" s="1"/>
  <c r="D331" i="100" s="1"/>
  <c r="G331" i="100" s="1"/>
  <c r="D455" i="100" s="1"/>
  <c r="G455" i="100" s="1"/>
  <c r="D517" i="100" s="1"/>
  <c r="G517" i="100" s="1"/>
  <c r="M517" i="100" s="1"/>
  <c r="M24" i="100"/>
  <c r="D85" i="100"/>
  <c r="G85" i="100" s="1"/>
  <c r="M93" i="100"/>
  <c r="M34" i="100"/>
  <c r="D95" i="100"/>
  <c r="G95" i="100" s="1"/>
  <c r="D219" i="100" s="1"/>
  <c r="G219" i="100" s="1"/>
  <c r="D343" i="100" s="1"/>
  <c r="G343" i="100" s="1"/>
  <c r="M50" i="100"/>
  <c r="D111" i="100"/>
  <c r="G111" i="100" s="1"/>
  <c r="D235" i="100" s="1"/>
  <c r="G235" i="100" s="1"/>
  <c r="D359" i="100" s="1"/>
  <c r="G359" i="100" s="1"/>
  <c r="D483" i="100" s="1"/>
  <c r="G483" i="100" s="1"/>
  <c r="M33" i="100"/>
  <c r="D94" i="100"/>
  <c r="G94" i="100" s="1"/>
  <c r="D218" i="100" s="1"/>
  <c r="G218" i="100" s="1"/>
  <c r="D342" i="100" s="1"/>
  <c r="G342" i="100" s="1"/>
  <c r="D466" i="100" s="1"/>
  <c r="G466" i="100" s="1"/>
  <c r="M47" i="100"/>
  <c r="D108" i="100"/>
  <c r="G108" i="100" s="1"/>
  <c r="D232" i="100" s="1"/>
  <c r="G232" i="100" s="1"/>
  <c r="D356" i="100" s="1"/>
  <c r="G356" i="100" s="1"/>
  <c r="D480" i="100" s="1"/>
  <c r="G480" i="100" s="1"/>
  <c r="L81" i="100"/>
  <c r="I205" i="100" s="1"/>
  <c r="I118" i="100"/>
  <c r="I121" i="100" s="1"/>
  <c r="M85" i="100"/>
  <c r="M97" i="100"/>
  <c r="M53" i="100"/>
  <c r="M40" i="100"/>
  <c r="M52" i="100"/>
  <c r="M51" i="100"/>
  <c r="M54" i="100"/>
  <c r="M30" i="100"/>
  <c r="M23" i="100"/>
  <c r="M44" i="100"/>
  <c r="M43" i="100"/>
  <c r="M42" i="100"/>
  <c r="M41" i="100"/>
  <c r="M38" i="100"/>
  <c r="M36" i="100"/>
  <c r="M35" i="100"/>
  <c r="M29" i="100"/>
  <c r="M28" i="100"/>
  <c r="M27" i="100"/>
  <c r="M26" i="100"/>
  <c r="M25" i="100"/>
  <c r="M17" i="100"/>
  <c r="L57" i="100"/>
  <c r="L60" i="100" s="1"/>
  <c r="M19" i="100"/>
  <c r="M37" i="100"/>
  <c r="M39" i="100"/>
  <c r="M46" i="100"/>
  <c r="M32" i="100"/>
  <c r="G57" i="100"/>
  <c r="G60" i="100" s="1"/>
  <c r="J48" i="6"/>
  <c r="I48" i="6" s="1"/>
  <c r="AW11" i="106"/>
  <c r="AW12" i="106" s="1"/>
  <c r="BB12" i="106" s="1"/>
  <c r="BC12" i="106" s="1"/>
  <c r="AW17" i="106"/>
  <c r="AW18" i="106" s="1"/>
  <c r="BB15" i="106"/>
  <c r="BC15" i="106" s="1"/>
  <c r="AZ16" i="106"/>
  <c r="BB11" i="106"/>
  <c r="BC11" i="106" s="1"/>
  <c r="AZ5" i="106"/>
  <c r="BB5" i="106" s="1"/>
  <c r="BC5" i="106" s="1"/>
  <c r="C27" i="21"/>
  <c r="H22" i="21"/>
  <c r="H19" i="21"/>
  <c r="AC20" i="54"/>
  <c r="AC24" i="54" s="1"/>
  <c r="AB20" i="54"/>
  <c r="AB24" i="54" s="1"/>
  <c r="V34" i="54"/>
  <c r="V40" i="54" s="1"/>
  <c r="Z20" i="54"/>
  <c r="Z24" i="54" s="1"/>
  <c r="Y20" i="54"/>
  <c r="Y24" i="54" s="1"/>
  <c r="W34" i="54"/>
  <c r="W40" i="54" s="1"/>
  <c r="W43" i="54" s="1"/>
  <c r="W45" i="54" s="1"/>
  <c r="AC57" i="54"/>
  <c r="AB57" i="54"/>
  <c r="L95" i="54"/>
  <c r="B46" i="34"/>
  <c r="B44" i="34"/>
  <c r="B47" i="34"/>
  <c r="B43" i="34"/>
  <c r="B45" i="34"/>
  <c r="J35" i="87"/>
  <c r="L35" i="87" s="1"/>
  <c r="J23" i="59"/>
  <c r="L23" i="59" s="1"/>
  <c r="L55" i="59" s="1"/>
  <c r="E55" i="58"/>
  <c r="G55" i="58"/>
  <c r="J55" i="58"/>
  <c r="O35" i="88"/>
  <c r="K35" i="89" s="1"/>
  <c r="J35" i="88"/>
  <c r="F54" i="61"/>
  <c r="H54" i="61" s="1"/>
  <c r="O55" i="59"/>
  <c r="K23" i="60"/>
  <c r="F23" i="61" s="1"/>
  <c r="H23" i="61" s="1"/>
  <c r="F55" i="60"/>
  <c r="H23" i="60"/>
  <c r="H55" i="60" s="1"/>
  <c r="L39" i="58"/>
  <c r="L55" i="58" s="1"/>
  <c r="K51" i="62"/>
  <c r="F51" i="120" s="1"/>
  <c r="H51" i="120" s="1"/>
  <c r="F51" i="62"/>
  <c r="H51" i="62" s="1"/>
  <c r="K46" i="62"/>
  <c r="F46" i="120" s="1"/>
  <c r="H46" i="120" s="1"/>
  <c r="F46" i="62"/>
  <c r="H46" i="62" s="1"/>
  <c r="K52" i="62"/>
  <c r="F52" i="120" s="1"/>
  <c r="H52" i="120" s="1"/>
  <c r="F52" i="62"/>
  <c r="H52" i="62" s="1"/>
  <c r="F25" i="62"/>
  <c r="H25" i="62" s="1"/>
  <c r="F45" i="62"/>
  <c r="H45" i="62" s="1"/>
  <c r="F38" i="62"/>
  <c r="H38" i="62" s="1"/>
  <c r="F32" i="62"/>
  <c r="H32" i="62" s="1"/>
  <c r="F41" i="62"/>
  <c r="H41" i="62" s="1"/>
  <c r="F35" i="62"/>
  <c r="H35" i="62" s="1"/>
  <c r="F31" i="62"/>
  <c r="H31" i="62" s="1"/>
  <c r="F43" i="62"/>
  <c r="H43" i="62" s="1"/>
  <c r="F19" i="62"/>
  <c r="H19" i="62" s="1"/>
  <c r="F18" i="120"/>
  <c r="F22" i="62"/>
  <c r="H22" i="62" s="1"/>
  <c r="F21" i="62"/>
  <c r="H21" i="62" s="1"/>
  <c r="F30" i="62"/>
  <c r="H30" i="62" s="1"/>
  <c r="F37" i="62"/>
  <c r="H37" i="62" s="1"/>
  <c r="F48" i="62"/>
  <c r="H48" i="62" s="1"/>
  <c r="F33" i="62"/>
  <c r="H33" i="62" s="1"/>
  <c r="F27" i="62"/>
  <c r="H27" i="62" s="1"/>
  <c r="F36" i="62"/>
  <c r="H36" i="62" s="1"/>
  <c r="F39" i="62"/>
  <c r="H39" i="62" s="1"/>
  <c r="F54" i="62"/>
  <c r="H54" i="62" s="1"/>
  <c r="F40" i="62"/>
  <c r="H40" i="62" s="1"/>
  <c r="F20" i="62"/>
  <c r="H20" i="62" s="1"/>
  <c r="F26" i="62"/>
  <c r="H26" i="62" s="1"/>
  <c r="F49" i="62"/>
  <c r="H49" i="62" s="1"/>
  <c r="H18" i="120"/>
  <c r="F18" i="62"/>
  <c r="H18" i="62" s="1"/>
  <c r="H17" i="61"/>
  <c r="E33" i="75"/>
  <c r="F22" i="75"/>
  <c r="F25" i="75" s="1"/>
  <c r="F33" i="75" s="1"/>
  <c r="G38" i="119"/>
  <c r="G37" i="119"/>
  <c r="D112" i="114"/>
  <c r="D113" i="114"/>
  <c r="E113" i="114"/>
  <c r="C114" i="114"/>
  <c r="E114" i="114"/>
  <c r="E112" i="114"/>
  <c r="D114" i="114"/>
  <c r="G112" i="114"/>
  <c r="F112" i="114"/>
  <c r="C113" i="114"/>
  <c r="R14" i="102"/>
  <c r="S14" i="102" s="1"/>
  <c r="T14" i="102" s="1"/>
  <c r="U14" i="102" s="1"/>
  <c r="N14" i="102"/>
  <c r="K14" i="102" s="1"/>
  <c r="H14" i="102" s="1"/>
  <c r="E14" i="102" s="1"/>
  <c r="B14" i="102" s="1"/>
  <c r="C28" i="33" l="1"/>
  <c r="L529" i="100"/>
  <c r="C56" i="15"/>
  <c r="D15" i="15" s="1"/>
  <c r="I82" i="14"/>
  <c r="I93" i="14" s="1"/>
  <c r="I106" i="14" s="1"/>
  <c r="I122" i="14" s="1"/>
  <c r="I133" i="14" s="1"/>
  <c r="I144" i="14" s="1"/>
  <c r="I72" i="14"/>
  <c r="F12" i="14"/>
  <c r="F40" i="90"/>
  <c r="H40" i="90" s="1"/>
  <c r="K22" i="89"/>
  <c r="K22" i="90" s="1"/>
  <c r="F22" i="121" s="1"/>
  <c r="H22" i="121" s="1"/>
  <c r="K29" i="89"/>
  <c r="K29" i="90" s="1"/>
  <c r="F29" i="121" s="1"/>
  <c r="H29" i="121" s="1"/>
  <c r="F38" i="89"/>
  <c r="H38" i="89" s="1"/>
  <c r="F47" i="90"/>
  <c r="H47" i="90" s="1"/>
  <c r="F33" i="89"/>
  <c r="H33" i="89" s="1"/>
  <c r="K20" i="89"/>
  <c r="K20" i="90" s="1"/>
  <c r="F20" i="121" s="1"/>
  <c r="H20" i="121" s="1"/>
  <c r="K44" i="89"/>
  <c r="K44" i="90" s="1"/>
  <c r="F44" i="121" s="1"/>
  <c r="H44" i="121" s="1"/>
  <c r="F32" i="89"/>
  <c r="H32" i="89" s="1"/>
  <c r="K33" i="89"/>
  <c r="K33" i="90" s="1"/>
  <c r="F33" i="121" s="1"/>
  <c r="K45" i="89"/>
  <c r="K45" i="90" s="1"/>
  <c r="F45" i="121" s="1"/>
  <c r="H45" i="121" s="1"/>
  <c r="K37" i="89"/>
  <c r="K37" i="90" s="1"/>
  <c r="F37" i="121" s="1"/>
  <c r="H37" i="121" s="1"/>
  <c r="K27" i="89"/>
  <c r="K49" i="89"/>
  <c r="K49" i="90" s="1"/>
  <c r="F49" i="121" s="1"/>
  <c r="H49" i="121" s="1"/>
  <c r="F42" i="89"/>
  <c r="H42" i="89" s="1"/>
  <c r="K48" i="89"/>
  <c r="K48" i="90" s="1"/>
  <c r="F48" i="121" s="1"/>
  <c r="H48" i="121" s="1"/>
  <c r="F19" i="89"/>
  <c r="H19" i="89" s="1"/>
  <c r="K36" i="89"/>
  <c r="K36" i="90" s="1"/>
  <c r="F36" i="121" s="1"/>
  <c r="H36" i="121" s="1"/>
  <c r="F36" i="89"/>
  <c r="H36" i="89" s="1"/>
  <c r="L36" i="87"/>
  <c r="L56" i="87" s="1"/>
  <c r="J56" i="87"/>
  <c r="K18" i="89"/>
  <c r="F18" i="90" s="1"/>
  <c r="F51" i="90"/>
  <c r="H51" i="90" s="1"/>
  <c r="F52" i="90"/>
  <c r="H52" i="90" s="1"/>
  <c r="F38" i="90"/>
  <c r="H38" i="90" s="1"/>
  <c r="K50" i="90"/>
  <c r="F50" i="121" s="1"/>
  <c r="H50" i="121" s="1"/>
  <c r="F32" i="90"/>
  <c r="H32" i="90" s="1"/>
  <c r="F55" i="90"/>
  <c r="H55" i="90" s="1"/>
  <c r="F46" i="90"/>
  <c r="H46" i="90" s="1"/>
  <c r="F45" i="90"/>
  <c r="H45" i="90" s="1"/>
  <c r="F39" i="89"/>
  <c r="H39" i="89" s="1"/>
  <c r="F18" i="89"/>
  <c r="F22" i="90"/>
  <c r="H22" i="90" s="1"/>
  <c r="K34" i="89"/>
  <c r="F34" i="90" s="1"/>
  <c r="H34" i="90" s="1"/>
  <c r="F39" i="90"/>
  <c r="H39" i="90" s="1"/>
  <c r="F19" i="90"/>
  <c r="H19" i="90" s="1"/>
  <c r="K23" i="90"/>
  <c r="F23" i="121" s="1"/>
  <c r="H23" i="121" s="1"/>
  <c r="F23" i="90"/>
  <c r="H23" i="90" s="1"/>
  <c r="K21" i="89"/>
  <c r="F21" i="89"/>
  <c r="H21" i="89" s="1"/>
  <c r="K42" i="90"/>
  <c r="F42" i="121" s="1"/>
  <c r="H42" i="121" s="1"/>
  <c r="F42" i="90"/>
  <c r="H42" i="90" s="1"/>
  <c r="F54" i="90"/>
  <c r="H54" i="90" s="1"/>
  <c r="F25" i="89"/>
  <c r="H25" i="89" s="1"/>
  <c r="K25" i="89"/>
  <c r="J57" i="88"/>
  <c r="K30" i="90"/>
  <c r="F30" i="121" s="1"/>
  <c r="H30" i="121" s="1"/>
  <c r="F30" i="90"/>
  <c r="H30" i="90" s="1"/>
  <c r="K34" i="90"/>
  <c r="F34" i="121" s="1"/>
  <c r="H34" i="121" s="1"/>
  <c r="O57" i="88"/>
  <c r="F28" i="90"/>
  <c r="H28" i="90" s="1"/>
  <c r="K56" i="89"/>
  <c r="F56" i="90" s="1"/>
  <c r="F56" i="89"/>
  <c r="H56" i="89" s="1"/>
  <c r="F41" i="89"/>
  <c r="H41" i="89" s="1"/>
  <c r="K41" i="89"/>
  <c r="K31" i="89"/>
  <c r="F31" i="89"/>
  <c r="H31" i="89" s="1"/>
  <c r="F24" i="90"/>
  <c r="H24" i="90" s="1"/>
  <c r="K26" i="89"/>
  <c r="F26" i="89"/>
  <c r="H26" i="89" s="1"/>
  <c r="M531" i="100"/>
  <c r="M480" i="100"/>
  <c r="D542" i="100"/>
  <c r="G542" i="100" s="1"/>
  <c r="M542" i="100" s="1"/>
  <c r="M483" i="100"/>
  <c r="D545" i="100"/>
  <c r="G545" i="100" s="1"/>
  <c r="M545" i="100" s="1"/>
  <c r="M466" i="100"/>
  <c r="D528" i="100"/>
  <c r="G528" i="100" s="1"/>
  <c r="M528" i="100" s="1"/>
  <c r="M540" i="100"/>
  <c r="M527" i="100"/>
  <c r="M478" i="100"/>
  <c r="M454" i="100"/>
  <c r="M465" i="100"/>
  <c r="G426" i="100"/>
  <c r="D425" i="100"/>
  <c r="G425" i="100" s="1"/>
  <c r="M343" i="100"/>
  <c r="D467" i="100"/>
  <c r="G467" i="100" s="1"/>
  <c r="L426" i="100"/>
  <c r="M426" i="100" s="1"/>
  <c r="I425" i="100"/>
  <c r="L425" i="100" s="1"/>
  <c r="M397" i="100"/>
  <c r="M455" i="100"/>
  <c r="M358" i="100"/>
  <c r="D482" i="100"/>
  <c r="G482" i="100" s="1"/>
  <c r="M464" i="100"/>
  <c r="M469" i="100"/>
  <c r="M298" i="100"/>
  <c r="D422" i="100"/>
  <c r="G422" i="100" s="1"/>
  <c r="M422" i="100" s="1"/>
  <c r="M286" i="100"/>
  <c r="D410" i="100"/>
  <c r="G410" i="100" s="1"/>
  <c r="M410" i="100" s="1"/>
  <c r="M274" i="100"/>
  <c r="D398" i="100"/>
  <c r="G398" i="100" s="1"/>
  <c r="M398" i="100" s="1"/>
  <c r="M407" i="100"/>
  <c r="M401" i="100"/>
  <c r="M414" i="100"/>
  <c r="M406" i="100"/>
  <c r="M394" i="100"/>
  <c r="M342" i="100"/>
  <c r="M341" i="100"/>
  <c r="M239" i="100"/>
  <c r="I363" i="100"/>
  <c r="L363" i="100" s="1"/>
  <c r="M231" i="100"/>
  <c r="I355" i="100"/>
  <c r="L355" i="100" s="1"/>
  <c r="M215" i="100"/>
  <c r="I339" i="100"/>
  <c r="L339" i="100" s="1"/>
  <c r="M236" i="100"/>
  <c r="I360" i="100"/>
  <c r="L360" i="100" s="1"/>
  <c r="M228" i="100"/>
  <c r="I352" i="100"/>
  <c r="L352" i="100" s="1"/>
  <c r="M208" i="100"/>
  <c r="I332" i="100"/>
  <c r="L332" i="100" s="1"/>
  <c r="M331" i="100"/>
  <c r="M340" i="100"/>
  <c r="M159" i="100"/>
  <c r="M227" i="100"/>
  <c r="I351" i="100"/>
  <c r="L351" i="100" s="1"/>
  <c r="M223" i="100"/>
  <c r="I347" i="100"/>
  <c r="L347" i="100" s="1"/>
  <c r="M211" i="100"/>
  <c r="I335" i="100"/>
  <c r="L335" i="100" s="1"/>
  <c r="M224" i="100"/>
  <c r="I348" i="100"/>
  <c r="L348" i="100" s="1"/>
  <c r="M220" i="100"/>
  <c r="I344" i="100"/>
  <c r="L344" i="100" s="1"/>
  <c r="M212" i="100"/>
  <c r="I336" i="100"/>
  <c r="L336" i="100" s="1"/>
  <c r="M356" i="100"/>
  <c r="M359" i="100"/>
  <c r="M237" i="100"/>
  <c r="I361" i="100"/>
  <c r="L361" i="100" s="1"/>
  <c r="M233" i="100"/>
  <c r="I357" i="100"/>
  <c r="L357" i="100" s="1"/>
  <c r="M229" i="100"/>
  <c r="I353" i="100"/>
  <c r="L353" i="100" s="1"/>
  <c r="M225" i="100"/>
  <c r="I349" i="100"/>
  <c r="L349" i="100" s="1"/>
  <c r="M213" i="100"/>
  <c r="I337" i="100"/>
  <c r="L337" i="100" s="1"/>
  <c r="M345" i="100"/>
  <c r="M238" i="100"/>
  <c r="I362" i="100"/>
  <c r="L362" i="100" s="1"/>
  <c r="M354" i="100"/>
  <c r="M226" i="100"/>
  <c r="I350" i="100"/>
  <c r="L350" i="100" s="1"/>
  <c r="M222" i="100"/>
  <c r="I346" i="100"/>
  <c r="L346" i="100" s="1"/>
  <c r="M214" i="100"/>
  <c r="I338" i="100"/>
  <c r="L338" i="100" s="1"/>
  <c r="M210" i="100"/>
  <c r="I334" i="100"/>
  <c r="L334" i="100" s="1"/>
  <c r="M330" i="100"/>
  <c r="M207" i="100"/>
  <c r="M234" i="100"/>
  <c r="M160" i="100"/>
  <c r="D284" i="100"/>
  <c r="G284" i="100" s="1"/>
  <c r="M175" i="100"/>
  <c r="D299" i="100"/>
  <c r="G299" i="100" s="1"/>
  <c r="M165" i="100"/>
  <c r="D289" i="100"/>
  <c r="G289" i="100" s="1"/>
  <c r="M155" i="100"/>
  <c r="D279" i="100"/>
  <c r="G279" i="100" s="1"/>
  <c r="M206" i="100"/>
  <c r="M164" i="100"/>
  <c r="D288" i="100"/>
  <c r="G288" i="100" s="1"/>
  <c r="M152" i="100"/>
  <c r="D276" i="100"/>
  <c r="G276" i="100" s="1"/>
  <c r="M301" i="100"/>
  <c r="M171" i="100"/>
  <c r="D295" i="100"/>
  <c r="G295" i="100" s="1"/>
  <c r="M167" i="100"/>
  <c r="D291" i="100"/>
  <c r="G291" i="100" s="1"/>
  <c r="M163" i="100"/>
  <c r="D287" i="100"/>
  <c r="G287" i="100" s="1"/>
  <c r="M277" i="100"/>
  <c r="M273" i="100"/>
  <c r="M290" i="100"/>
  <c r="M282" i="100"/>
  <c r="M270" i="100"/>
  <c r="M283" i="100"/>
  <c r="M176" i="100"/>
  <c r="D300" i="100"/>
  <c r="G300" i="100" s="1"/>
  <c r="M148" i="100"/>
  <c r="D272" i="100"/>
  <c r="G272" i="100" s="1"/>
  <c r="M169" i="100"/>
  <c r="D293" i="100"/>
  <c r="G293" i="100" s="1"/>
  <c r="M161" i="100"/>
  <c r="D285" i="100"/>
  <c r="G285" i="100" s="1"/>
  <c r="M151" i="100"/>
  <c r="D275" i="100"/>
  <c r="G275" i="100" s="1"/>
  <c r="M230" i="100"/>
  <c r="M177" i="100"/>
  <c r="M218" i="100"/>
  <c r="M153" i="100"/>
  <c r="M149" i="100"/>
  <c r="D147" i="100"/>
  <c r="G147" i="100" s="1"/>
  <c r="D209" i="100"/>
  <c r="G209" i="100" s="1"/>
  <c r="M217" i="100"/>
  <c r="M219" i="100"/>
  <c r="M166" i="100"/>
  <c r="M158" i="100"/>
  <c r="M146" i="100"/>
  <c r="M232" i="100"/>
  <c r="M216" i="100"/>
  <c r="I242" i="100"/>
  <c r="I245" i="100" s="1"/>
  <c r="L205" i="100"/>
  <c r="M221" i="100"/>
  <c r="M235" i="100"/>
  <c r="M174" i="100"/>
  <c r="M162" i="100"/>
  <c r="M150" i="100"/>
  <c r="L118" i="100"/>
  <c r="L121" i="100" s="1"/>
  <c r="I143" i="100"/>
  <c r="I180" i="100" s="1"/>
  <c r="M83" i="100"/>
  <c r="D145" i="100"/>
  <c r="G145" i="100" s="1"/>
  <c r="M110" i="100"/>
  <c r="D172" i="100"/>
  <c r="G172" i="100" s="1"/>
  <c r="M92" i="100"/>
  <c r="D154" i="100"/>
  <c r="G154" i="100" s="1"/>
  <c r="M108" i="100"/>
  <c r="D170" i="100"/>
  <c r="G170" i="100" s="1"/>
  <c r="M111" i="100"/>
  <c r="D173" i="100"/>
  <c r="G173" i="100" s="1"/>
  <c r="M106" i="100"/>
  <c r="D168" i="100"/>
  <c r="G168" i="100" s="1"/>
  <c r="M82" i="100"/>
  <c r="D144" i="100"/>
  <c r="G144" i="100" s="1"/>
  <c r="M94" i="100"/>
  <c r="D156" i="100"/>
  <c r="G156" i="100" s="1"/>
  <c r="M95" i="100"/>
  <c r="D157" i="100"/>
  <c r="G157" i="100" s="1"/>
  <c r="D118" i="100"/>
  <c r="D121" i="100" s="1"/>
  <c r="G81" i="100"/>
  <c r="M57" i="100"/>
  <c r="M60" i="100" s="1"/>
  <c r="BB16" i="106"/>
  <c r="BC16" i="106" s="1"/>
  <c r="AZ17" i="106"/>
  <c r="BB17" i="106" s="1"/>
  <c r="BC17" i="106" s="1"/>
  <c r="H23" i="21"/>
  <c r="H27" i="21" s="1"/>
  <c r="Y29" i="54"/>
  <c r="Y33" i="54" s="1"/>
  <c r="Y55" i="54" s="1"/>
  <c r="Y58" i="54" s="1"/>
  <c r="Y62" i="54" s="1"/>
  <c r="Y64" i="54" s="1"/>
  <c r="Y65" i="54" s="1"/>
  <c r="Y38" i="54" s="1"/>
  <c r="Y28" i="54"/>
  <c r="Y32" i="54" s="1"/>
  <c r="Y27" i="54"/>
  <c r="Y31" i="54" s="1"/>
  <c r="Z29" i="54"/>
  <c r="Z33" i="54" s="1"/>
  <c r="Z55" i="54" s="1"/>
  <c r="Z58" i="54" s="1"/>
  <c r="Z62" i="54" s="1"/>
  <c r="Z64" i="54" s="1"/>
  <c r="Z65" i="54" s="1"/>
  <c r="Z38" i="54" s="1"/>
  <c r="Z27" i="54"/>
  <c r="Z31" i="54" s="1"/>
  <c r="Z28" i="54"/>
  <c r="Z32" i="54" s="1"/>
  <c r="AC28" i="54"/>
  <c r="AC32" i="54" s="1"/>
  <c r="AC29" i="54"/>
  <c r="AC33" i="54" s="1"/>
  <c r="AC55" i="54" s="1"/>
  <c r="AC58" i="54" s="1"/>
  <c r="AC62" i="54" s="1"/>
  <c r="AC64" i="54" s="1"/>
  <c r="AC65" i="54" s="1"/>
  <c r="AC38" i="54" s="1"/>
  <c r="AC27" i="54"/>
  <c r="AC31" i="54" s="1"/>
  <c r="AB28" i="54"/>
  <c r="AB32" i="54" s="1"/>
  <c r="AB27" i="54"/>
  <c r="AB31" i="54" s="1"/>
  <c r="AB29" i="54"/>
  <c r="AB33" i="54" s="1"/>
  <c r="AB55" i="54" s="1"/>
  <c r="AB58" i="54" s="1"/>
  <c r="AB62" i="54" s="1"/>
  <c r="AB64" i="54" s="1"/>
  <c r="AB65" i="54" s="1"/>
  <c r="AB38" i="54" s="1"/>
  <c r="C45" i="34"/>
  <c r="F45" i="34"/>
  <c r="C43" i="34"/>
  <c r="F43" i="34"/>
  <c r="C47" i="34"/>
  <c r="F47" i="34"/>
  <c r="C44" i="34"/>
  <c r="F44" i="34"/>
  <c r="C46" i="34"/>
  <c r="F46" i="34"/>
  <c r="J55" i="59"/>
  <c r="G39" i="119"/>
  <c r="F35" i="89"/>
  <c r="H35" i="89" s="1"/>
  <c r="L35" i="88"/>
  <c r="L57" i="88" s="1"/>
  <c r="K35" i="90"/>
  <c r="F35" i="121" s="1"/>
  <c r="H35" i="121" s="1"/>
  <c r="F35" i="90"/>
  <c r="H35" i="90" s="1"/>
  <c r="F55" i="61"/>
  <c r="F57" i="61" s="1"/>
  <c r="K23" i="61"/>
  <c r="K23" i="62" s="1"/>
  <c r="F23" i="120" s="1"/>
  <c r="H23" i="120" s="1"/>
  <c r="H55" i="120" s="1"/>
  <c r="K55" i="60"/>
  <c r="H55" i="61"/>
  <c r="G38" i="75"/>
  <c r="G37" i="75"/>
  <c r="M425" i="100" l="1"/>
  <c r="H33" i="121"/>
  <c r="E15" i="20"/>
  <c r="E16" i="20" s="1"/>
  <c r="D56" i="15"/>
  <c r="F48" i="90"/>
  <c r="H48" i="90" s="1"/>
  <c r="F20" i="90"/>
  <c r="H20" i="90" s="1"/>
  <c r="F29" i="90"/>
  <c r="H29" i="90" s="1"/>
  <c r="F44" i="90"/>
  <c r="H44" i="90" s="1"/>
  <c r="F33" i="90"/>
  <c r="H33" i="90" s="1"/>
  <c r="K27" i="90"/>
  <c r="F27" i="121" s="1"/>
  <c r="F27" i="90"/>
  <c r="H27" i="90" s="1"/>
  <c r="F37" i="90"/>
  <c r="H37" i="90" s="1"/>
  <c r="F49" i="90"/>
  <c r="H49" i="90" s="1"/>
  <c r="F36" i="90"/>
  <c r="H36" i="90" s="1"/>
  <c r="K18" i="90"/>
  <c r="F18" i="121" s="1"/>
  <c r="H18" i="121" s="1"/>
  <c r="H18" i="90"/>
  <c r="K57" i="89"/>
  <c r="H18" i="89"/>
  <c r="H57" i="89" s="1"/>
  <c r="F57" i="89"/>
  <c r="F59" i="89" s="1"/>
  <c r="K26" i="90"/>
  <c r="F26" i="121" s="1"/>
  <c r="F26" i="90"/>
  <c r="H26" i="90" s="1"/>
  <c r="K56" i="90"/>
  <c r="F56" i="121" s="1"/>
  <c r="H56" i="121" s="1"/>
  <c r="H56" i="90"/>
  <c r="K41" i="90"/>
  <c r="F41" i="121" s="1"/>
  <c r="H41" i="121" s="1"/>
  <c r="F41" i="90"/>
  <c r="H41" i="90" s="1"/>
  <c r="K21" i="90"/>
  <c r="F21" i="121" s="1"/>
  <c r="H21" i="121" s="1"/>
  <c r="F21" i="90"/>
  <c r="H21" i="90" s="1"/>
  <c r="K25" i="90"/>
  <c r="F25" i="121" s="1"/>
  <c r="H25" i="121" s="1"/>
  <c r="F25" i="90"/>
  <c r="H25" i="90" s="1"/>
  <c r="K31" i="90"/>
  <c r="F31" i="121" s="1"/>
  <c r="H31" i="121" s="1"/>
  <c r="F31" i="90"/>
  <c r="H31" i="90" s="1"/>
  <c r="M482" i="100"/>
  <c r="D544" i="100"/>
  <c r="G544" i="100" s="1"/>
  <c r="M544" i="100" s="1"/>
  <c r="M467" i="100"/>
  <c r="D529" i="100"/>
  <c r="M352" i="100"/>
  <c r="I476" i="100"/>
  <c r="L476" i="100" s="1"/>
  <c r="M363" i="100"/>
  <c r="I488" i="100"/>
  <c r="L488" i="100" s="1"/>
  <c r="M350" i="100"/>
  <c r="I474" i="100"/>
  <c r="L474" i="100" s="1"/>
  <c r="M349" i="100"/>
  <c r="I473" i="100"/>
  <c r="L473" i="100" s="1"/>
  <c r="M351" i="100"/>
  <c r="I475" i="100"/>
  <c r="L475" i="100" s="1"/>
  <c r="M332" i="100"/>
  <c r="I456" i="100"/>
  <c r="L456" i="100" s="1"/>
  <c r="M360" i="100"/>
  <c r="I484" i="100"/>
  <c r="L484" i="100" s="1"/>
  <c r="M355" i="100"/>
  <c r="I479" i="100"/>
  <c r="L479" i="100" s="1"/>
  <c r="M362" i="100"/>
  <c r="I486" i="100"/>
  <c r="L486" i="100" s="1"/>
  <c r="M339" i="100"/>
  <c r="I463" i="100"/>
  <c r="L463" i="100" s="1"/>
  <c r="M338" i="100"/>
  <c r="I462" i="100"/>
  <c r="L462" i="100" s="1"/>
  <c r="M357" i="100"/>
  <c r="I481" i="100"/>
  <c r="L481" i="100" s="1"/>
  <c r="M344" i="100"/>
  <c r="I468" i="100"/>
  <c r="L468" i="100" s="1"/>
  <c r="M335" i="100"/>
  <c r="I459" i="100"/>
  <c r="L459" i="100" s="1"/>
  <c r="M334" i="100"/>
  <c r="I458" i="100"/>
  <c r="L458" i="100" s="1"/>
  <c r="M346" i="100"/>
  <c r="I470" i="100"/>
  <c r="L470" i="100" s="1"/>
  <c r="M337" i="100"/>
  <c r="I461" i="100"/>
  <c r="L461" i="100" s="1"/>
  <c r="M353" i="100"/>
  <c r="I477" i="100"/>
  <c r="L477" i="100" s="1"/>
  <c r="M361" i="100"/>
  <c r="I485" i="100"/>
  <c r="L485" i="100" s="1"/>
  <c r="M336" i="100"/>
  <c r="I460" i="100"/>
  <c r="L460" i="100" s="1"/>
  <c r="M348" i="100"/>
  <c r="I472" i="100"/>
  <c r="L472" i="100" s="1"/>
  <c r="M347" i="100"/>
  <c r="I471" i="100"/>
  <c r="L471" i="100" s="1"/>
  <c r="M272" i="100"/>
  <c r="D396" i="100"/>
  <c r="G396" i="100" s="1"/>
  <c r="M396" i="100" s="1"/>
  <c r="M289" i="100"/>
  <c r="D413" i="100"/>
  <c r="G413" i="100" s="1"/>
  <c r="M413" i="100" s="1"/>
  <c r="M275" i="100"/>
  <c r="D399" i="100"/>
  <c r="G399" i="100" s="1"/>
  <c r="M399" i="100" s="1"/>
  <c r="M293" i="100"/>
  <c r="D417" i="100"/>
  <c r="G417" i="100" s="1"/>
  <c r="M417" i="100" s="1"/>
  <c r="M300" i="100"/>
  <c r="D424" i="100"/>
  <c r="G424" i="100" s="1"/>
  <c r="M424" i="100" s="1"/>
  <c r="M287" i="100"/>
  <c r="D411" i="100"/>
  <c r="G411" i="100" s="1"/>
  <c r="M411" i="100" s="1"/>
  <c r="M295" i="100"/>
  <c r="D419" i="100"/>
  <c r="G419" i="100" s="1"/>
  <c r="M419" i="100" s="1"/>
  <c r="M279" i="100"/>
  <c r="D403" i="100"/>
  <c r="G403" i="100" s="1"/>
  <c r="M403" i="100" s="1"/>
  <c r="M299" i="100"/>
  <c r="D423" i="100"/>
  <c r="G423" i="100" s="1"/>
  <c r="M423" i="100" s="1"/>
  <c r="M285" i="100"/>
  <c r="D409" i="100"/>
  <c r="G409" i="100" s="1"/>
  <c r="M409" i="100" s="1"/>
  <c r="M291" i="100"/>
  <c r="D415" i="100"/>
  <c r="G415" i="100" s="1"/>
  <c r="M415" i="100" s="1"/>
  <c r="M284" i="100"/>
  <c r="D408" i="100"/>
  <c r="G408" i="100" s="1"/>
  <c r="M408" i="100" s="1"/>
  <c r="M276" i="100"/>
  <c r="D400" i="100"/>
  <c r="G400" i="100" s="1"/>
  <c r="M400" i="100" s="1"/>
  <c r="M288" i="100"/>
  <c r="D412" i="100"/>
  <c r="G412" i="100" s="1"/>
  <c r="M412" i="100" s="1"/>
  <c r="M209" i="100"/>
  <c r="D333" i="100"/>
  <c r="G333" i="100" s="1"/>
  <c r="L242" i="100"/>
  <c r="L245" i="100" s="1"/>
  <c r="I329" i="100"/>
  <c r="M156" i="100"/>
  <c r="D280" i="100"/>
  <c r="G280" i="100" s="1"/>
  <c r="M170" i="100"/>
  <c r="D294" i="100"/>
  <c r="G294" i="100" s="1"/>
  <c r="M147" i="100"/>
  <c r="D271" i="100"/>
  <c r="G271" i="100" s="1"/>
  <c r="M157" i="100"/>
  <c r="D281" i="100"/>
  <c r="G281" i="100" s="1"/>
  <c r="M144" i="100"/>
  <c r="D268" i="100"/>
  <c r="G268" i="100" s="1"/>
  <c r="M173" i="100"/>
  <c r="D297" i="100"/>
  <c r="G297" i="100" s="1"/>
  <c r="M154" i="100"/>
  <c r="D278" i="100"/>
  <c r="G278" i="100" s="1"/>
  <c r="M145" i="100"/>
  <c r="D269" i="100"/>
  <c r="G269" i="100" s="1"/>
  <c r="M168" i="100"/>
  <c r="D292" i="100"/>
  <c r="G292" i="100" s="1"/>
  <c r="M172" i="100"/>
  <c r="D296" i="100"/>
  <c r="G296" i="100" s="1"/>
  <c r="D143" i="100"/>
  <c r="D180" i="100" s="1"/>
  <c r="D183" i="100" s="1"/>
  <c r="D205" i="100"/>
  <c r="I183" i="100"/>
  <c r="L143" i="100"/>
  <c r="M81" i="100"/>
  <c r="M118" i="100" s="1"/>
  <c r="M121" i="100" s="1"/>
  <c r="G118" i="100"/>
  <c r="G121" i="100" s="1"/>
  <c r="AZ18" i="106"/>
  <c r="BB18" i="106" s="1"/>
  <c r="BC18" i="106" s="1"/>
  <c r="AC34" i="54"/>
  <c r="AC40" i="54"/>
  <c r="AC43" i="54" s="1"/>
  <c r="AC45" i="54" s="1"/>
  <c r="Z34" i="54"/>
  <c r="Z40" i="54" s="1"/>
  <c r="Z43" i="54" s="1"/>
  <c r="Z45" i="54" s="1"/>
  <c r="AB34" i="54"/>
  <c r="AB40" i="54" s="1"/>
  <c r="Y34" i="54"/>
  <c r="Y40" i="54" s="1"/>
  <c r="F49" i="34"/>
  <c r="F23" i="62"/>
  <c r="K55" i="62"/>
  <c r="F55" i="120"/>
  <c r="F57" i="120" s="1"/>
  <c r="K55" i="61"/>
  <c r="G39" i="75"/>
  <c r="M488" i="100" l="1"/>
  <c r="I550" i="100"/>
  <c r="L550" i="100" s="1"/>
  <c r="M550" i="100" s="1"/>
  <c r="F57" i="121"/>
  <c r="F59" i="121" s="1"/>
  <c r="G529" i="100"/>
  <c r="D552" i="100"/>
  <c r="E19" i="20"/>
  <c r="E15" i="15"/>
  <c r="E56" i="15" s="1"/>
  <c r="F15" i="20"/>
  <c r="H57" i="90"/>
  <c r="F57" i="90"/>
  <c r="F59" i="90" s="1"/>
  <c r="K57" i="90"/>
  <c r="M460" i="100"/>
  <c r="I522" i="100"/>
  <c r="L522" i="100" s="1"/>
  <c r="M522" i="100" s="1"/>
  <c r="M470" i="100"/>
  <c r="I532" i="100"/>
  <c r="L532" i="100" s="1"/>
  <c r="M532" i="100" s="1"/>
  <c r="M481" i="100"/>
  <c r="I543" i="100"/>
  <c r="L543" i="100" s="1"/>
  <c r="M543" i="100" s="1"/>
  <c r="M479" i="100"/>
  <c r="I541" i="100"/>
  <c r="L541" i="100" s="1"/>
  <c r="M541" i="100" s="1"/>
  <c r="M456" i="100"/>
  <c r="I518" i="100"/>
  <c r="L518" i="100" s="1"/>
  <c r="M485" i="100"/>
  <c r="I547" i="100"/>
  <c r="L547" i="100" s="1"/>
  <c r="M547" i="100" s="1"/>
  <c r="M458" i="100"/>
  <c r="I520" i="100"/>
  <c r="M468" i="100"/>
  <c r="I530" i="100"/>
  <c r="L530" i="100" s="1"/>
  <c r="M530" i="100" s="1"/>
  <c r="M462" i="100"/>
  <c r="I524" i="100"/>
  <c r="L524" i="100" s="1"/>
  <c r="M524" i="100" s="1"/>
  <c r="M486" i="100"/>
  <c r="I548" i="100"/>
  <c r="L548" i="100" s="1"/>
  <c r="M548" i="100" s="1"/>
  <c r="M484" i="100"/>
  <c r="I546" i="100"/>
  <c r="L546" i="100" s="1"/>
  <c r="M546" i="100" s="1"/>
  <c r="M475" i="100"/>
  <c r="I537" i="100"/>
  <c r="L537" i="100" s="1"/>
  <c r="M537" i="100" s="1"/>
  <c r="M474" i="100"/>
  <c r="I536" i="100"/>
  <c r="L536" i="100" s="1"/>
  <c r="M536" i="100" s="1"/>
  <c r="M476" i="100"/>
  <c r="I538" i="100"/>
  <c r="L538" i="100" s="1"/>
  <c r="M538" i="100" s="1"/>
  <c r="M471" i="100"/>
  <c r="I533" i="100"/>
  <c r="L533" i="100" s="1"/>
  <c r="M533" i="100" s="1"/>
  <c r="M477" i="100"/>
  <c r="I539" i="100"/>
  <c r="L539" i="100" s="1"/>
  <c r="M539" i="100" s="1"/>
  <c r="M459" i="100"/>
  <c r="I521" i="100"/>
  <c r="M463" i="100"/>
  <c r="I525" i="100"/>
  <c r="L525" i="100" s="1"/>
  <c r="M525" i="100" s="1"/>
  <c r="M473" i="100"/>
  <c r="I535" i="100"/>
  <c r="L535" i="100" s="1"/>
  <c r="M535" i="100" s="1"/>
  <c r="M472" i="100"/>
  <c r="I534" i="100"/>
  <c r="L534" i="100" s="1"/>
  <c r="M534" i="100" s="1"/>
  <c r="M461" i="100"/>
  <c r="I523" i="100"/>
  <c r="L523" i="100" s="1"/>
  <c r="M523" i="100" s="1"/>
  <c r="G143" i="100"/>
  <c r="D267" i="100" s="1"/>
  <c r="D304" i="100" s="1"/>
  <c r="D307" i="100" s="1"/>
  <c r="M333" i="100"/>
  <c r="D457" i="100"/>
  <c r="G457" i="100" s="1"/>
  <c r="M278" i="100"/>
  <c r="D402" i="100"/>
  <c r="G402" i="100" s="1"/>
  <c r="M402" i="100" s="1"/>
  <c r="M271" i="100"/>
  <c r="D395" i="100"/>
  <c r="G395" i="100" s="1"/>
  <c r="M395" i="100" s="1"/>
  <c r="M280" i="100"/>
  <c r="D404" i="100"/>
  <c r="G404" i="100" s="1"/>
  <c r="M404" i="100" s="1"/>
  <c r="M296" i="100"/>
  <c r="D420" i="100"/>
  <c r="G420" i="100" s="1"/>
  <c r="M420" i="100" s="1"/>
  <c r="M269" i="100"/>
  <c r="D393" i="100"/>
  <c r="G393" i="100" s="1"/>
  <c r="M393" i="100" s="1"/>
  <c r="M297" i="100"/>
  <c r="D421" i="100"/>
  <c r="G421" i="100" s="1"/>
  <c r="M421" i="100" s="1"/>
  <c r="M281" i="100"/>
  <c r="D405" i="100"/>
  <c r="G405" i="100" s="1"/>
  <c r="M405" i="100" s="1"/>
  <c r="M294" i="100"/>
  <c r="D418" i="100"/>
  <c r="G418" i="100" s="1"/>
  <c r="M418" i="100" s="1"/>
  <c r="M292" i="100"/>
  <c r="D416" i="100"/>
  <c r="G416" i="100" s="1"/>
  <c r="M416" i="100" s="1"/>
  <c r="M268" i="100"/>
  <c r="D392" i="100"/>
  <c r="G392" i="100" s="1"/>
  <c r="M392" i="100" s="1"/>
  <c r="L329" i="100"/>
  <c r="I366" i="100"/>
  <c r="I369" i="100" s="1"/>
  <c r="L180" i="100"/>
  <c r="I267" i="100"/>
  <c r="G267" i="100"/>
  <c r="D391" i="100" s="1"/>
  <c r="D242" i="100"/>
  <c r="D245" i="100" s="1"/>
  <c r="G205" i="100"/>
  <c r="D329" i="100" s="1"/>
  <c r="M143" i="100"/>
  <c r="L183" i="100"/>
  <c r="H23" i="62"/>
  <c r="H55" i="62" s="1"/>
  <c r="F55" i="62"/>
  <c r="F57" i="62" s="1"/>
  <c r="D12" i="14"/>
  <c r="D49" i="14" s="1"/>
  <c r="D60" i="14" s="1"/>
  <c r="E12" i="14"/>
  <c r="E49" i="14" s="1"/>
  <c r="E60" i="14" s="1"/>
  <c r="F49" i="14"/>
  <c r="F60" i="14" s="1"/>
  <c r="H50" i="14"/>
  <c r="H61" i="14" s="1"/>
  <c r="I552" i="100" l="1"/>
  <c r="D71" i="14"/>
  <c r="D81" i="14"/>
  <c r="D92" i="14" s="1"/>
  <c r="D105" i="14" s="1"/>
  <c r="D121" i="14" s="1"/>
  <c r="D132" i="14" s="1"/>
  <c r="D143" i="14" s="1"/>
  <c r="H72" i="14"/>
  <c r="H82" i="14"/>
  <c r="H93" i="14" s="1"/>
  <c r="H106" i="14" s="1"/>
  <c r="H122" i="14" s="1"/>
  <c r="H133" i="14" s="1"/>
  <c r="H144" i="14" s="1"/>
  <c r="F71" i="14"/>
  <c r="F81" i="14"/>
  <c r="F92" i="14" s="1"/>
  <c r="F105" i="14" s="1"/>
  <c r="F121" i="14" s="1"/>
  <c r="F132" i="14" s="1"/>
  <c r="F143" i="14" s="1"/>
  <c r="E71" i="14"/>
  <c r="E81" i="14"/>
  <c r="E92" i="14" s="1"/>
  <c r="E105" i="14" s="1"/>
  <c r="E121" i="14" s="1"/>
  <c r="E132" i="14" s="1"/>
  <c r="E143" i="14" s="1"/>
  <c r="M529" i="100"/>
  <c r="G552" i="100"/>
  <c r="F16" i="20"/>
  <c r="F19" i="20"/>
  <c r="M518" i="100"/>
  <c r="M457" i="100"/>
  <c r="D519" i="100"/>
  <c r="G519" i="100" s="1"/>
  <c r="M519" i="100" s="1"/>
  <c r="G180" i="100"/>
  <c r="G183" i="100" s="1"/>
  <c r="L366" i="100"/>
  <c r="L369" i="100" s="1"/>
  <c r="I453" i="100"/>
  <c r="G391" i="100"/>
  <c r="D428" i="100"/>
  <c r="D431" i="100" s="1"/>
  <c r="G329" i="100"/>
  <c r="D453" i="100" s="1"/>
  <c r="D366" i="100"/>
  <c r="D369" i="100" s="1"/>
  <c r="G304" i="100"/>
  <c r="G307" i="100" s="1"/>
  <c r="I304" i="100"/>
  <c r="I307" i="100" s="1"/>
  <c r="L267" i="100"/>
  <c r="M205" i="100"/>
  <c r="M242" i="100" s="1"/>
  <c r="M245" i="100" s="1"/>
  <c r="G242" i="100"/>
  <c r="G245" i="100" s="1"/>
  <c r="M180" i="100"/>
  <c r="M183" i="100" s="1"/>
  <c r="F15" i="15" l="1"/>
  <c r="G15" i="20"/>
  <c r="L453" i="100"/>
  <c r="I490" i="100"/>
  <c r="I493" i="100" s="1"/>
  <c r="G453" i="100"/>
  <c r="D515" i="100" s="1"/>
  <c r="D490" i="100"/>
  <c r="D493" i="100" s="1"/>
  <c r="L304" i="100"/>
  <c r="L307" i="100" s="1"/>
  <c r="I391" i="100"/>
  <c r="G428" i="100"/>
  <c r="G431" i="100" s="1"/>
  <c r="M329" i="100"/>
  <c r="M366" i="100" s="1"/>
  <c r="M369" i="100" s="1"/>
  <c r="G366" i="100"/>
  <c r="G369" i="100" s="1"/>
  <c r="M267" i="100"/>
  <c r="M304" i="100" s="1"/>
  <c r="M307" i="100" s="1"/>
  <c r="G19" i="20" l="1"/>
  <c r="G16" i="20"/>
  <c r="F56" i="15"/>
  <c r="G515" i="100"/>
  <c r="D555" i="100"/>
  <c r="L490" i="100"/>
  <c r="L493" i="100" s="1"/>
  <c r="I515" i="100"/>
  <c r="M453" i="100"/>
  <c r="M490" i="100" s="1"/>
  <c r="M493" i="100" s="1"/>
  <c r="G490" i="100"/>
  <c r="G493" i="100" s="1"/>
  <c r="L391" i="100"/>
  <c r="I428" i="100"/>
  <c r="I431" i="100" s="1"/>
  <c r="G15" i="15" l="1"/>
  <c r="L515" i="100"/>
  <c r="I555" i="100"/>
  <c r="M515" i="100"/>
  <c r="G555" i="100"/>
  <c r="L428" i="100"/>
  <c r="L431" i="100" s="1"/>
  <c r="M391" i="100"/>
  <c r="M428" i="100" s="1"/>
  <c r="M431" i="100" s="1"/>
  <c r="H19" i="20" l="1"/>
  <c r="H16" i="20"/>
  <c r="G56" i="15"/>
  <c r="I16" i="20" l="1"/>
  <c r="I19" i="20"/>
  <c r="I32" i="105" l="1"/>
  <c r="J32" i="105"/>
  <c r="J23" i="105"/>
  <c r="I23" i="105"/>
  <c r="I38" i="105"/>
  <c r="J38" i="105"/>
  <c r="J51" i="105" l="1"/>
  <c r="I51" i="105"/>
  <c r="F50" i="71"/>
  <c r="K42" i="50" l="1"/>
  <c r="K49" i="50" s="1"/>
  <c r="I49" i="50" l="1"/>
  <c r="I40" i="50" l="1"/>
  <c r="I45" i="50"/>
  <c r="I41" i="50"/>
  <c r="O41" i="50" s="1"/>
  <c r="I46" i="50"/>
  <c r="O46" i="50" s="1"/>
  <c r="I42" i="50" l="1"/>
  <c r="O40" i="50"/>
  <c r="O42" i="50" s="1"/>
  <c r="O45" i="50"/>
  <c r="O47" i="50" s="1"/>
  <c r="I47" i="50"/>
  <c r="O49" i="50" l="1"/>
  <c r="T31" i="123" l="1"/>
  <c r="T32" i="123" l="1"/>
  <c r="T35" i="123"/>
  <c r="T36" i="123" l="1"/>
  <c r="T30" i="123"/>
  <c r="T37" i="123"/>
  <c r="F44" i="114" l="1"/>
  <c r="F48" i="114" l="1"/>
  <c r="F45" i="114"/>
  <c r="F49" i="114" l="1"/>
  <c r="G44" i="114" l="1"/>
  <c r="L33" i="123" l="1"/>
  <c r="G48" i="114"/>
  <c r="G45" i="114"/>
  <c r="G18" i="30" l="1"/>
  <c r="M33" i="123"/>
  <c r="T33" i="123" s="1"/>
  <c r="G49" i="114"/>
  <c r="F53" i="114" l="1"/>
  <c r="F57" i="114" l="1"/>
  <c r="F108" i="114"/>
  <c r="F113" i="114" s="1"/>
  <c r="F54" i="114"/>
  <c r="F58" i="114" l="1"/>
  <c r="F109" i="114"/>
  <c r="F114" i="114" s="1"/>
  <c r="G53" i="114" l="1"/>
  <c r="L34" i="123" l="1"/>
  <c r="G57" i="114"/>
  <c r="G108" i="114"/>
  <c r="G113" i="114" s="1"/>
  <c r="G54" i="114"/>
  <c r="M34" i="123" l="1"/>
  <c r="T34" i="123" s="1"/>
  <c r="G19" i="30"/>
  <c r="G58" i="114"/>
  <c r="G109" i="114"/>
  <c r="G114" i="114" s="1"/>
  <c r="H17" i="30" l="1"/>
  <c r="C55" i="33" l="1"/>
  <c r="B17" i="126"/>
  <c r="C29" i="126" s="1"/>
  <c r="D29" i="126" s="1"/>
  <c r="D31" i="126" s="1"/>
  <c r="E29" i="126" s="1"/>
  <c r="B43" i="126" s="1"/>
  <c r="B18" i="126"/>
  <c r="C30" i="126" s="1"/>
  <c r="D30" i="126" s="1"/>
  <c r="B44" i="126" l="1"/>
  <c r="C49" i="33"/>
  <c r="E30" i="126"/>
  <c r="C53" i="33"/>
  <c r="C52" i="33" l="1"/>
  <c r="C54" i="33" l="1"/>
  <c r="C50" i="33"/>
  <c r="C51" i="33"/>
  <c r="C48" i="33" l="1"/>
  <c r="C59" i="33" s="1"/>
  <c r="J521" i="100" l="1"/>
  <c r="J520" i="100"/>
  <c r="G27" i="121"/>
  <c r="H27" i="121" s="1"/>
  <c r="L521" i="100"/>
  <c r="M521" i="100" s="1"/>
  <c r="G26" i="121"/>
  <c r="J552" i="100"/>
  <c r="J555" i="100" s="1"/>
  <c r="J557" i="100" s="1"/>
  <c r="K564" i="100" s="1"/>
  <c r="L520" i="100"/>
  <c r="G57" i="121" l="1"/>
  <c r="H26" i="121"/>
  <c r="H57" i="121" s="1"/>
  <c r="M520" i="100"/>
  <c r="M552" i="100" s="1"/>
  <c r="M555" i="100" s="1"/>
  <c r="L552" i="100"/>
  <c r="L555" i="100" s="1"/>
  <c r="F52" i="33" l="1"/>
  <c r="F49" i="33"/>
  <c r="F48" i="33"/>
  <c r="F53" i="33"/>
  <c r="F55" i="33"/>
  <c r="F50" i="33"/>
  <c r="F51" i="33"/>
  <c r="F54" i="33"/>
  <c r="F59" i="33" l="1"/>
  <c r="D20" i="33" l="1"/>
  <c r="D19" i="33"/>
  <c r="D24" i="33"/>
  <c r="D23" i="33"/>
  <c r="D21" i="33"/>
  <c r="D18" i="33"/>
  <c r="D22" i="33"/>
  <c r="D17" i="33" l="1"/>
  <c r="E52" i="33" l="1"/>
  <c r="E84" i="33" s="1"/>
  <c r="C108" i="33" s="1"/>
  <c r="E54" i="33"/>
  <c r="E86" i="33" s="1"/>
  <c r="C110" i="33" s="1"/>
  <c r="E50" i="33"/>
  <c r="E82" i="33" s="1"/>
  <c r="C106" i="33" s="1"/>
  <c r="E53" i="33"/>
  <c r="E85" i="33" s="1"/>
  <c r="C109" i="33" s="1"/>
  <c r="E51" i="33"/>
  <c r="E83" i="33" s="1"/>
  <c r="C107" i="33" s="1"/>
  <c r="D28" i="33"/>
  <c r="D108" i="33" l="1"/>
  <c r="E108" i="33"/>
  <c r="M18" i="30"/>
  <c r="O18" i="30" s="1"/>
  <c r="D106" i="33"/>
  <c r="E106" i="33"/>
  <c r="M21" i="30"/>
  <c r="O21" i="30" s="1"/>
  <c r="E107" i="33"/>
  <c r="D107" i="33"/>
  <c r="M17" i="30"/>
  <c r="O17" i="30" s="1"/>
  <c r="E110" i="33"/>
  <c r="D110" i="33"/>
  <c r="D109" i="33"/>
  <c r="E109" i="33"/>
  <c r="E48" i="33"/>
  <c r="B20" i="126"/>
  <c r="M20" i="30"/>
  <c r="O20" i="30" s="1"/>
  <c r="M19" i="30"/>
  <c r="O19" i="30" s="1"/>
  <c r="D48" i="33"/>
  <c r="D49" i="33"/>
  <c r="D81" i="33" s="1"/>
  <c r="D51" i="33"/>
  <c r="D83" i="33" s="1"/>
  <c r="D50" i="33"/>
  <c r="D82" i="33" s="1"/>
  <c r="D54" i="33"/>
  <c r="D86" i="33" s="1"/>
  <c r="D55" i="33"/>
  <c r="D87" i="33" s="1"/>
  <c r="D53" i="33"/>
  <c r="D85" i="33" s="1"/>
  <c r="D52" i="33"/>
  <c r="D84" i="33" s="1"/>
  <c r="E17" i="33"/>
  <c r="E23" i="33"/>
  <c r="E19" i="33"/>
  <c r="E20" i="33"/>
  <c r="E22" i="33"/>
  <c r="E27" i="33"/>
  <c r="E21" i="33"/>
  <c r="E24" i="33"/>
  <c r="E25" i="33"/>
  <c r="E18" i="33"/>
  <c r="E26" i="33"/>
  <c r="H19" i="30" l="1"/>
  <c r="B39" i="126"/>
  <c r="C39" i="126" s="1"/>
  <c r="D39" i="126" s="1"/>
  <c r="B38" i="126"/>
  <c r="C44" i="126"/>
  <c r="D44" i="126" s="1"/>
  <c r="C43" i="126"/>
  <c r="M15" i="30"/>
  <c r="H18" i="30"/>
  <c r="H20" i="30"/>
  <c r="E80" i="33"/>
  <c r="C104" i="33" s="1"/>
  <c r="H21" i="30"/>
  <c r="E28" i="33"/>
  <c r="D59" i="33"/>
  <c r="D80" i="33"/>
  <c r="D43" i="126" l="1"/>
  <c r="C45" i="126"/>
  <c r="E44" i="126"/>
  <c r="J17" i="30"/>
  <c r="K17" i="30" s="1"/>
  <c r="P17" i="30" s="1"/>
  <c r="E104" i="33"/>
  <c r="D104" i="33"/>
  <c r="O15" i="30"/>
  <c r="B40" i="126"/>
  <c r="C38" i="126"/>
  <c r="D38" i="126" s="1"/>
  <c r="D40" i="126" s="1"/>
  <c r="I15" i="30" l="1"/>
  <c r="B49" i="126"/>
  <c r="B50" i="126" s="1"/>
  <c r="B48" i="126"/>
  <c r="E43" i="126"/>
  <c r="E45" i="126" s="1"/>
  <c r="J18" i="30" l="1"/>
  <c r="K18" i="30" s="1"/>
  <c r="P18" i="30" s="1"/>
  <c r="H15" i="30"/>
  <c r="K15" i="30" s="1"/>
  <c r="J21" i="30"/>
  <c r="K21" i="30" s="1"/>
  <c r="P21" i="30" s="1"/>
  <c r="J20" i="30"/>
  <c r="K20" i="30" s="1"/>
  <c r="P20" i="30" s="1"/>
  <c r="J19" i="30"/>
  <c r="K19" i="30" s="1"/>
  <c r="P19" i="30" s="1"/>
  <c r="E49" i="33" l="1"/>
  <c r="E55" i="33"/>
  <c r="E87" i="33" s="1"/>
  <c r="C111" i="33" s="1"/>
  <c r="P15" i="30"/>
  <c r="E81" i="33" l="1"/>
  <c r="C105" i="33" s="1"/>
  <c r="E59" i="33"/>
  <c r="M22" i="30"/>
  <c r="O22" i="30" s="1"/>
  <c r="E111" i="33"/>
  <c r="D111" i="33"/>
  <c r="M16" i="30"/>
  <c r="H16" i="30" l="1"/>
  <c r="O16" i="30"/>
  <c r="M24" i="30"/>
  <c r="O24" i="30" s="1"/>
  <c r="H22" i="30"/>
  <c r="D105" i="33"/>
  <c r="E105" i="33"/>
  <c r="I22" i="30" l="1"/>
  <c r="K22" i="30" s="1"/>
  <c r="P22" i="30" s="1"/>
  <c r="I16" i="30"/>
  <c r="K16" i="30" s="1"/>
  <c r="K24" i="30" l="1"/>
  <c r="P24" i="30" s="1"/>
  <c r="P16" i="30"/>
</calcChain>
</file>

<file path=xl/comments1.xml><?xml version="1.0" encoding="utf-8"?>
<comments xmlns="http://schemas.openxmlformats.org/spreadsheetml/2006/main">
  <authors>
    <author>Barb Tyers</author>
  </authors>
  <commentList>
    <comment ref="C18" authorId="0">
      <text>
        <r>
          <rPr>
            <b/>
            <sz val="9"/>
            <color indexed="81"/>
            <rFont val="Tahoma"/>
            <family val="2"/>
          </rPr>
          <t>Barb Tyers:</t>
        </r>
        <r>
          <rPr>
            <sz val="9"/>
            <color indexed="81"/>
            <rFont val="Tahoma"/>
            <family val="2"/>
          </rPr>
          <t xml:space="preserve">
includes Peter and Gene - Operations Consultant $300 K and $500K of Ice Storm provision</t>
        </r>
      </text>
    </comment>
    <comment ref="C20" authorId="0">
      <text>
        <r>
          <rPr>
            <b/>
            <sz val="9"/>
            <color indexed="81"/>
            <rFont val="Tahoma"/>
            <family val="2"/>
          </rPr>
          <t>Barb Tyers:</t>
        </r>
        <r>
          <rPr>
            <sz val="9"/>
            <color indexed="81"/>
            <rFont val="Tahoma"/>
            <family val="2"/>
          </rPr>
          <t xml:space="preserve">
does not include Peter or Bruno as they are now included in Admin and Operations - approx $270,000</t>
        </r>
      </text>
    </comment>
  </commentList>
</comments>
</file>

<file path=xl/comments2.xml><?xml version="1.0" encoding="utf-8"?>
<comments xmlns="http://schemas.openxmlformats.org/spreadsheetml/2006/main">
  <authors>
    <author>Keith Ritchie</author>
  </authors>
  <commentList>
    <comment ref="F46" authorId="0">
      <text>
        <r>
          <rPr>
            <b/>
            <sz val="9"/>
            <color indexed="81"/>
            <rFont val="Tahoma"/>
            <family val="2"/>
          </rPr>
          <t>Keith Ritchie:</t>
        </r>
        <r>
          <rPr>
            <sz val="9"/>
            <color indexed="81"/>
            <rFont val="Tahoma"/>
            <family val="2"/>
          </rPr>
          <t xml:space="preserve">
Where the measured cumulative CDM savings do not meet the 2011-14 target, the cell value will be shown in red. This is for information purposes only in the application.</t>
        </r>
      </text>
    </comment>
    <comment ref="B118" authorId="0">
      <text>
        <r>
          <rPr>
            <b/>
            <sz val="9"/>
            <color indexed="81"/>
            <rFont val="Tahoma"/>
            <family val="2"/>
          </rPr>
          <t>Keith Ritchie:</t>
        </r>
        <r>
          <rPr>
            <sz val="9"/>
            <color indexed="81"/>
            <rFont val="Tahoma"/>
            <family val="2"/>
          </rPr>
          <t xml:space="preserve">
Value will be entered in one of B118 or C118, depending on the test year for the distributor's last rebasing.</t>
        </r>
      </text>
    </comment>
  </commentList>
</comments>
</file>

<file path=xl/comments3.xml><?xml version="1.0" encoding="utf-8"?>
<comments xmlns="http://schemas.openxmlformats.org/spreadsheetml/2006/main">
  <authors>
    <author>Marc Abramovitz</author>
  </authors>
  <commentList>
    <comment ref="D91" authorId="0">
      <text>
        <r>
          <rPr>
            <b/>
            <sz val="10"/>
            <color indexed="81"/>
            <rFont val="Arial"/>
            <family val="2"/>
          </rPr>
          <t>Insert specific service charge rate adders/riders as required</t>
        </r>
      </text>
    </comment>
    <comment ref="D92" authorId="0">
      <text>
        <r>
          <rPr>
            <b/>
            <sz val="10"/>
            <color indexed="81"/>
            <rFont val="Arial"/>
            <family val="2"/>
          </rPr>
          <t>Insert specific service charge rate adders/riders</t>
        </r>
      </text>
    </comment>
    <comment ref="D93" authorId="0">
      <text>
        <r>
          <rPr>
            <b/>
            <sz val="10"/>
            <color indexed="81"/>
            <rFont val="Arial"/>
            <family val="2"/>
          </rPr>
          <t>Insert specific service charge rate adders/riders</t>
        </r>
      </text>
    </comment>
    <comment ref="D94" authorId="0">
      <text>
        <r>
          <rPr>
            <b/>
            <sz val="10"/>
            <color indexed="81"/>
            <rFont val="Arial"/>
            <family val="2"/>
          </rPr>
          <t>Insert specific service charge rate adders/riders</t>
        </r>
      </text>
    </comment>
    <comment ref="D98" authorId="0">
      <text>
        <r>
          <rPr>
            <b/>
            <sz val="10"/>
            <color indexed="81"/>
            <rFont val="Arial"/>
            <family val="2"/>
          </rPr>
          <t>Insert specific volumetric rate riders/adders as required (excluding DVA riders)</t>
        </r>
      </text>
    </comment>
    <comment ref="D99" authorId="0">
      <text>
        <r>
          <rPr>
            <b/>
            <sz val="10"/>
            <color indexed="81"/>
            <rFont val="Arial"/>
            <family val="2"/>
          </rPr>
          <t>Insert specific volumetric rate riders/adders as required (excluding DVA riders)</t>
        </r>
      </text>
    </comment>
    <comment ref="D100" authorId="0">
      <text>
        <r>
          <rPr>
            <b/>
            <sz val="10"/>
            <color indexed="81"/>
            <rFont val="Arial"/>
            <family val="2"/>
          </rPr>
          <t>Insert specific volumetric rate riders/adders as required (excluding DVA riders)</t>
        </r>
      </text>
    </comment>
    <comment ref="D101" authorId="0">
      <text>
        <r>
          <rPr>
            <b/>
            <sz val="10"/>
            <color indexed="81"/>
            <rFont val="Arial"/>
            <family val="2"/>
          </rPr>
          <t>Insert specific volumetric rate riders/adders as required (excluding DVA riders)</t>
        </r>
      </text>
    </comment>
    <comment ref="D102" authorId="0">
      <text>
        <r>
          <rPr>
            <b/>
            <sz val="10"/>
            <color indexed="81"/>
            <rFont val="Arial"/>
            <family val="2"/>
          </rPr>
          <t>Insert specific volumetric rate riders/adders as required (excluding DVA riders)</t>
        </r>
      </text>
    </comment>
    <comment ref="D103" authorId="0">
      <text>
        <r>
          <rPr>
            <b/>
            <sz val="10"/>
            <color indexed="81"/>
            <rFont val="Arial"/>
            <family val="2"/>
          </rPr>
          <t>Insert specific volumetric rate riders/adders as required (excluding DVA riders)</t>
        </r>
      </text>
    </comment>
    <comment ref="D104" authorId="0">
      <text>
        <r>
          <rPr>
            <b/>
            <sz val="10"/>
            <color indexed="81"/>
            <rFont val="Arial"/>
            <family val="2"/>
          </rPr>
          <t>Insert specific volumetric rate riders/adders as required (excluding DVA riders)</t>
        </r>
      </text>
    </comment>
    <comment ref="D108" authorId="0">
      <text>
        <r>
          <rPr>
            <b/>
            <sz val="8"/>
            <color indexed="81"/>
            <rFont val="Tahoma"/>
            <family val="2"/>
          </rPr>
          <t>Insert each specific Deferral/Variance Account Disposition Rate Rider(s) as required</t>
        </r>
      </text>
    </comment>
    <comment ref="D109" authorId="0">
      <text>
        <r>
          <rPr>
            <b/>
            <sz val="8"/>
            <color indexed="81"/>
            <rFont val="Tahoma"/>
            <family val="2"/>
          </rPr>
          <t>Insert each specific Deferral/Variance Account Disposition Rate Rider(s) as required</t>
        </r>
      </text>
    </comment>
    <comment ref="D161" authorId="0">
      <text>
        <r>
          <rPr>
            <b/>
            <sz val="10"/>
            <color indexed="81"/>
            <rFont val="Arial"/>
            <family val="2"/>
          </rPr>
          <t>Insert specific service charge rate adders/riders as required</t>
        </r>
      </text>
    </comment>
    <comment ref="D162" authorId="0">
      <text>
        <r>
          <rPr>
            <b/>
            <sz val="10"/>
            <color indexed="81"/>
            <rFont val="Arial"/>
            <family val="2"/>
          </rPr>
          <t>Insert specific service charge rate adders/riders</t>
        </r>
      </text>
    </comment>
    <comment ref="D163" authorId="0">
      <text>
        <r>
          <rPr>
            <b/>
            <sz val="10"/>
            <color indexed="81"/>
            <rFont val="Arial"/>
            <family val="2"/>
          </rPr>
          <t>Insert specific service charge rate adders/riders</t>
        </r>
      </text>
    </comment>
    <comment ref="D164" authorId="0">
      <text>
        <r>
          <rPr>
            <b/>
            <sz val="10"/>
            <color indexed="81"/>
            <rFont val="Arial"/>
            <family val="2"/>
          </rPr>
          <t>Insert specific service charge rate adders/riders</t>
        </r>
      </text>
    </comment>
    <comment ref="D168" authorId="0">
      <text>
        <r>
          <rPr>
            <b/>
            <sz val="10"/>
            <color indexed="81"/>
            <rFont val="Arial"/>
            <family val="2"/>
          </rPr>
          <t>Insert specific volumetric rate riders/adders as required (excluding DVA riders)</t>
        </r>
      </text>
    </comment>
    <comment ref="D169" authorId="0">
      <text>
        <r>
          <rPr>
            <b/>
            <sz val="10"/>
            <color indexed="81"/>
            <rFont val="Arial"/>
            <family val="2"/>
          </rPr>
          <t>Insert specific volumetric rate riders/adders as required (excluding DVA riders)</t>
        </r>
      </text>
    </comment>
    <comment ref="D170" authorId="0">
      <text>
        <r>
          <rPr>
            <b/>
            <sz val="10"/>
            <color indexed="81"/>
            <rFont val="Arial"/>
            <family val="2"/>
          </rPr>
          <t>Insert specific volumetric rate riders/adders as required (excluding DVA riders)</t>
        </r>
      </text>
    </comment>
    <comment ref="D171" authorId="0">
      <text>
        <r>
          <rPr>
            <b/>
            <sz val="10"/>
            <color indexed="81"/>
            <rFont val="Arial"/>
            <family val="2"/>
          </rPr>
          <t>Insert specific volumetric rate riders/adders as required (excluding DVA riders)</t>
        </r>
      </text>
    </comment>
    <comment ref="D172" authorId="0">
      <text>
        <r>
          <rPr>
            <b/>
            <sz val="10"/>
            <color indexed="81"/>
            <rFont val="Arial"/>
            <family val="2"/>
          </rPr>
          <t>Insert specific volumetric rate riders/adders as required (excluding DVA riders)</t>
        </r>
      </text>
    </comment>
    <comment ref="D173" authorId="0">
      <text>
        <r>
          <rPr>
            <b/>
            <sz val="10"/>
            <color indexed="81"/>
            <rFont val="Arial"/>
            <family val="2"/>
          </rPr>
          <t>Insert specific volumetric rate riders/adders as required (excluding DVA riders)</t>
        </r>
      </text>
    </comment>
    <comment ref="D174" authorId="0">
      <text>
        <r>
          <rPr>
            <b/>
            <sz val="10"/>
            <color indexed="81"/>
            <rFont val="Arial"/>
            <family val="2"/>
          </rPr>
          <t>Insert specific volumetric rate riders/adders as required (excluding DVA riders)</t>
        </r>
      </text>
    </comment>
    <comment ref="D178" authorId="0">
      <text>
        <r>
          <rPr>
            <b/>
            <sz val="8"/>
            <color indexed="81"/>
            <rFont val="Tahoma"/>
            <family val="2"/>
          </rPr>
          <t>Insert each specific Deferral/Variance Account Disposition Rate Rider(s) as required</t>
        </r>
      </text>
    </comment>
    <comment ref="D179" authorId="0">
      <text>
        <r>
          <rPr>
            <b/>
            <sz val="8"/>
            <color indexed="81"/>
            <rFont val="Tahoma"/>
            <family val="2"/>
          </rPr>
          <t>Insert each specific Deferral/Variance Account Disposition Rate Rider(s) as required</t>
        </r>
      </text>
    </comment>
    <comment ref="D231" authorId="0">
      <text>
        <r>
          <rPr>
            <b/>
            <sz val="10"/>
            <color indexed="81"/>
            <rFont val="Arial"/>
            <family val="2"/>
          </rPr>
          <t>Insert specific service charge rate adders/riders as required</t>
        </r>
      </text>
    </comment>
    <comment ref="D232" authorId="0">
      <text>
        <r>
          <rPr>
            <b/>
            <sz val="10"/>
            <color indexed="81"/>
            <rFont val="Arial"/>
            <family val="2"/>
          </rPr>
          <t>Insert specific service charge rate adders/riders</t>
        </r>
      </text>
    </comment>
    <comment ref="D233" authorId="0">
      <text>
        <r>
          <rPr>
            <b/>
            <sz val="10"/>
            <color indexed="81"/>
            <rFont val="Arial"/>
            <family val="2"/>
          </rPr>
          <t>Insert specific service charge rate adders/riders</t>
        </r>
      </text>
    </comment>
    <comment ref="D234" authorId="0">
      <text>
        <r>
          <rPr>
            <b/>
            <sz val="10"/>
            <color indexed="81"/>
            <rFont val="Arial"/>
            <family val="2"/>
          </rPr>
          <t>Insert specific service charge rate adders/riders</t>
        </r>
      </text>
    </comment>
    <comment ref="D238" authorId="0">
      <text>
        <r>
          <rPr>
            <b/>
            <sz val="10"/>
            <color indexed="81"/>
            <rFont val="Arial"/>
            <family val="2"/>
          </rPr>
          <t>Insert specific volumetric rate riders/adders as required (excluding DVA riders)</t>
        </r>
      </text>
    </comment>
    <comment ref="D239" authorId="0">
      <text>
        <r>
          <rPr>
            <b/>
            <sz val="10"/>
            <color indexed="81"/>
            <rFont val="Arial"/>
            <family val="2"/>
          </rPr>
          <t>Insert specific volumetric rate riders/adders as required (excluding DVA riders)</t>
        </r>
      </text>
    </comment>
    <comment ref="D240" authorId="0">
      <text>
        <r>
          <rPr>
            <b/>
            <sz val="10"/>
            <color indexed="81"/>
            <rFont val="Arial"/>
            <family val="2"/>
          </rPr>
          <t>Insert specific volumetric rate riders/adders as required (excluding DVA riders)</t>
        </r>
      </text>
    </comment>
    <comment ref="D241" authorId="0">
      <text>
        <r>
          <rPr>
            <b/>
            <sz val="10"/>
            <color indexed="81"/>
            <rFont val="Arial"/>
            <family val="2"/>
          </rPr>
          <t>Insert specific volumetric rate riders/adders as required (excluding DVA riders)</t>
        </r>
      </text>
    </comment>
    <comment ref="D242" authorId="0">
      <text>
        <r>
          <rPr>
            <b/>
            <sz val="10"/>
            <color indexed="81"/>
            <rFont val="Arial"/>
            <family val="2"/>
          </rPr>
          <t>Insert specific volumetric rate riders/adders as required (excluding DVA riders)</t>
        </r>
      </text>
    </comment>
    <comment ref="D243" authorId="0">
      <text>
        <r>
          <rPr>
            <b/>
            <sz val="10"/>
            <color indexed="81"/>
            <rFont val="Arial"/>
            <family val="2"/>
          </rPr>
          <t>Insert specific volumetric rate riders/adders as required (excluding DVA riders)</t>
        </r>
      </text>
    </comment>
    <comment ref="D244" authorId="0">
      <text>
        <r>
          <rPr>
            <b/>
            <sz val="10"/>
            <color indexed="81"/>
            <rFont val="Arial"/>
            <family val="2"/>
          </rPr>
          <t>Insert specific volumetric rate riders/adders as required (excluding DVA riders)</t>
        </r>
      </text>
    </comment>
    <comment ref="D247" authorId="0">
      <text>
        <r>
          <rPr>
            <b/>
            <sz val="8"/>
            <color indexed="81"/>
            <rFont val="Tahoma"/>
            <family val="2"/>
          </rPr>
          <t>Insert each specific Deferral/Variance Account Disposition Rate Rider(s) as required</t>
        </r>
      </text>
    </comment>
    <comment ref="D248" authorId="0">
      <text>
        <r>
          <rPr>
            <b/>
            <sz val="8"/>
            <color indexed="81"/>
            <rFont val="Tahoma"/>
            <family val="2"/>
          </rPr>
          <t>Insert each specific Deferral/Variance Account Disposition Rate Rider(s) as required</t>
        </r>
      </text>
    </comment>
    <comment ref="D249" authorId="0">
      <text>
        <r>
          <rPr>
            <b/>
            <sz val="8"/>
            <color indexed="81"/>
            <rFont val="Tahoma"/>
            <family val="2"/>
          </rPr>
          <t>Insert each specific Deferral/Variance Account Disposition Rate Rider(s) as required</t>
        </r>
      </text>
    </comment>
    <comment ref="D301" authorId="0">
      <text>
        <r>
          <rPr>
            <b/>
            <sz val="10"/>
            <color indexed="81"/>
            <rFont val="Arial"/>
            <family val="2"/>
          </rPr>
          <t>Insert specific service charge rate adders/riders as required</t>
        </r>
      </text>
    </comment>
    <comment ref="D302" authorId="0">
      <text>
        <r>
          <rPr>
            <b/>
            <sz val="10"/>
            <color indexed="81"/>
            <rFont val="Arial"/>
            <family val="2"/>
          </rPr>
          <t>Insert specific service charge rate adders/riders</t>
        </r>
      </text>
    </comment>
    <comment ref="D303" authorId="0">
      <text>
        <r>
          <rPr>
            <b/>
            <sz val="10"/>
            <color indexed="81"/>
            <rFont val="Arial"/>
            <family val="2"/>
          </rPr>
          <t>Insert specific service charge rate adders/riders</t>
        </r>
      </text>
    </comment>
    <comment ref="D304" authorId="0">
      <text>
        <r>
          <rPr>
            <b/>
            <sz val="10"/>
            <color indexed="81"/>
            <rFont val="Arial"/>
            <family val="2"/>
          </rPr>
          <t>Insert specific service charge rate adders/riders</t>
        </r>
      </text>
    </comment>
    <comment ref="D308" authorId="0">
      <text>
        <r>
          <rPr>
            <b/>
            <sz val="10"/>
            <color indexed="81"/>
            <rFont val="Arial"/>
            <family val="2"/>
          </rPr>
          <t>Insert specific volumetric rate riders/adders as required (excluding DVA riders)</t>
        </r>
      </text>
    </comment>
    <comment ref="D309" authorId="0">
      <text>
        <r>
          <rPr>
            <b/>
            <sz val="10"/>
            <color indexed="81"/>
            <rFont val="Arial"/>
            <family val="2"/>
          </rPr>
          <t>Insert specific volumetric rate riders/adders as required (excluding DVA riders)</t>
        </r>
      </text>
    </comment>
    <comment ref="D310" authorId="0">
      <text>
        <r>
          <rPr>
            <b/>
            <sz val="10"/>
            <color indexed="81"/>
            <rFont val="Arial"/>
            <family val="2"/>
          </rPr>
          <t>Insert specific volumetric rate riders/adders as required (excluding DVA riders)</t>
        </r>
      </text>
    </comment>
    <comment ref="D311" authorId="0">
      <text>
        <r>
          <rPr>
            <b/>
            <sz val="10"/>
            <color indexed="81"/>
            <rFont val="Arial"/>
            <family val="2"/>
          </rPr>
          <t>Insert specific volumetric rate riders/adders as required (excluding DVA riders)</t>
        </r>
      </text>
    </comment>
    <comment ref="D312" authorId="0">
      <text>
        <r>
          <rPr>
            <b/>
            <sz val="10"/>
            <color indexed="81"/>
            <rFont val="Arial"/>
            <family val="2"/>
          </rPr>
          <t>Insert specific volumetric rate riders/adders as required (excluding DVA riders)</t>
        </r>
      </text>
    </comment>
    <comment ref="D313" authorId="0">
      <text>
        <r>
          <rPr>
            <b/>
            <sz val="10"/>
            <color indexed="81"/>
            <rFont val="Arial"/>
            <family val="2"/>
          </rPr>
          <t>Insert specific volumetric rate riders/adders as required (excluding DVA riders)</t>
        </r>
      </text>
    </comment>
    <comment ref="D314" authorId="0">
      <text>
        <r>
          <rPr>
            <b/>
            <sz val="10"/>
            <color indexed="81"/>
            <rFont val="Arial"/>
            <family val="2"/>
          </rPr>
          <t>Insert specific volumetric rate riders/adders as required (excluding DVA riders)</t>
        </r>
      </text>
    </comment>
    <comment ref="D317" authorId="0">
      <text>
        <r>
          <rPr>
            <b/>
            <sz val="8"/>
            <color indexed="81"/>
            <rFont val="Tahoma"/>
            <family val="2"/>
          </rPr>
          <t>Insert each specific Deferral/Variance Account Disposition Rate Rider(s) as required</t>
        </r>
      </text>
    </comment>
    <comment ref="D318" authorId="0">
      <text>
        <r>
          <rPr>
            <b/>
            <sz val="8"/>
            <color indexed="81"/>
            <rFont val="Tahoma"/>
            <family val="2"/>
          </rPr>
          <t>Insert each specific Deferral/Variance Account Disposition Rate Rider(s) as required</t>
        </r>
      </text>
    </comment>
    <comment ref="D319" authorId="0">
      <text>
        <r>
          <rPr>
            <b/>
            <sz val="8"/>
            <color indexed="81"/>
            <rFont val="Tahoma"/>
            <family val="2"/>
          </rPr>
          <t>Insert each specific Deferral/Variance Account Disposition Rate Rider(s) as required</t>
        </r>
      </text>
    </comment>
    <comment ref="D371" authorId="0">
      <text>
        <r>
          <rPr>
            <b/>
            <sz val="10"/>
            <color indexed="81"/>
            <rFont val="Arial"/>
            <family val="2"/>
          </rPr>
          <t>Insert specific service charge rate adders/riders as required</t>
        </r>
      </text>
    </comment>
    <comment ref="D372" authorId="0">
      <text>
        <r>
          <rPr>
            <b/>
            <sz val="10"/>
            <color indexed="81"/>
            <rFont val="Arial"/>
            <family val="2"/>
          </rPr>
          <t>Insert specific service charge rate adders/riders</t>
        </r>
      </text>
    </comment>
    <comment ref="D373" authorId="0">
      <text>
        <r>
          <rPr>
            <b/>
            <sz val="10"/>
            <color indexed="81"/>
            <rFont val="Arial"/>
            <family val="2"/>
          </rPr>
          <t>Insert specific service charge rate adders/riders</t>
        </r>
      </text>
    </comment>
    <comment ref="D374" authorId="0">
      <text>
        <r>
          <rPr>
            <b/>
            <sz val="10"/>
            <color indexed="81"/>
            <rFont val="Arial"/>
            <family val="2"/>
          </rPr>
          <t>Insert specific service charge rate adders/riders</t>
        </r>
      </text>
    </comment>
    <comment ref="D378" authorId="0">
      <text>
        <r>
          <rPr>
            <b/>
            <sz val="10"/>
            <color indexed="81"/>
            <rFont val="Arial"/>
            <family val="2"/>
          </rPr>
          <t>Insert specific volumetric rate riders/adders as required (excluding DVA riders)</t>
        </r>
      </text>
    </comment>
    <comment ref="D379" authorId="0">
      <text>
        <r>
          <rPr>
            <b/>
            <sz val="10"/>
            <color indexed="81"/>
            <rFont val="Arial"/>
            <family val="2"/>
          </rPr>
          <t>Insert specific volumetric rate riders/adders as required (excluding DVA riders)</t>
        </r>
      </text>
    </comment>
    <comment ref="D380" authorId="0">
      <text>
        <r>
          <rPr>
            <b/>
            <sz val="10"/>
            <color indexed="81"/>
            <rFont val="Arial"/>
            <family val="2"/>
          </rPr>
          <t>Insert specific volumetric rate riders/adders as required (excluding DVA riders)</t>
        </r>
      </text>
    </comment>
    <comment ref="D381" authorId="0">
      <text>
        <r>
          <rPr>
            <b/>
            <sz val="10"/>
            <color indexed="81"/>
            <rFont val="Arial"/>
            <family val="2"/>
          </rPr>
          <t>Insert specific volumetric rate riders/adders as required (excluding DVA riders)</t>
        </r>
      </text>
    </comment>
    <comment ref="D382" authorId="0">
      <text>
        <r>
          <rPr>
            <b/>
            <sz val="10"/>
            <color indexed="81"/>
            <rFont val="Arial"/>
            <family val="2"/>
          </rPr>
          <t>Insert specific volumetric rate riders/adders as required (excluding DVA riders)</t>
        </r>
      </text>
    </comment>
    <comment ref="D383" authorId="0">
      <text>
        <r>
          <rPr>
            <b/>
            <sz val="10"/>
            <color indexed="81"/>
            <rFont val="Arial"/>
            <family val="2"/>
          </rPr>
          <t>Insert specific volumetric rate riders/adders as required (excluding DVA riders)</t>
        </r>
      </text>
    </comment>
    <comment ref="D384" authorId="0">
      <text>
        <r>
          <rPr>
            <b/>
            <sz val="10"/>
            <color indexed="81"/>
            <rFont val="Arial"/>
            <family val="2"/>
          </rPr>
          <t>Insert specific volumetric rate riders/adders as required (excluding DVA riders)</t>
        </r>
      </text>
    </comment>
    <comment ref="D387" authorId="0">
      <text>
        <r>
          <rPr>
            <b/>
            <sz val="8"/>
            <color indexed="81"/>
            <rFont val="Tahoma"/>
            <family val="2"/>
          </rPr>
          <t>Insert each specific Deferral/Variance Account Disposition Rate Rider(s) as required</t>
        </r>
      </text>
    </comment>
    <comment ref="D388" authorId="0">
      <text>
        <r>
          <rPr>
            <b/>
            <sz val="8"/>
            <color indexed="81"/>
            <rFont val="Tahoma"/>
            <family val="2"/>
          </rPr>
          <t>Insert each specific Deferral/Variance Account Disposition Rate Rider(s) as required</t>
        </r>
      </text>
    </comment>
    <comment ref="D389" authorId="0">
      <text>
        <r>
          <rPr>
            <b/>
            <sz val="8"/>
            <color indexed="81"/>
            <rFont val="Tahoma"/>
            <family val="2"/>
          </rPr>
          <t>Insert each specific Deferral/Variance Account Disposition Rate Rider(s) as required</t>
        </r>
      </text>
    </comment>
    <comment ref="D441" authorId="0">
      <text>
        <r>
          <rPr>
            <b/>
            <sz val="10"/>
            <color indexed="81"/>
            <rFont val="Arial"/>
            <family val="2"/>
          </rPr>
          <t>Insert specific service charge rate adders/riders as required</t>
        </r>
      </text>
    </comment>
    <comment ref="D442" authorId="0">
      <text>
        <r>
          <rPr>
            <b/>
            <sz val="10"/>
            <color indexed="81"/>
            <rFont val="Arial"/>
            <family val="2"/>
          </rPr>
          <t>Insert specific service charge rate adders/riders</t>
        </r>
      </text>
    </comment>
    <comment ref="D443" authorId="0">
      <text>
        <r>
          <rPr>
            <b/>
            <sz val="10"/>
            <color indexed="81"/>
            <rFont val="Arial"/>
            <family val="2"/>
          </rPr>
          <t>Insert specific service charge rate adders/riders</t>
        </r>
      </text>
    </comment>
    <comment ref="D444" authorId="0">
      <text>
        <r>
          <rPr>
            <b/>
            <sz val="10"/>
            <color indexed="81"/>
            <rFont val="Arial"/>
            <family val="2"/>
          </rPr>
          <t>Insert specific service charge rate adders/riders</t>
        </r>
      </text>
    </comment>
    <comment ref="D448" authorId="0">
      <text>
        <r>
          <rPr>
            <b/>
            <sz val="10"/>
            <color indexed="81"/>
            <rFont val="Arial"/>
            <family val="2"/>
          </rPr>
          <t>Insert specific volumetric rate riders/adders as required (excluding DVA riders)</t>
        </r>
      </text>
    </comment>
    <comment ref="D449" authorId="0">
      <text>
        <r>
          <rPr>
            <b/>
            <sz val="10"/>
            <color indexed="81"/>
            <rFont val="Arial"/>
            <family val="2"/>
          </rPr>
          <t>Insert specific volumetric rate riders/adders as required (excluding DVA riders)</t>
        </r>
      </text>
    </comment>
    <comment ref="D450" authorId="0">
      <text>
        <r>
          <rPr>
            <b/>
            <sz val="10"/>
            <color indexed="81"/>
            <rFont val="Arial"/>
            <family val="2"/>
          </rPr>
          <t>Insert specific volumetric rate riders/adders as required (excluding DVA riders)</t>
        </r>
      </text>
    </comment>
    <comment ref="D451" authorId="0">
      <text>
        <r>
          <rPr>
            <b/>
            <sz val="10"/>
            <color indexed="81"/>
            <rFont val="Arial"/>
            <family val="2"/>
          </rPr>
          <t>Insert specific volumetric rate riders/adders as required (excluding DVA riders)</t>
        </r>
      </text>
    </comment>
    <comment ref="D452" authorId="0">
      <text>
        <r>
          <rPr>
            <b/>
            <sz val="10"/>
            <color indexed="81"/>
            <rFont val="Arial"/>
            <family val="2"/>
          </rPr>
          <t>Insert specific volumetric rate riders/adders as required (excluding DVA riders)</t>
        </r>
      </text>
    </comment>
    <comment ref="D453" authorId="0">
      <text>
        <r>
          <rPr>
            <b/>
            <sz val="10"/>
            <color indexed="81"/>
            <rFont val="Arial"/>
            <family val="2"/>
          </rPr>
          <t>Insert specific volumetric rate riders/adders as required (excluding DVA riders)</t>
        </r>
      </text>
    </comment>
    <comment ref="D454" authorId="0">
      <text>
        <r>
          <rPr>
            <b/>
            <sz val="10"/>
            <color indexed="81"/>
            <rFont val="Arial"/>
            <family val="2"/>
          </rPr>
          <t>Insert specific volumetric rate riders/adders as required (excluding DVA riders)</t>
        </r>
      </text>
    </comment>
    <comment ref="D458" authorId="0">
      <text>
        <r>
          <rPr>
            <b/>
            <sz val="8"/>
            <color indexed="81"/>
            <rFont val="Tahoma"/>
            <family val="2"/>
          </rPr>
          <t>Insert each specific Deferral/Variance Account Disposition Rate Rider(s) as required</t>
        </r>
      </text>
    </comment>
    <comment ref="D459" authorId="0">
      <text>
        <r>
          <rPr>
            <b/>
            <sz val="8"/>
            <color indexed="81"/>
            <rFont val="Tahoma"/>
            <family val="2"/>
          </rPr>
          <t>Insert each specific Deferral/Variance Account Disposition Rate Rider(s) as required</t>
        </r>
      </text>
    </comment>
    <comment ref="D511" authorId="0">
      <text>
        <r>
          <rPr>
            <b/>
            <sz val="10"/>
            <color indexed="81"/>
            <rFont val="Arial"/>
            <family val="2"/>
          </rPr>
          <t>Insert specific service charge rate adders/riders as required</t>
        </r>
      </text>
    </comment>
    <comment ref="D512" authorId="0">
      <text>
        <r>
          <rPr>
            <b/>
            <sz val="10"/>
            <color indexed="81"/>
            <rFont val="Arial"/>
            <family val="2"/>
          </rPr>
          <t>Insert specific service charge rate adders/riders</t>
        </r>
      </text>
    </comment>
    <comment ref="D513" authorId="0">
      <text>
        <r>
          <rPr>
            <b/>
            <sz val="10"/>
            <color indexed="81"/>
            <rFont val="Arial"/>
            <family val="2"/>
          </rPr>
          <t>Insert specific service charge rate adders/riders</t>
        </r>
      </text>
    </comment>
    <comment ref="D514" authorId="0">
      <text>
        <r>
          <rPr>
            <b/>
            <sz val="10"/>
            <color indexed="81"/>
            <rFont val="Arial"/>
            <family val="2"/>
          </rPr>
          <t>Insert specific service charge rate adders/riders</t>
        </r>
      </text>
    </comment>
    <comment ref="D518" authorId="0">
      <text>
        <r>
          <rPr>
            <b/>
            <sz val="10"/>
            <color indexed="81"/>
            <rFont val="Arial"/>
            <family val="2"/>
          </rPr>
          <t>Insert specific volumetric rate riders/adders as required (excluding DVA riders)</t>
        </r>
      </text>
    </comment>
    <comment ref="D519" authorId="0">
      <text>
        <r>
          <rPr>
            <b/>
            <sz val="10"/>
            <color indexed="81"/>
            <rFont val="Arial"/>
            <family val="2"/>
          </rPr>
          <t>Insert specific volumetric rate riders/adders as required (excluding DVA riders)</t>
        </r>
      </text>
    </comment>
    <comment ref="D520" authorId="0">
      <text>
        <r>
          <rPr>
            <b/>
            <sz val="10"/>
            <color indexed="81"/>
            <rFont val="Arial"/>
            <family val="2"/>
          </rPr>
          <t>Insert specific volumetric rate riders/adders as required (excluding DVA riders)</t>
        </r>
      </text>
    </comment>
    <comment ref="D521" authorId="0">
      <text>
        <r>
          <rPr>
            <b/>
            <sz val="10"/>
            <color indexed="81"/>
            <rFont val="Arial"/>
            <family val="2"/>
          </rPr>
          <t>Insert specific volumetric rate riders/adders as required (excluding DVA riders)</t>
        </r>
      </text>
    </comment>
    <comment ref="D522" authorId="0">
      <text>
        <r>
          <rPr>
            <b/>
            <sz val="10"/>
            <color indexed="81"/>
            <rFont val="Arial"/>
            <family val="2"/>
          </rPr>
          <t>Insert specific volumetric rate riders/adders as required (excluding DVA riders)</t>
        </r>
      </text>
    </comment>
    <comment ref="D523" authorId="0">
      <text>
        <r>
          <rPr>
            <b/>
            <sz val="10"/>
            <color indexed="81"/>
            <rFont val="Arial"/>
            <family val="2"/>
          </rPr>
          <t>Insert specific volumetric rate riders/adders as required (excluding DVA riders)</t>
        </r>
      </text>
    </comment>
    <comment ref="D524" authorId="0">
      <text>
        <r>
          <rPr>
            <b/>
            <sz val="10"/>
            <color indexed="81"/>
            <rFont val="Arial"/>
            <family val="2"/>
          </rPr>
          <t>Insert specific volumetric rate riders/adders as required (excluding DVA riders)</t>
        </r>
      </text>
    </comment>
    <comment ref="D527" authorId="0">
      <text>
        <r>
          <rPr>
            <b/>
            <sz val="8"/>
            <color indexed="81"/>
            <rFont val="Tahoma"/>
            <family val="2"/>
          </rPr>
          <t>Insert each specific Deferral/Variance Account Disposition Rate Rider(s) as required</t>
        </r>
      </text>
    </comment>
    <comment ref="D528" authorId="0">
      <text>
        <r>
          <rPr>
            <b/>
            <sz val="8"/>
            <color indexed="81"/>
            <rFont val="Tahoma"/>
            <family val="2"/>
          </rPr>
          <t>Insert each specific Deferral/Variance Account Disposition Rate Rider(s) as required</t>
        </r>
      </text>
    </comment>
    <comment ref="D529" authorId="0">
      <text>
        <r>
          <rPr>
            <b/>
            <sz val="8"/>
            <color indexed="81"/>
            <rFont val="Tahoma"/>
            <family val="2"/>
          </rPr>
          <t>Insert each specific Deferral/Variance Account Disposition Rate Rider(s) as required</t>
        </r>
      </text>
    </comment>
    <comment ref="D581" authorId="0">
      <text>
        <r>
          <rPr>
            <b/>
            <sz val="10"/>
            <color indexed="81"/>
            <rFont val="Arial"/>
            <family val="2"/>
          </rPr>
          <t>Insert specific service charge rate adders/riders as required</t>
        </r>
      </text>
    </comment>
    <comment ref="D582" authorId="0">
      <text>
        <r>
          <rPr>
            <b/>
            <sz val="10"/>
            <color indexed="81"/>
            <rFont val="Arial"/>
            <family val="2"/>
          </rPr>
          <t>Insert specific service charge rate adders/riders</t>
        </r>
      </text>
    </comment>
    <comment ref="D583" authorId="0">
      <text>
        <r>
          <rPr>
            <b/>
            <sz val="10"/>
            <color indexed="81"/>
            <rFont val="Arial"/>
            <family val="2"/>
          </rPr>
          <t>Insert specific service charge rate adders/riders</t>
        </r>
      </text>
    </comment>
    <comment ref="D584" authorId="0">
      <text>
        <r>
          <rPr>
            <b/>
            <sz val="10"/>
            <color indexed="81"/>
            <rFont val="Arial"/>
            <family val="2"/>
          </rPr>
          <t>Insert specific service charge rate adders/riders</t>
        </r>
      </text>
    </comment>
    <comment ref="D588" authorId="0">
      <text>
        <r>
          <rPr>
            <b/>
            <sz val="10"/>
            <color indexed="81"/>
            <rFont val="Arial"/>
            <family val="2"/>
          </rPr>
          <t>Insert specific volumetric rate riders/adders as required (excluding DVA riders)</t>
        </r>
      </text>
    </comment>
    <comment ref="D589" authorId="0">
      <text>
        <r>
          <rPr>
            <b/>
            <sz val="10"/>
            <color indexed="81"/>
            <rFont val="Arial"/>
            <family val="2"/>
          </rPr>
          <t>Insert specific volumetric rate riders/adders as required (excluding DVA riders)</t>
        </r>
      </text>
    </comment>
    <comment ref="D590" authorId="0">
      <text>
        <r>
          <rPr>
            <b/>
            <sz val="10"/>
            <color indexed="81"/>
            <rFont val="Arial"/>
            <family val="2"/>
          </rPr>
          <t>Insert specific volumetric rate riders/adders as required (excluding DVA riders)</t>
        </r>
      </text>
    </comment>
    <comment ref="D591" authorId="0">
      <text>
        <r>
          <rPr>
            <b/>
            <sz val="10"/>
            <color indexed="81"/>
            <rFont val="Arial"/>
            <family val="2"/>
          </rPr>
          <t>Insert specific volumetric rate riders/adders as required (excluding DVA riders)</t>
        </r>
      </text>
    </comment>
    <comment ref="D592" authorId="0">
      <text>
        <r>
          <rPr>
            <b/>
            <sz val="10"/>
            <color indexed="81"/>
            <rFont val="Arial"/>
            <family val="2"/>
          </rPr>
          <t>Insert specific volumetric rate riders/adders as required (excluding DVA riders)</t>
        </r>
      </text>
    </comment>
    <comment ref="D593" authorId="0">
      <text>
        <r>
          <rPr>
            <b/>
            <sz val="10"/>
            <color indexed="81"/>
            <rFont val="Arial"/>
            <family val="2"/>
          </rPr>
          <t>Insert specific volumetric rate riders/adders as required (excluding DVA riders)</t>
        </r>
      </text>
    </comment>
    <comment ref="D594" authorId="0">
      <text>
        <r>
          <rPr>
            <b/>
            <sz val="10"/>
            <color indexed="81"/>
            <rFont val="Arial"/>
            <family val="2"/>
          </rPr>
          <t>Insert specific volumetric rate riders/adders as required (excluding DVA riders)</t>
        </r>
      </text>
    </comment>
    <comment ref="D597" authorId="0">
      <text>
        <r>
          <rPr>
            <b/>
            <sz val="8"/>
            <color indexed="81"/>
            <rFont val="Tahoma"/>
            <family val="2"/>
          </rPr>
          <t>Insert each specific Deferral/Variance Account Disposition Rate Rider(s) as required</t>
        </r>
      </text>
    </comment>
    <comment ref="D598" authorId="0">
      <text>
        <r>
          <rPr>
            <b/>
            <sz val="8"/>
            <color indexed="81"/>
            <rFont val="Tahoma"/>
            <family val="2"/>
          </rPr>
          <t>Insert each specific Deferral/Variance Account Disposition Rate Rider(s) as required</t>
        </r>
      </text>
    </comment>
    <comment ref="D599" authorId="0">
      <text>
        <r>
          <rPr>
            <b/>
            <sz val="8"/>
            <color indexed="81"/>
            <rFont val="Tahoma"/>
            <family val="2"/>
          </rPr>
          <t>Insert each specific Deferral/Variance Account Disposition Rate Rider(s) as required</t>
        </r>
      </text>
    </comment>
  </commentList>
</comments>
</file>

<file path=xl/comments4.xml><?xml version="1.0" encoding="utf-8"?>
<comments xmlns="http://schemas.openxmlformats.org/spreadsheetml/2006/main">
  <authors>
    <author>Marc Abramovitz</author>
  </authors>
  <commentList>
    <comment ref="D15" authorId="0">
      <text>
        <r>
          <rPr>
            <b/>
            <sz val="10"/>
            <color indexed="81"/>
            <rFont val="Arial"/>
            <family val="2"/>
          </rPr>
          <t>Insert specific service charge rate adders/riders as required</t>
        </r>
      </text>
    </comment>
    <comment ref="D16" authorId="0">
      <text>
        <r>
          <rPr>
            <b/>
            <sz val="10"/>
            <color indexed="81"/>
            <rFont val="Arial"/>
            <family val="2"/>
          </rPr>
          <t>Insert specific service charge rate adders/riders</t>
        </r>
      </text>
    </comment>
    <comment ref="D17" authorId="0">
      <text>
        <r>
          <rPr>
            <b/>
            <sz val="10"/>
            <color indexed="81"/>
            <rFont val="Arial"/>
            <family val="2"/>
          </rPr>
          <t>Insert specific service charge rate adders/riders</t>
        </r>
      </text>
    </comment>
    <comment ref="D18" authorId="0">
      <text>
        <r>
          <rPr>
            <b/>
            <sz val="10"/>
            <color indexed="81"/>
            <rFont val="Arial"/>
            <family val="2"/>
          </rPr>
          <t>Insert specific service charge rate adders/riders</t>
        </r>
      </text>
    </comment>
    <comment ref="D22" authorId="0">
      <text>
        <r>
          <rPr>
            <b/>
            <sz val="10"/>
            <color indexed="81"/>
            <rFont val="Arial"/>
            <family val="2"/>
          </rPr>
          <t>Insert specific volumetric rate riders/adders as required (excluding DVA riders)</t>
        </r>
      </text>
    </comment>
    <comment ref="D23" authorId="0">
      <text>
        <r>
          <rPr>
            <b/>
            <sz val="10"/>
            <color indexed="81"/>
            <rFont val="Arial"/>
            <family val="2"/>
          </rPr>
          <t>Insert specific volumetric rate riders/adders as required (excluding DVA riders)</t>
        </r>
      </text>
    </comment>
    <comment ref="D24" authorId="0">
      <text>
        <r>
          <rPr>
            <b/>
            <sz val="10"/>
            <color indexed="81"/>
            <rFont val="Arial"/>
            <family val="2"/>
          </rPr>
          <t>Insert specific volumetric rate riders/adders as required (excluding DVA riders)</t>
        </r>
      </text>
    </comment>
    <comment ref="D25" authorId="0">
      <text>
        <r>
          <rPr>
            <b/>
            <sz val="10"/>
            <color indexed="81"/>
            <rFont val="Arial"/>
            <family val="2"/>
          </rPr>
          <t>Insert specific volumetric rate riders/adders as required (excluding DVA riders)</t>
        </r>
      </text>
    </comment>
    <comment ref="D26" authorId="0">
      <text>
        <r>
          <rPr>
            <b/>
            <sz val="10"/>
            <color indexed="81"/>
            <rFont val="Arial"/>
            <family val="2"/>
          </rPr>
          <t>Insert specific volumetric rate riders/adders as required (excluding DVA riders)</t>
        </r>
      </text>
    </comment>
    <comment ref="D27" authorId="0">
      <text>
        <r>
          <rPr>
            <b/>
            <sz val="10"/>
            <color indexed="81"/>
            <rFont val="Arial"/>
            <family val="2"/>
          </rPr>
          <t>Insert specific volumetric rate riders/adders as required (excluding DVA riders)</t>
        </r>
      </text>
    </comment>
    <comment ref="D28" authorId="0">
      <text>
        <r>
          <rPr>
            <b/>
            <sz val="10"/>
            <color indexed="81"/>
            <rFont val="Arial"/>
            <family val="2"/>
          </rPr>
          <t>Insert specific volumetric rate riders/adders as required (excluding DVA riders)</t>
        </r>
      </text>
    </comment>
    <comment ref="D31" authorId="0">
      <text>
        <r>
          <rPr>
            <b/>
            <sz val="8"/>
            <color indexed="81"/>
            <rFont val="Tahoma"/>
            <family val="2"/>
          </rPr>
          <t>Insert each specific Deferral/Variance Account Disposition Rate Rider(s) as required</t>
        </r>
      </text>
    </comment>
    <comment ref="D32" authorId="0">
      <text>
        <r>
          <rPr>
            <b/>
            <sz val="8"/>
            <color indexed="81"/>
            <rFont val="Tahoma"/>
            <family val="2"/>
          </rPr>
          <t>Insert each specific Deferral/Variance Account Disposition Rate Rider(s) as required</t>
        </r>
      </text>
    </comment>
    <comment ref="D33" authorId="0">
      <text>
        <r>
          <rPr>
            <b/>
            <sz val="8"/>
            <color indexed="81"/>
            <rFont val="Tahoma"/>
            <family val="2"/>
          </rPr>
          <t>Insert each specific Deferral/Variance Account Disposition Rate Rider(s) as required</t>
        </r>
      </text>
    </comment>
  </commentList>
</comments>
</file>

<file path=xl/sharedStrings.xml><?xml version="1.0" encoding="utf-8"?>
<sst xmlns="http://schemas.openxmlformats.org/spreadsheetml/2006/main" count="7717" uniqueCount="2464">
  <si>
    <t>Total Compensation (Salary, Wages, &amp; Benefits)</t>
  </si>
  <si>
    <t>Total Benefits (Current + Accrued)</t>
  </si>
  <si>
    <t>Employee Costs</t>
  </si>
  <si>
    <t>Depreciation and Amortization Expense</t>
  </si>
  <si>
    <t>Account</t>
  </si>
  <si>
    <t>(a)</t>
  </si>
  <si>
    <t>(d)</t>
  </si>
  <si>
    <t>Years</t>
  </si>
  <si>
    <t>(f)</t>
  </si>
  <si>
    <t>(g) = 1 / (f)</t>
  </si>
  <si>
    <t>Depreciation Expense</t>
  </si>
  <si>
    <t>(h) = (e) / (f)</t>
  </si>
  <si>
    <t>(2)</t>
  </si>
  <si>
    <t>Notes:</t>
  </si>
  <si>
    <t>Consumption</t>
  </si>
  <si>
    <t>Current Board-Approved</t>
  </si>
  <si>
    <t>Proposed</t>
  </si>
  <si>
    <t>Impact</t>
  </si>
  <si>
    <t>Charge Unit</t>
  </si>
  <si>
    <t>Rate</t>
  </si>
  <si>
    <t>Volume</t>
  </si>
  <si>
    <t>Charge</t>
  </si>
  <si>
    <t>$ Change</t>
  </si>
  <si>
    <t>% Change</t>
  </si>
  <si>
    <t>Monthly Service Charge</t>
  </si>
  <si>
    <t>Smart Meter Rate Adder</t>
  </si>
  <si>
    <t>Distribution Volumetric Rate</t>
  </si>
  <si>
    <t>Smart Meter Disposition Rider</t>
  </si>
  <si>
    <t>LRAM &amp; SSM Rate Rider</t>
  </si>
  <si>
    <t>Deferral/Variance Account Disposition Rate Rider</t>
  </si>
  <si>
    <t>RTSR - Network</t>
  </si>
  <si>
    <t>RTSR - Line and Transformation Connection</t>
  </si>
  <si>
    <t>Wholesale Market Service Charge (WMSC)</t>
  </si>
  <si>
    <t>Rural and Remote Rate Protection (RRRP)</t>
  </si>
  <si>
    <t>Standard Supply Service Charge</t>
  </si>
  <si>
    <t>Debt Retirement Charge (DRC)</t>
  </si>
  <si>
    <t>HST</t>
  </si>
  <si>
    <t>Customer Class:</t>
  </si>
  <si>
    <t>Appendix 2-V</t>
  </si>
  <si>
    <t>Year</t>
  </si>
  <si>
    <t>Gross Asset Value</t>
  </si>
  <si>
    <t>Accumulated Amortization</t>
  </si>
  <si>
    <t>Net Asset</t>
  </si>
  <si>
    <t>Proceeds on Disposition</t>
  </si>
  <si>
    <t>Residual Net Book Value</t>
  </si>
  <si>
    <t>(A)</t>
  </si>
  <si>
    <t>(B)</t>
  </si>
  <si>
    <t>(D)</t>
  </si>
  <si>
    <t>(E)</t>
  </si>
  <si>
    <t>Capital Projects Table</t>
  </si>
  <si>
    <t>Year:</t>
  </si>
  <si>
    <t>USoA #</t>
  </si>
  <si>
    <t>Other Operating Revenue</t>
  </si>
  <si>
    <t>Specific Service Charges</t>
  </si>
  <si>
    <t>Late Payment Charges</t>
  </si>
  <si>
    <t>Retail Services Revenues</t>
  </si>
  <si>
    <t>Appendix 2-M</t>
  </si>
  <si>
    <t>Appendix 2-N</t>
  </si>
  <si>
    <t>Appendix 2-Q</t>
  </si>
  <si>
    <t>Bill Impacts</t>
  </si>
  <si>
    <t>(3)</t>
  </si>
  <si>
    <t>(4)</t>
  </si>
  <si>
    <t>(5)</t>
  </si>
  <si>
    <t>(6) = '(3) + (4)</t>
  </si>
  <si>
    <t>Asset Class</t>
  </si>
  <si>
    <t>Distribution Stations</t>
  </si>
  <si>
    <t>(7)</t>
  </si>
  <si>
    <t>(8)</t>
  </si>
  <si>
    <t>(9)</t>
  </si>
  <si>
    <t>(10)</t>
  </si>
  <si>
    <t>(11)</t>
  </si>
  <si>
    <t>Total line length or station capacity in asset class</t>
  </si>
  <si>
    <t>kW or kVa; km</t>
  </si>
  <si>
    <t>kW or kVA; km</t>
  </si>
  <si>
    <t>kW or kVA</t>
  </si>
  <si>
    <t>percent</t>
  </si>
  <si>
    <t>(12)</t>
  </si>
  <si>
    <t>(12a)</t>
  </si>
  <si>
    <t>(13)</t>
  </si>
  <si>
    <t>(14)</t>
  </si>
  <si>
    <t>(15)</t>
  </si>
  <si>
    <t>Return on Assets used to Provide LV services</t>
  </si>
  <si>
    <t>Taxes/PILs</t>
  </si>
  <si>
    <t>Annual amortization on assets used to provide LV services</t>
  </si>
  <si>
    <t>OM&amp;A costs with burden associated with assets used to provide LV services</t>
  </si>
  <si>
    <t>Total annual cost associated with assets used to provide LV services</t>
  </si>
  <si>
    <t>$/kW or $/kVA</t>
  </si>
  <si>
    <t>(17)</t>
  </si>
  <si>
    <t>(18)</t>
  </si>
  <si>
    <t>(19)</t>
  </si>
  <si>
    <t>(21)</t>
  </si>
  <si>
    <t>Capital Structure</t>
  </si>
  <si>
    <t>Long-Term Debt</t>
  </si>
  <si>
    <t>Weighted Average Cost of Capital</t>
  </si>
  <si>
    <t>Short-term Debt</t>
  </si>
  <si>
    <t>Common Equity</t>
  </si>
  <si>
    <t>Tax/PILs Rate</t>
  </si>
  <si>
    <t>Preferred Shares</t>
  </si>
  <si>
    <t>Working Capital Allowance Factor</t>
  </si>
  <si>
    <t>Rate Class</t>
  </si>
  <si>
    <t>Customers/ Connections</t>
  </si>
  <si>
    <t>Number of Customers/Connections</t>
  </si>
  <si>
    <t>Test Year Consumption</t>
  </si>
  <si>
    <t>Proposed Rates</t>
  </si>
  <si>
    <t>Revenues at Proposed Rates</t>
  </si>
  <si>
    <t>Transformer Allowance Credit</t>
  </si>
  <si>
    <t>Difference</t>
  </si>
  <si>
    <t>Start of Test Year</t>
  </si>
  <si>
    <t>End of Test Year</t>
  </si>
  <si>
    <t>Average</t>
  </si>
  <si>
    <t>kWh</t>
  </si>
  <si>
    <t>kW</t>
  </si>
  <si>
    <t>Volumetric</t>
  </si>
  <si>
    <t>Residential</t>
  </si>
  <si>
    <t>GS &lt; 50 kW</t>
  </si>
  <si>
    <t>Large Use</t>
  </si>
  <si>
    <t>Streetlighting</t>
  </si>
  <si>
    <t>Sentinel Lighting</t>
  </si>
  <si>
    <t>Unmetered Scattered Load</t>
  </si>
  <si>
    <t>4305, 4310, 4315, 4320, 4325, 4330, 4335, 4340, 4345, 4350, 4355, 4360, 4365, 4370, 4375, 4380, 4385, 4390, 4395, 4398, 4405, 4415</t>
  </si>
  <si>
    <r>
      <t xml:space="preserve">Summary of </t>
    </r>
    <r>
      <rPr>
        <b/>
        <u/>
        <sz val="14"/>
        <color indexed="10"/>
        <rFont val="Arial"/>
        <family val="2"/>
      </rPr>
      <t>Recoverable</t>
    </r>
    <r>
      <rPr>
        <b/>
        <sz val="14"/>
        <rFont val="Arial"/>
        <family val="2"/>
      </rPr>
      <t xml:space="preserve"> OM&amp;A Expenses</t>
    </r>
  </si>
  <si>
    <t>OEB Section 30 Costs (Applicant-originated)</t>
  </si>
  <si>
    <t>Note</t>
  </si>
  <si>
    <t>If no depreciation expenses were recorded to reduce the net book value of stranded meter costs through accumulated depreciation, the total depreciation expense amount that would have been applicable from the time that the stranded meter costs were transferred to the sub-account of Account 1555 to December 31, 2010 should be provided.  In addition, the following information should be provided:</t>
  </si>
  <si>
    <t>A statement as to whether or not the recording of depreciation expenses continued in order to reduce the net book value through accumulated depreciation.  If so, provision of the total (cumulative) depreciation expense for the period from the time that the meters became stranded to December 31, 2010.</t>
  </si>
  <si>
    <t>The estimated amount of the pooled residual net book value of the removed from service meters, less any net proceeds from sales and contributed capital, at the time when smart meters will have been fully deployed.  If the smart meters have been fully deployed, please provide the actual amount.</t>
  </si>
  <si>
    <t>A description as to how the applicant intends to recover in rates the costs for stranded meters, including the proposed accounting treatment, the proposed disposition period and the associated bill impacts.</t>
  </si>
  <si>
    <t>The following table should be completed based on the information requested below, in accordance with the notes following the table. An explanation should be provided for any blank entries.</t>
  </si>
  <si>
    <t>Large Corporation Tax grossed-up proxy from 2006 EDR application PILs model for the period from January 1, 2006 to April 30, 2006 (4/12ths of the approved grossed-up proxy), if not recorded in PILs account 1562</t>
  </si>
  <si>
    <t>20XX</t>
  </si>
  <si>
    <t>Forecast</t>
  </si>
  <si>
    <t>USoA Description</t>
  </si>
  <si>
    <r>
      <t>etc.</t>
    </r>
    <r>
      <rPr>
        <vertAlign val="superscript"/>
        <sz val="10"/>
        <rFont val="Arial"/>
        <family val="2"/>
      </rPr>
      <t>1</t>
    </r>
  </si>
  <si>
    <t>1</t>
  </si>
  <si>
    <r>
      <t xml:space="preserve">Operating expenses associated with other resources allocated to regulatory matters </t>
    </r>
    <r>
      <rPr>
        <vertAlign val="superscript"/>
        <sz val="10"/>
        <rFont val="Arial"/>
        <family val="2"/>
      </rPr>
      <t>1</t>
    </r>
  </si>
  <si>
    <r>
      <t xml:space="preserve">Ongoing or One-time Cost? </t>
    </r>
    <r>
      <rPr>
        <b/>
        <vertAlign val="superscript"/>
        <sz val="10"/>
        <rFont val="Arial"/>
        <family val="2"/>
      </rPr>
      <t>2</t>
    </r>
  </si>
  <si>
    <r>
      <t xml:space="preserve">Sub-total - Ongoing Costs </t>
    </r>
    <r>
      <rPr>
        <vertAlign val="superscript"/>
        <sz val="10"/>
        <rFont val="Arial"/>
        <family val="2"/>
      </rPr>
      <t>3</t>
    </r>
  </si>
  <si>
    <r>
      <t xml:space="preserve">Sub-total - One-time Costs </t>
    </r>
    <r>
      <rPr>
        <vertAlign val="superscript"/>
        <sz val="10"/>
        <rFont val="Arial"/>
        <family val="2"/>
      </rPr>
      <t>4</t>
    </r>
  </si>
  <si>
    <t>2</t>
  </si>
  <si>
    <t>3</t>
  </si>
  <si>
    <t>4</t>
  </si>
  <si>
    <r>
      <t>Number of Employees (FTEs including Part-Time)</t>
    </r>
    <r>
      <rPr>
        <b/>
        <vertAlign val="superscript"/>
        <sz val="10"/>
        <rFont val="Arial"/>
        <family val="2"/>
      </rPr>
      <t>1</t>
    </r>
  </si>
  <si>
    <t xml:space="preserve">Note: </t>
  </si>
  <si>
    <t>Costs Allocated in Test Year Study                    (Column 7A)</t>
  </si>
  <si>
    <t>(7C + 7E) / (7A)</t>
  </si>
  <si>
    <t>(7D + 7E) / (7A)</t>
  </si>
  <si>
    <t>(D ) = (A) - (B) - (C)</t>
  </si>
  <si>
    <t>Billing and Collecting</t>
  </si>
  <si>
    <t>Regulatory Cost Schedule</t>
  </si>
  <si>
    <t xml:space="preserve">Year </t>
  </si>
  <si>
    <t>Reporting Basis</t>
  </si>
  <si>
    <t>CGAAP</t>
  </si>
  <si>
    <t>MIFRS</t>
  </si>
  <si>
    <t>Loss Factors</t>
  </si>
  <si>
    <t>Cost of Service Rate Application Schematic</t>
  </si>
  <si>
    <t>Specific Service Charges:</t>
  </si>
  <si>
    <t>Account(s)</t>
  </si>
  <si>
    <t>Late Payment Charges:</t>
  </si>
  <si>
    <t>Other Distribution Revenues:</t>
  </si>
  <si>
    <t>Other Income and Expenses:</t>
  </si>
  <si>
    <t>Account 4405 - Interest and Dividend Income</t>
  </si>
  <si>
    <t>Operations</t>
  </si>
  <si>
    <t>Maintenance</t>
  </si>
  <si>
    <t>Community Relations</t>
  </si>
  <si>
    <t>Note:</t>
  </si>
  <si>
    <t>Appendix 2-G</t>
  </si>
  <si>
    <t>OM&amp;A</t>
  </si>
  <si>
    <t>Regulatory Cost Category</t>
  </si>
  <si>
    <t>USoA Account</t>
  </si>
  <si>
    <t>Annual % Change</t>
  </si>
  <si>
    <t>(C )</t>
  </si>
  <si>
    <t>USoA Account Balance</t>
  </si>
  <si>
    <t>(F)</t>
  </si>
  <si>
    <t>(G)</t>
  </si>
  <si>
    <t>(I)</t>
  </si>
  <si>
    <t>(H) = [(G)-(F)]/(F)</t>
  </si>
  <si>
    <t>(J) = [(I)-(G)]/(G)</t>
  </si>
  <si>
    <t>OEB Annual Assessment</t>
  </si>
  <si>
    <t>OEB Section 30 Costs (OEB-initiated)</t>
  </si>
  <si>
    <t>Expert Witness costs for regulatory matters</t>
  </si>
  <si>
    <t>Legal costs for regulatory matters</t>
  </si>
  <si>
    <t>Consultants' costs for regulatory matters</t>
  </si>
  <si>
    <t>Operating expenses associated with staff resources allocated to regulatory matters</t>
  </si>
  <si>
    <t>Other regulatory agency fees or assessments</t>
  </si>
  <si>
    <t>Any other costs for regulatory matters (please define)</t>
  </si>
  <si>
    <t>Intervenor costs</t>
  </si>
  <si>
    <t>Sum of all ongoing costs identified in rows 1 to 11 inclusive.</t>
  </si>
  <si>
    <t>Sum of all one-time costs identified in rows 1 to 11 inclusive.</t>
  </si>
  <si>
    <t>Please identify the resources involved.</t>
  </si>
  <si>
    <t>Where a category's costs include both one-time and ongoing costs, the applicant should prove a separate breakdown between one-time and ongoing costs.</t>
  </si>
  <si>
    <t>Historical Years</t>
  </si>
  <si>
    <t>5-Year Average</t>
  </si>
  <si>
    <t>Losses Within Distributor's System</t>
  </si>
  <si>
    <t>A(1)</t>
  </si>
  <si>
    <t>"Wholesale" kWh delivered to distributor (higher value)</t>
  </si>
  <si>
    <t>A(2)</t>
  </si>
  <si>
    <t>"Wholesale" kWh delivered to distributor (lower value)</t>
  </si>
  <si>
    <t>B</t>
  </si>
  <si>
    <t>Portion of "Wholesale" kWh delivered to distributor for its Large Use Customer(s)</t>
  </si>
  <si>
    <t>C</t>
  </si>
  <si>
    <t>D</t>
  </si>
  <si>
    <t>"Retail" kWh delivered by distributor</t>
  </si>
  <si>
    <t>E</t>
  </si>
  <si>
    <t>Portion of "Retail" kWh delivered by distributor to its Large Use Customer(s)</t>
  </si>
  <si>
    <t>F</t>
  </si>
  <si>
    <t>G</t>
  </si>
  <si>
    <t>H</t>
  </si>
  <si>
    <t>Losses Upstream of Distributor's System</t>
  </si>
  <si>
    <t>Supply Facilities Loss Factor</t>
  </si>
  <si>
    <t>Total Losses</t>
  </si>
  <si>
    <t>I</t>
  </si>
  <si>
    <r>
      <t xml:space="preserve">Net "Wholesale" kWh delivered to distributor  = </t>
    </r>
    <r>
      <rPr>
        <b/>
        <sz val="10"/>
        <rFont val="Arial"/>
        <family val="2"/>
      </rPr>
      <t>A(2) - B</t>
    </r>
  </si>
  <si>
    <r>
      <t xml:space="preserve">Net "Retail" kWh delivered by distributor = </t>
    </r>
    <r>
      <rPr>
        <b/>
        <sz val="10"/>
        <rFont val="Arial"/>
        <family val="2"/>
      </rPr>
      <t>D - E</t>
    </r>
  </si>
  <si>
    <r>
      <t xml:space="preserve">Loss Factor in Distributor's system = </t>
    </r>
    <r>
      <rPr>
        <b/>
        <sz val="10"/>
        <rFont val="Arial"/>
        <family val="2"/>
      </rPr>
      <t>C / F</t>
    </r>
  </si>
  <si>
    <r>
      <t xml:space="preserve">Total Loss Factor = </t>
    </r>
    <r>
      <rPr>
        <b/>
        <sz val="10"/>
        <rFont val="Arial"/>
        <family val="2"/>
      </rPr>
      <t>G x H</t>
    </r>
  </si>
  <si>
    <t>Administrative and General</t>
  </si>
  <si>
    <t>Simple average of % variance for all years</t>
  </si>
  <si>
    <t>$</t>
  </si>
  <si>
    <t>%</t>
  </si>
  <si>
    <t>Appendix 2-I</t>
  </si>
  <si>
    <t>OM&amp;A cost per customer</t>
  </si>
  <si>
    <t>Appendix 2-L</t>
  </si>
  <si>
    <t>Name of Company</t>
  </si>
  <si>
    <t>From</t>
  </si>
  <si>
    <t>To</t>
  </si>
  <si>
    <t>Service Offered</t>
  </si>
  <si>
    <t>Price for the Service</t>
  </si>
  <si>
    <t>Cost for the Service</t>
  </si>
  <si>
    <t>Appendix 2-U</t>
  </si>
  <si>
    <t>Stranded Meter Treatment</t>
  </si>
  <si>
    <t>Tax Item</t>
  </si>
  <si>
    <t>Principal as of</t>
  </si>
  <si>
    <t>December 31,</t>
  </si>
  <si>
    <t>Large Corporation Tax grossed-up proxy from 2006 EDR application PILs model for the period from May 1, 2006 to April 30, 2007</t>
  </si>
  <si>
    <t>Ontario Capital Tax rate decrease and increase in capital deduction for 2007</t>
  </si>
  <si>
    <t>Ontario Capital Tax rate decrease and increase in capital deduction for 2008</t>
  </si>
  <si>
    <t>Ontario Capital Tax rate decrease and increase in capital deduction for 2009</t>
  </si>
  <si>
    <t>Ontario Capital Tax rate decrease and increase in capital deduction for 2010</t>
  </si>
  <si>
    <t>Capital Cost Allowance class changes from 2006 EDR application for 2006</t>
  </si>
  <si>
    <t>Capital Cost Allowance class changes from 2006 EDR application for 2007</t>
  </si>
  <si>
    <t>Capital Cost Allowance class changes from 2006 EDR application for 2008</t>
  </si>
  <si>
    <t>Capital Cost Allowance class changes from 2006 EDR application for 2009</t>
  </si>
  <si>
    <t>Capital Cost Allowance class changes from 2006 EDR application for 2010</t>
  </si>
  <si>
    <t>Capital Cost Allowance class changes from any prior application not recorded above.  Please provide details and explanation separately.</t>
  </si>
  <si>
    <t>Insert description of additional item(s) and new rows if needed.</t>
  </si>
  <si>
    <t>Revise the deferral and variance account continuity schedule to include account 1592 as a group 2 account and enter all relevant information for transactions, adjustments, etc., for all relevant years.</t>
  </si>
  <si>
    <t>Describe each type of tax item that has been recorded in account 1592.</t>
  </si>
  <si>
    <t>Provide the calculations that show how each item was determined and provide any pertinent supporting evidence and documentation.</t>
  </si>
  <si>
    <t>Please state whether or not the applicant followed the guidance provided in the FAQ of July 2007.  If not, please provide an explanation.</t>
  </si>
  <si>
    <t>4080, 4082, 4084, 4090, 4205, 4210, 4215, 4220, 4240, 4245</t>
  </si>
  <si>
    <t>Complete the above table based on the answers to the previous.  Add rows as required to complete the analysis in an informative manner.  Please provide the completed table as a working Excel spreadsheet.</t>
  </si>
  <si>
    <t>a)</t>
  </si>
  <si>
    <t>b)</t>
  </si>
  <si>
    <t>c)</t>
  </si>
  <si>
    <t>Some distributors have transferred the cost of stranded meters from Account 1860 - Meters to "Sub-account Stranded Meter Costs of Account 1555", while in some cases distributors have left these costs in Account 1860.  Depending on which treatment the applicant has chosen. please provide the information under either of the two scenarios (A and B below), as applicable.</t>
  </si>
  <si>
    <t>A description of the accounting treatment followed by the applicant on stranded meter costs for financial accounting and reporting purposes.</t>
  </si>
  <si>
    <t>A statement as to whether or not, since transferring the removed stranded meter costs to the sub-account, the recording of depreciation expenses was continued in order to reduce the net book value through accumulated depreciation.  If so, the total depreciation expense amount for the period from the time the costs for the stranded meters were transferred to the sub-account to December 31, 2010 should be provided.</t>
  </si>
  <si>
    <t>Applicants must provide a breakdown of depreciation and amortization expense in the above format for all relevant accounts.  Asset Retirement Obligations (AROs), depreciation and accretion expense should be disclosed separately consistent with the Notes of historical Audited Financial Statements.</t>
  </si>
  <si>
    <t>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</si>
  <si>
    <t>Whether or not carrying charges were recorded for the stranded meter cost balances in the sub-account, and if so, the total carrying charges recorded to December 31, 2010.</t>
  </si>
  <si>
    <t>The estimated amount of the pooled residual net book value of the removed from service meters, less any net proceeds from sales and contributed capital, at the time when the smart meters will have been fully deployed (e.g., as of December 31, 2010).  If the smart meters have been fully deployed, the actual amount should be provided.</t>
  </si>
  <si>
    <t>(16)</t>
  </si>
  <si>
    <t>(20)</t>
  </si>
  <si>
    <t>If no depreciation expenses were recorded to reduce the net book value of stranded meters through accumulated depreciation, the total (cumulative) depreciation expense amount that would have been applicable for the period from the time that the meters became stranded to December 31, 2010.</t>
  </si>
  <si>
    <r>
      <t xml:space="preserve">Ontario Clean Energy Benefit </t>
    </r>
    <r>
      <rPr>
        <b/>
        <i/>
        <vertAlign val="superscript"/>
        <sz val="10"/>
        <rFont val="Arial"/>
        <family val="2"/>
      </rPr>
      <t>1</t>
    </r>
  </si>
  <si>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</si>
  <si>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Projects</t>
  </si>
  <si>
    <t>Miscellaneous</t>
  </si>
  <si>
    <t>Sub-Total</t>
  </si>
  <si>
    <t>Appendix 2-S</t>
  </si>
  <si>
    <t>Class Specific Revenue Requirement</t>
  </si>
  <si>
    <t>The table may need to be customized for a utility's asset categories or for any new asset accounts announced or authorized by the Board.</t>
  </si>
  <si>
    <t>Pale green cells represent input cells.</t>
  </si>
  <si>
    <t>Please complete the following four tables.</t>
  </si>
  <si>
    <t>Classes</t>
  </si>
  <si>
    <t>Street Lighting</t>
  </si>
  <si>
    <t>Unmetered Scattered Load (USL)</t>
  </si>
  <si>
    <t>Other class, if applicable</t>
  </si>
  <si>
    <t>Costs Allocated from Previous Study</t>
  </si>
  <si>
    <t>Classes (same as previous table)</t>
  </si>
  <si>
    <t>Column 7B</t>
  </si>
  <si>
    <t>Column 7C</t>
  </si>
  <si>
    <t>Column 7D</t>
  </si>
  <si>
    <t>Column 7E</t>
  </si>
  <si>
    <t>Load Forecast (LF) X current approved rates</t>
  </si>
  <si>
    <t>LF X proposed rates</t>
  </si>
  <si>
    <t>Miscellaneous Revenue</t>
  </si>
  <si>
    <t>Distribution Station Equipment &lt;50 kV</t>
  </si>
  <si>
    <t>Overhead Conductors &amp; Devices</t>
  </si>
  <si>
    <t>Underground Conduit</t>
  </si>
  <si>
    <t>Underground Conductors &amp; Devices</t>
  </si>
  <si>
    <t>Services (Overhead &amp; Underground)</t>
  </si>
  <si>
    <t>Meters (Smart Meters)</t>
  </si>
  <si>
    <t>Office Furniture &amp; Equipment (10 years)</t>
  </si>
  <si>
    <t>Office Furniture &amp; Equipment (5 years)</t>
  </si>
  <si>
    <t>Computer Equipment - Hardware</t>
  </si>
  <si>
    <t>Computer Equip.-Hardware(Post Mar. 19/07)</t>
  </si>
  <si>
    <t>Computer Equip.-Hardware(Post Mar. 22/04)</t>
  </si>
  <si>
    <t>Power Operated Equipment</t>
  </si>
  <si>
    <t>Communication Equipment (Smart Meters)</t>
  </si>
  <si>
    <t xml:space="preserve">Miscellaneous Equipment </t>
  </si>
  <si>
    <t>Other Operating Revenues</t>
  </si>
  <si>
    <t>Other Income or Deductions</t>
  </si>
  <si>
    <t>Note: Add all applicable accounts listed above to the table and include all relevant information.</t>
  </si>
  <si>
    <t>Account Breakdown Details</t>
  </si>
  <si>
    <r>
      <t xml:space="preserve">For each </t>
    </r>
    <r>
      <rPr>
        <sz val="10"/>
        <rFont val="Arial"/>
        <family val="2"/>
      </rPr>
      <t>"Other Operating Revenue" and "Other Income or Deductions" Account, a detailed breakdown of the account components is required.  See the example below for Account 4405, Interest and Dividend Income.</t>
    </r>
  </si>
  <si>
    <t>General:</t>
  </si>
  <si>
    <t>Contributed Capital (Net of Amortization)</t>
  </si>
  <si>
    <t>(C)</t>
  </si>
  <si>
    <t>(F) = (D) - (E)</t>
  </si>
  <si>
    <t>The amount of the pooled residual net book value of the removed from service stranded meters, less any contributed capital (net of accumulated amortization), and less any net proceeds from sales, which were transferred to this sub-account as of December 31, 2010.</t>
  </si>
  <si>
    <t>The amount of the pooled residual net book value of the removed from service stranded meters, less any contributed capital (net of accumulated amortization), and less any net proceeds from sales, as of December 31, 2010.</t>
  </si>
  <si>
    <t>A description as to how the applicant intends to recover in rates the remaining costs for stranded meters, including the proposed accounting treatment, the proposed disposition period, and the associated bill impacts.</t>
  </si>
  <si>
    <t>Class</t>
  </si>
  <si>
    <t>Previously Approved Ratios</t>
  </si>
  <si>
    <t>Most Recent Year:</t>
  </si>
  <si>
    <t>Status Quo Ratios</t>
  </si>
  <si>
    <t>Proposed Ratios</t>
  </si>
  <si>
    <t>Policy Range</t>
  </si>
  <si>
    <t>85 - 115</t>
  </si>
  <si>
    <t>80 - 120</t>
  </si>
  <si>
    <t>If partially embedded, kWh pertains to the sum of the above.</t>
  </si>
  <si>
    <t>These loss factors pertain to secondary-metered customers with demand less than 5,000 kW.</t>
  </si>
  <si>
    <t>Proposed Revenue-to-Cost Ratios</t>
  </si>
  <si>
    <t>Description</t>
  </si>
  <si>
    <t>Opening Balance</t>
  </si>
  <si>
    <t>Additions</t>
  </si>
  <si>
    <t>Historical Year(s)</t>
  </si>
  <si>
    <t>Appendix 2-K</t>
  </si>
  <si>
    <t>% of Corporate Costs Allocated</t>
  </si>
  <si>
    <t>Corporate Cost Allocation</t>
  </si>
  <si>
    <t>Shared Services</t>
  </si>
  <si>
    <t>Amount Allocated</t>
  </si>
  <si>
    <t>L.F. X current approved rates X (1 + d)</t>
  </si>
  <si>
    <t xml:space="preserve">Cost of Serving Embedded Distributor(s) </t>
  </si>
  <si>
    <t>Proposed Rate Class for Billing Embedded Distributor(s)</t>
  </si>
  <si>
    <t>Host's Distribution Facilities used by Embedded Distributor(s)</t>
  </si>
  <si>
    <t xml:space="preserve">Total OM&amp;A costs asociated with asset class </t>
  </si>
  <si>
    <t xml:space="preserve">Original cost of asset class </t>
  </si>
  <si>
    <t>Accumulated amortization of asset class</t>
  </si>
  <si>
    <t>Annual amortization of asset class</t>
  </si>
  <si>
    <t>Net Book Value of asset class</t>
  </si>
  <si>
    <t>Totals for Host Distributor:</t>
  </si>
  <si>
    <t>Low Voltage Line</t>
  </si>
  <si>
    <t>TS (owned by host)</t>
  </si>
  <si>
    <t xml:space="preserve">add rows if necessary... </t>
  </si>
  <si>
    <t>Line length or capacity required to provide LV service to Embedded Distributor(s)</t>
  </si>
  <si>
    <t>Annual total demand on station/line providing LV services (sum of 12 monthly peaks)</t>
  </si>
  <si>
    <t>Annual billed Embedded Distributor demand on station/line providing LV services</t>
  </si>
  <si>
    <t>Embedded Distributor's share:</t>
  </si>
  <si>
    <t xml:space="preserve">LV Line # 2 (if applicable) </t>
  </si>
  <si>
    <t xml:space="preserve">add rows if necessary </t>
  </si>
  <si>
    <t>Monthly cost associated with the delivery of LV services</t>
  </si>
  <si>
    <t>Disposals</t>
  </si>
  <si>
    <t>Closing Balance</t>
  </si>
  <si>
    <t>Cost</t>
  </si>
  <si>
    <t>Accumulated Depreciation</t>
  </si>
  <si>
    <t>N/A</t>
  </si>
  <si>
    <t>Land</t>
  </si>
  <si>
    <t>Buildings</t>
  </si>
  <si>
    <t>Transformer Station Equipment &gt;50 kV</t>
  </si>
  <si>
    <t>Storage Battery Equipment</t>
  </si>
  <si>
    <t>Poles, Towers &amp; Fixtures</t>
  </si>
  <si>
    <t>Line Transformers</t>
  </si>
  <si>
    <t>Meters</t>
  </si>
  <si>
    <t>CEC</t>
  </si>
  <si>
    <t>Buildings &amp; Fixtures</t>
  </si>
  <si>
    <t>The method of calculating the number of customers must be identified.</t>
  </si>
  <si>
    <t>If directly connected to the IESO-controlled grid, SFLF = 1.0045.</t>
  </si>
  <si>
    <t>If fully embedded within a host distributor, SFLF = loss factor re losses in transformer at grid interface X loss factor re losses in host distributor's system.  If the host distributor is Hydro One Networks Inc., SFLF = 1.0060 X 1.0278 = 1.0340. If partially embedded, SFLF should be calculated as the weighted average of above.</t>
  </si>
  <si>
    <r>
      <t xml:space="preserve">If directly connected to the IESO-controlled grid, kWh pertains to the virtual meter on the primary or high voltage side of the transformer at the interface with the transmission grid.  This corresponds to the "With Losses" kWh value provided by the IESO's MV-WEB.  It is the </t>
    </r>
    <r>
      <rPr>
        <u/>
        <sz val="10"/>
        <rFont val="Arial"/>
        <family val="2"/>
      </rPr>
      <t>higher</t>
    </r>
    <r>
      <rPr>
        <sz val="10"/>
        <rFont val="Arial"/>
        <family val="2"/>
      </rPr>
      <t xml:space="preserve"> of the two values provided by MV-WEB.</t>
    </r>
  </si>
  <si>
    <r>
      <t xml:space="preserve">If fully embedded within a host distributor, kWh pertains to the virtual meter on the primary or high voltage side of the transformer, at the interface between the host distributor and the transmission grid.  For example, if the host distributor is Hydro One Networks Inc., kWh from the Hydro One Networks' invoice corresponding to "Total kWh w Losses" should be reported.  This corresponds to the </t>
    </r>
    <r>
      <rPr>
        <u/>
        <sz val="10"/>
        <rFont val="Arial"/>
        <family val="2"/>
      </rPr>
      <t>higher</t>
    </r>
    <r>
      <rPr>
        <sz val="10"/>
        <rFont val="Arial"/>
        <family val="2"/>
      </rPr>
      <t xml:space="preserve"> of the two kWh values provided in Hydro One Networks' invoice.</t>
    </r>
  </si>
  <si>
    <r>
      <t xml:space="preserve">If directly connected to the IESO-controlled grid, kWh pertains to a metering installation on the secondary or low voltage side of the transformer at the interface with the transmission grid.  This corresponds to the "Without Losses" kWh value provided by the IESO's MV-WEB.  It is the </t>
    </r>
    <r>
      <rPr>
        <u/>
        <sz val="10"/>
        <rFont val="Arial"/>
        <family val="2"/>
      </rPr>
      <t>lower</t>
    </r>
    <r>
      <rPr>
        <sz val="10"/>
        <rFont val="Arial"/>
        <family val="2"/>
      </rPr>
      <t xml:space="preserve"> of the two kWh values provided by MV-WEB.</t>
    </r>
  </si>
  <si>
    <r>
      <t xml:space="preserve">Additionally, kWh pertaining to distributed generation directly connected to the distributor's own distribution network should be included in </t>
    </r>
    <r>
      <rPr>
        <b/>
        <sz val="10"/>
        <rFont val="Arial"/>
        <family val="2"/>
      </rPr>
      <t>A(2)</t>
    </r>
    <r>
      <rPr>
        <sz val="10"/>
        <rFont val="Arial"/>
        <family val="2"/>
      </rPr>
      <t>.</t>
    </r>
  </si>
  <si>
    <r>
      <t xml:space="preserve">If a Large Use Customer is metered on the secondary or low voltage side of the transformer, the default loss is 1%                         (i.e., </t>
    </r>
    <r>
      <rPr>
        <b/>
        <sz val="10"/>
        <rFont val="Arial"/>
        <family val="2"/>
      </rPr>
      <t>B</t>
    </r>
    <r>
      <rPr>
        <sz val="10"/>
        <rFont val="Arial"/>
        <family val="2"/>
      </rPr>
      <t xml:space="preserve"> = 1.01 X </t>
    </r>
    <r>
      <rPr>
        <b/>
        <sz val="10"/>
        <rFont val="Arial"/>
        <family val="2"/>
      </rPr>
      <t>E</t>
    </r>
    <r>
      <rPr>
        <sz val="10"/>
        <rFont val="Arial"/>
        <family val="2"/>
      </rPr>
      <t>).</t>
    </r>
  </si>
  <si>
    <r>
      <t>G</t>
    </r>
    <r>
      <rPr>
        <sz val="10"/>
        <rFont val="Arial"/>
        <family val="2"/>
      </rPr>
      <t xml:space="preserve"> and </t>
    </r>
    <r>
      <rPr>
        <b/>
        <sz val="10"/>
        <rFont val="Arial"/>
        <family val="2"/>
      </rPr>
      <t>I</t>
    </r>
  </si>
  <si>
    <t>Distributors that wish to propose a different SFLF should provide appropriate justification for any such proposal including supporting</t>
  </si>
  <si>
    <t>calculations and any other relevant material.</t>
  </si>
  <si>
    <t xml:space="preserve">The Cost of Service Rate Application Schematic is a flowchart appended to Chapter 2 of the Filing Requirements as a guide for the components of an application and how demand and costs interrelate to derive the revenue requirement and then how the revenue requirement is allocated between classes and through fixed/variable splits to derive rates that will be compensatory for the annual revenue requirement, based on the the forecasted demand.  There is no form to be filled out; therefore, this Schedule is not required to be filed. </t>
  </si>
  <si>
    <t>Transportation Equipment</t>
  </si>
  <si>
    <t>Stores Equipment</t>
  </si>
  <si>
    <t>Tools, Shop &amp; Garage Equipment</t>
  </si>
  <si>
    <t>Measurement &amp; Testing Equipment</t>
  </si>
  <si>
    <t>Communications Equipment</t>
  </si>
  <si>
    <t>Load Management Controls Utility Premises</t>
  </si>
  <si>
    <t>System Supervisor Equipment</t>
  </si>
  <si>
    <t>Miscellaneous Fixed Assets</t>
  </si>
  <si>
    <t>Contributions &amp; Grants</t>
  </si>
  <si>
    <t>Total</t>
  </si>
  <si>
    <t>Transportation</t>
  </si>
  <si>
    <t>Net Depreciation</t>
  </si>
  <si>
    <t>Depreciation Rate</t>
  </si>
  <si>
    <t>Leasehold Improvements</t>
  </si>
  <si>
    <t>Net Book Value</t>
  </si>
  <si>
    <t>File Number:</t>
  </si>
  <si>
    <t>Exhibit:</t>
  </si>
  <si>
    <t>Tab:</t>
  </si>
  <si>
    <t>Schedule:</t>
  </si>
  <si>
    <t>Page:</t>
  </si>
  <si>
    <t>Date:</t>
  </si>
  <si>
    <t>Cost Rate</t>
  </si>
  <si>
    <t>(%)</t>
  </si>
  <si>
    <t>($)</t>
  </si>
  <si>
    <t>(1)</t>
  </si>
  <si>
    <t>Notes</t>
  </si>
  <si>
    <t>Last Rebasing Year</t>
  </si>
  <si>
    <t>Bridge Year</t>
  </si>
  <si>
    <t>Test Year</t>
  </si>
  <si>
    <t xml:space="preserve">Utility Name   </t>
  </si>
  <si>
    <t>Assigned EB Number</t>
  </si>
  <si>
    <t xml:space="preserve">Phone Number   </t>
  </si>
  <si>
    <t xml:space="preserve">Email Address   </t>
  </si>
  <si>
    <t>Algoma Power Inc.</t>
  </si>
  <si>
    <t>Atikokan Hydro Inc.</t>
  </si>
  <si>
    <t>Attawapiskat Power Corporation</t>
  </si>
  <si>
    <t>Brantford Power Inc.</t>
  </si>
  <si>
    <t>Burlington Hydro Inc.</t>
  </si>
  <si>
    <t>Centre Wellington Hydro Ltd.</t>
  </si>
  <si>
    <t>Chapleau Public Utilities Corporation</t>
  </si>
  <si>
    <t>Cooperative Hydro Embrun Inc.</t>
  </si>
  <si>
    <t>E.L.K. Energy Inc.</t>
  </si>
  <si>
    <t>Enersource Hydro Mississauga Inc.</t>
  </si>
  <si>
    <t>Entegrus Powerlines Inc.</t>
  </si>
  <si>
    <t>ENWIN Utilities Ltd.</t>
  </si>
  <si>
    <t>Espanola Regional Hydro Distribution Corporation</t>
  </si>
  <si>
    <t>Essex Powerlines Corporation</t>
  </si>
  <si>
    <t>Festival Hydro Inc.</t>
  </si>
  <si>
    <t>Fort Albany Power Corporation</t>
  </si>
  <si>
    <t>Fort Frances Power Corporation</t>
  </si>
  <si>
    <t>Greater Sudbury Hydro Inc.</t>
  </si>
  <si>
    <t>Grimsby Power Inc.</t>
  </si>
  <si>
    <t>Guelph Hydro Electric Systems Inc.</t>
  </si>
  <si>
    <t>Haldimand County Hydro Inc.</t>
  </si>
  <si>
    <t>Halton Hills Hydro Inc.</t>
  </si>
  <si>
    <t>Horizon Utilities Corporation</t>
  </si>
  <si>
    <t>Hydro 2000 Inc.</t>
  </si>
  <si>
    <t>Hydro Hawkesbury Inc.</t>
  </si>
  <si>
    <t>Hydro One Brampton Networks Inc.</t>
  </si>
  <si>
    <t>Hydro One Networks Inc.</t>
  </si>
  <si>
    <t>Hydro One Remote Communities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</si>
  <si>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</si>
  <si>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</si>
  <si>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</si>
  <si>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</si>
  <si>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</si>
  <si>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</si>
  <si>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</si>
  <si>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</si>
  <si>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</si>
  <si>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</si>
  <si>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</si>
  <si>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</si>
  <si>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</si>
  <si>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</si>
  <si>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Orangeville Hydro Limited</t>
  </si>
  <si>
    <t>Oshawa PUC Networks Inc.</t>
  </si>
  <si>
    <t>Ottawa River Power Corporation</t>
  </si>
  <si>
    <t>Parry Sound Power Corporation</t>
  </si>
  <si>
    <t>PowerStream Inc.</t>
  </si>
  <si>
    <t>PUC Distribution Inc.</t>
  </si>
  <si>
    <t>Renfrew Hydro Inc.</t>
  </si>
  <si>
    <t>Rideau St. Lawrence Distribution Inc.</t>
  </si>
  <si>
    <t>St. Thomas Energy Inc.</t>
  </si>
  <si>
    <t>Sioux Lookout Hydro Inc.</t>
  </si>
  <si>
    <t>Tillsonburg Hydro Inc.</t>
  </si>
  <si>
    <t>Toronto Hydro-Electric System Limited</t>
  </si>
  <si>
    <t>Veridian Connections Inc.</t>
  </si>
  <si>
    <t>Wasaga Distribution Inc.</t>
  </si>
  <si>
    <t>Waterloo North Hydro Inc.</t>
  </si>
  <si>
    <t>Wellington North Power Inc.</t>
  </si>
  <si>
    <t>West Coast Huron Energy Inc.</t>
  </si>
  <si>
    <t>Westario Power Inc.</t>
  </si>
  <si>
    <t>Whitby Hydro Electric Corporation</t>
  </si>
  <si>
    <t>Woodstock Hydro Services Inc.</t>
  </si>
  <si>
    <t>Pale blue cells represent drop-down lists.  The applicant should select the appropriate item from the drop-down list.</t>
  </si>
  <si>
    <t>Computer Software (Formally known as Account 1925)</t>
  </si>
  <si>
    <t>(m) = (h) - (l)</t>
  </si>
  <si>
    <r>
      <t xml:space="preserve">Average Remaining Life of Opening NBV </t>
    </r>
    <r>
      <rPr>
        <b/>
        <vertAlign val="superscript"/>
        <sz val="10"/>
        <rFont val="Arial"/>
        <family val="2"/>
      </rPr>
      <t>4</t>
    </r>
  </si>
  <si>
    <r>
      <t xml:space="preserve">Years (new additions only) </t>
    </r>
    <r>
      <rPr>
        <b/>
        <vertAlign val="superscript"/>
        <sz val="10"/>
        <rFont val="Arial"/>
        <family val="2"/>
      </rPr>
      <t>3</t>
    </r>
  </si>
  <si>
    <t>Depreciation Rate on New Additions</t>
  </si>
  <si>
    <t>Depreciation Expense on Opening NBV</t>
  </si>
  <si>
    <r>
      <t xml:space="preserve">Depreciation Expense on Additions </t>
    </r>
    <r>
      <rPr>
        <b/>
        <vertAlign val="superscript"/>
        <sz val="10"/>
        <rFont val="Arial"/>
        <family val="2"/>
      </rPr>
      <t>1</t>
    </r>
  </si>
  <si>
    <r>
      <t xml:space="preserve">Variance </t>
    </r>
    <r>
      <rPr>
        <b/>
        <vertAlign val="superscript"/>
        <sz val="10"/>
        <rFont val="Arial"/>
        <family val="2"/>
      </rPr>
      <t>2</t>
    </r>
  </si>
  <si>
    <t>(i)</t>
  </si>
  <si>
    <t>(j) = (a) / (i)</t>
  </si>
  <si>
    <t xml:space="preserve">(h)=((d)*0.5)/(f) </t>
  </si>
  <si>
    <t>(k) = (j) + (h)</t>
  </si>
  <si>
    <t>(m) = (k) - (l)</t>
  </si>
  <si>
    <t xml:space="preserve">(n) = (d)/(f) </t>
  </si>
  <si>
    <t>Years (new additions only)</t>
  </si>
  <si>
    <t>Depreciation Expense on 2012 Full Year Additions</t>
  </si>
  <si>
    <t xml:space="preserve">(n)=((d))/(f) </t>
  </si>
  <si>
    <r>
      <t xml:space="preserve">2013 Depreciation Expense </t>
    </r>
    <r>
      <rPr>
        <b/>
        <vertAlign val="superscript"/>
        <sz val="10"/>
        <rFont val="Arial"/>
        <family val="2"/>
      </rPr>
      <t>1</t>
    </r>
  </si>
  <si>
    <t>Total Depreciation expense to be included in the test year revenue requirement</t>
  </si>
  <si>
    <t>2012 Depreciation Expense</t>
  </si>
  <si>
    <r>
      <t xml:space="preserve">Opening NBV as at Jan 1, 2012 </t>
    </r>
    <r>
      <rPr>
        <b/>
        <vertAlign val="superscript"/>
        <sz val="10"/>
        <rFont val="Arial"/>
        <family val="2"/>
      </rPr>
      <t>5</t>
    </r>
  </si>
  <si>
    <t>Directly</t>
  </si>
  <si>
    <t>Attributable?</t>
  </si>
  <si>
    <t>(Y/N)</t>
  </si>
  <si>
    <t>One-Time Incremental IFRS Transition Costs</t>
  </si>
  <si>
    <t>The following table should be completed based on the information requested below. An explanation should be provided for any blank entries.  The entries should include one-time incremental IFRS transition costs that are currently included in Account 1508, Other Regulatory Assets, sub-account Deferred IFRS Transition Costs Account, or Account 1508, Other Regulatory Assets, sub-account IFRS Transition Costs Variance Account.</t>
  </si>
  <si>
    <r>
      <t xml:space="preserve">Nature of One-Time Incremental IFRS Transition Costs </t>
    </r>
    <r>
      <rPr>
        <b/>
        <vertAlign val="superscript"/>
        <sz val="10"/>
        <rFont val="Arial"/>
        <family val="2"/>
      </rPr>
      <t>1</t>
    </r>
  </si>
  <si>
    <t>Audited Actual</t>
  </si>
  <si>
    <t>Audited Carrying</t>
  </si>
  <si>
    <t>Reasons why the costs recorded meet the criteria of one-time IFRS administrative incremental costs</t>
  </si>
  <si>
    <t>Costs Incurred</t>
  </si>
  <si>
    <t>Charges</t>
  </si>
  <si>
    <t>professional accounting fees</t>
  </si>
  <si>
    <t>professional legal fees</t>
  </si>
  <si>
    <t>salaries, wages and benefits of staff added to support the transition to IFRS</t>
  </si>
  <si>
    <t>associated staff training and development costs</t>
  </si>
  <si>
    <t>costs related to system upgrades, or replacements or changes where IFRS was the major reason for conversion</t>
  </si>
  <si>
    <t>The Deferred IFRS Transition Costs Account and the IFRS Transition Costs Variance Account are exclusively for necessary, incremental transition costs and shall not include ongoing IFRS compliance costs or impacts arising from adopting accounting policy changes that reflect changes in the timing of the recognition of income. The incremental costs in these accounts shall not include costs related to system upgrades, or replacements or changes where IFRS was not the major reason for conversion. In addition, incremental IFRS costs shall not include capital assets or expenditures.</t>
  </si>
  <si>
    <t>Actual</t>
  </si>
  <si>
    <t>PP&amp;E Values under CGAAP</t>
  </si>
  <si>
    <t xml:space="preserve">            Opening net PP&amp;E - Note 1</t>
  </si>
  <si>
    <t xml:space="preserve">            Closing net PP&amp;E (1)</t>
  </si>
  <si>
    <t xml:space="preserve">            Opening net PP&amp;E  - Note 1</t>
  </si>
  <si>
    <t xml:space="preserve">            Closing net PP&amp;E (2)</t>
  </si>
  <si>
    <t>Account 1575 - IFRS-CGAAP Transitional PP&amp;E Amounts</t>
  </si>
  <si>
    <t>WACC</t>
  </si>
  <si>
    <t xml:space="preserve">     * Please note that the calculation should be adjusted once WACC is updated and finalized in the rate application.</t>
  </si>
  <si>
    <r>
      <rPr>
        <b/>
        <sz val="10"/>
        <rFont val="Arial"/>
        <family val="2"/>
      </rPr>
      <t>Less:</t>
    </r>
    <r>
      <rPr>
        <sz val="10"/>
        <rFont val="Arial"/>
        <family val="2"/>
      </rPr>
      <t xml:space="preserve"> </t>
    </r>
    <r>
      <rPr>
        <i/>
        <sz val="10"/>
        <rFont val="Arial"/>
        <family val="2"/>
      </rPr>
      <t>Fully Allocated Depreciation</t>
    </r>
  </si>
  <si>
    <t>General</t>
  </si>
  <si>
    <t>Board policy of the "half-year" rule - the applicant must ensure that additions in the year attract a half-year depreciation expense in the first year.  Deviations from this standard practice must be supported in the application.</t>
  </si>
  <si>
    <t>Appendix 2-CB</t>
  </si>
  <si>
    <r>
      <t xml:space="preserve"> </t>
    </r>
    <r>
      <rPr>
        <sz val="10"/>
        <rFont val="Arial"/>
        <family val="2"/>
      </rPr>
      <t>NBV must exclude assets still on the books but which have been fully amortized or depreciated.</t>
    </r>
  </si>
  <si>
    <t>Appendix 2-CC</t>
  </si>
  <si>
    <t>Appendix 2-CD</t>
  </si>
  <si>
    <t>Appendix 2-CE</t>
  </si>
  <si>
    <t>Appendix 2-CF</t>
  </si>
  <si>
    <t>Overhead Expense</t>
  </si>
  <si>
    <t>Appendix 2-EB</t>
  </si>
  <si>
    <t>Appendix 2-EA</t>
  </si>
  <si>
    <t>SubTotal</t>
  </si>
  <si>
    <t>%Change (year over year)</t>
  </si>
  <si>
    <t>%Change (Test Year vs 
Last Rebasing Year - Actual)</t>
  </si>
  <si>
    <t xml:space="preserve">Maintenance </t>
  </si>
  <si>
    <t xml:space="preserve">Billing and Collecting </t>
  </si>
  <si>
    <t xml:space="preserve">Community Relations </t>
  </si>
  <si>
    <t xml:space="preserve">Administrative and General </t>
  </si>
  <si>
    <t xml:space="preserve">Variance from previous year </t>
  </si>
  <si>
    <t xml:space="preserve">Percent change (year over year) </t>
  </si>
  <si>
    <t xml:space="preserve">Percent Change:                                                    Test year vs. Most Current Actual </t>
  </si>
  <si>
    <t>1     "BA" = Board-Approved</t>
  </si>
  <si>
    <t>2     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</si>
  <si>
    <t>Appendix 2-R</t>
  </si>
  <si>
    <t>A)  Allocated Costs</t>
  </si>
  <si>
    <r>
      <rPr>
        <sz val="10"/>
        <rFont val="Arial"/>
        <family val="2"/>
      </rPr>
      <t>1</t>
    </r>
    <r>
      <rPr>
        <b/>
        <sz val="10"/>
        <rFont val="Arial"/>
        <family val="2"/>
      </rPr>
      <t xml:space="preserve">     </t>
    </r>
    <r>
      <rPr>
        <sz val="10"/>
        <rFont val="Arial"/>
        <family val="2"/>
      </rPr>
      <t>Customer Classification - If proposed rate classes differ from those in place in the previous Cost Allocation study, modify the rate classes to match the current application as closely as possible.</t>
    </r>
  </si>
  <si>
    <t xml:space="preserve">  </t>
  </si>
  <si>
    <t>B)  Calculated Class Revenues</t>
  </si>
  <si>
    <t xml:space="preserve">1     Columns 7B to 7D - LF means Load Forecast of Annual Billing Quantities (i.e. customers or connections X 12, (kWh or kW, as applicable).  Revenue Quantities should be net of Transfomrer Ownership Allowance.  Exclude revenue from rate adders and rate riders.  </t>
  </si>
  <si>
    <t>2     Columns 7C and 7D - Column total in each column should equal the Base Revenue Requirement</t>
  </si>
  <si>
    <t>3     Columns 7C - The Board cost allocation model calculates "1+d" in worksheet O-1, cell C21. "d" is defined as Revenue Deficiency/ Revenue at Current Rates.</t>
  </si>
  <si>
    <t>4     Columns 7E - If using the Board-issued Cost Allocation model, enter Miscellaneous Revenue as it appears in Worksheet O-1, row 19.</t>
  </si>
  <si>
    <t>C)  Rebalancing Revenue-to-Cost (R/C) Ratios</t>
  </si>
  <si>
    <t>2     Status Quo Ratios - The Board's updated Cost Allocation Model yields the Status Quo Ratios in Worksheet O-1.  Status Quo means "Before Rebalancing".</t>
  </si>
  <si>
    <t>D)  Proposed Revenue-to-Cost Ratios</t>
  </si>
  <si>
    <t>LV Line category # 2 (if applcable)</t>
  </si>
  <si>
    <t>Appendix 2-W</t>
  </si>
  <si>
    <t>Sub-Total B - Distribution (includes Sub-Total A)</t>
  </si>
  <si>
    <t>Sub-Total C - Delivery (including Sub-Total B)</t>
  </si>
  <si>
    <t>Smart Meter Entity Charge</t>
  </si>
  <si>
    <t>Land Rights (Formally known as Account 1906)</t>
  </si>
  <si>
    <t>Appendix 2-P</t>
  </si>
  <si>
    <t>Index</t>
  </si>
  <si>
    <t>LDC Information Sheet</t>
  </si>
  <si>
    <t>Lender</t>
  </si>
  <si>
    <t>Affiliated or Third-Party Debt?</t>
  </si>
  <si>
    <t>Fixed or Variable-Rate?</t>
  </si>
  <si>
    <t>Start Date</t>
  </si>
  <si>
    <t>Add more lines above row 12 if necessary.</t>
  </si>
  <si>
    <t>Row</t>
  </si>
  <si>
    <t>Principal                         ($)</t>
  </si>
  <si>
    <t>Term              (years)</t>
  </si>
  <si>
    <t>kWh corresponding to D should equal metered or estimated kWh at the customer’s delivery point.</t>
  </si>
  <si>
    <t>Embedded distributor class</t>
  </si>
  <si>
    <t xml:space="preserve">3     Class Revenue Requirements - If using the Board-issued model, in column 7A enter the results from Worksheet O-1, Revenue Requirement (row 40 in the 2013 model).  This excludes costs in deferral and variance accounts.  Note to Embedded Distributor(s), it also does not include Account 4750 - Low Voltage (LV) Costs. </t>
  </si>
  <si>
    <t xml:space="preserve">Embedded Distributor(s)' Responsibility Share </t>
  </si>
  <si>
    <t>(Not required if Host Distributor has an Embedded Distributor rate class, i.e. a separate row in Appendix 2-P.)</t>
  </si>
  <si>
    <t>Opening Balance for "Last Rebasing Year" (cell B15) should be equal to the Board-Approved amount.</t>
  </si>
  <si>
    <t>Appendix 2-CA</t>
  </si>
  <si>
    <t>TOU - Off Peak</t>
  </si>
  <si>
    <t>TOU - Mid Peak</t>
  </si>
  <si>
    <t>TOU - On Peak</t>
  </si>
  <si>
    <t>Total Bill on TOU (before Taxes)</t>
  </si>
  <si>
    <r>
      <t xml:space="preserve">Total Bill </t>
    </r>
    <r>
      <rPr>
        <sz val="10"/>
        <rFont val="Arial"/>
        <family val="2"/>
      </rPr>
      <t>(including HST)</t>
    </r>
  </si>
  <si>
    <t>Total Bill on TOU (including OCEB)</t>
  </si>
  <si>
    <t>Total Bill on RPP (including OCEB)</t>
  </si>
  <si>
    <t>Line No.</t>
  </si>
  <si>
    <t>Particulars</t>
  </si>
  <si>
    <t>Capitalization Ratio</t>
  </si>
  <si>
    <t>Return</t>
  </si>
  <si>
    <t>Debt</t>
  </si>
  <si>
    <t xml:space="preserve">  Long-term Debt</t>
  </si>
  <si>
    <t xml:space="preserve">  Short-term Debt</t>
  </si>
  <si>
    <t>Total Debt</t>
  </si>
  <si>
    <t>Equity</t>
  </si>
  <si>
    <t xml:space="preserve">  Common Equity</t>
  </si>
  <si>
    <t xml:space="preserve">  Preferred Shares</t>
  </si>
  <si>
    <t>Total Equity</t>
  </si>
  <si>
    <t>4.0% unless an applicant has proposed or been approved for a different amount.</t>
  </si>
  <si>
    <t>Appendix 2-OB</t>
  </si>
  <si>
    <t>Appendix 2-OA</t>
  </si>
  <si>
    <t>Capital Cost Allowance class changes from 2006 EDR application for 2011</t>
  </si>
  <si>
    <t>Low Voltage Service Charge</t>
  </si>
  <si>
    <t>Name of Contact and Title</t>
  </si>
  <si>
    <t xml:space="preserve">White cells contain fixed values, automatically generated values or formulae. </t>
  </si>
  <si>
    <t>Less Fully Depreciated</t>
  </si>
  <si>
    <t>Net for Depreciation</t>
  </si>
  <si>
    <t>(b)</t>
  </si>
  <si>
    <t>(c)</t>
  </si>
  <si>
    <t>(p) = (j) + (n) - (o)</t>
  </si>
  <si>
    <t>Opening Regulatory Gross PP&amp;E as at Jan 1, 2012</t>
  </si>
  <si>
    <t>This column refers to the calculated full year depreciation but excludes the depreciation expense on assets fully depreciated during the year.  This column is used for the purpose of calculating depreciation expense in the following year on the next worksheet.</t>
  </si>
  <si>
    <r>
      <t xml:space="preserve">2012 Full Year Depreciation </t>
    </r>
    <r>
      <rPr>
        <b/>
        <vertAlign val="superscript"/>
        <sz val="10"/>
        <rFont val="Arial"/>
        <family val="2"/>
      </rPr>
      <t>6</t>
    </r>
  </si>
  <si>
    <t>Less Depreciation Expense on Assets Fully Depreciated during the year
(o)</t>
  </si>
  <si>
    <t>Sub-Total A (excluding pass through)</t>
  </si>
  <si>
    <t>1   Please provide a breakdown of the major components of each capital project undertaken in each year.  Please ensure that all projects below the materiality threshold are included in the miscellaneous line.  Add more projects as required.</t>
  </si>
  <si>
    <t>4 Year (2011-2014) kWh Target:</t>
  </si>
  <si>
    <t>2011 CDM Programs</t>
  </si>
  <si>
    <t>2012 CDM Programs</t>
  </si>
  <si>
    <t>2013 CDM Programs</t>
  </si>
  <si>
    <t>2014 CDM Programs</t>
  </si>
  <si>
    <t>Total in Year</t>
  </si>
  <si>
    <t>Net-to-Gross Conversion</t>
  </si>
  <si>
    <t>Weight Factor for Inclusion in CDM Adjustment to 2014 Load Forecast</t>
  </si>
  <si>
    <t>Weight Factor for each year's CDM program impact on 2014 load forecast</t>
  </si>
  <si>
    <t xml:space="preserve">Default Value selection rationale.  </t>
  </si>
  <si>
    <t>Amount used for CDM threshold for LRAMVA (2014)</t>
  </si>
  <si>
    <t>Identify the accounting standard used for the test year</t>
  </si>
  <si>
    <t>Are you applying for cost recovery for the test and/or future year(s) for Green Energy initiatives?</t>
  </si>
  <si>
    <t>Appendix 2-BA</t>
  </si>
  <si>
    <t>TUL</t>
  </si>
  <si>
    <t>Current</t>
  </si>
  <si>
    <t>"Gross"</t>
  </si>
  <si>
    <t>"Net"</t>
  </si>
  <si>
    <t>"Net-to-Gross" Conversion Factor</t>
  </si>
  <si>
    <t>Persistence of Historical CDM programs to 2014</t>
  </si>
  <si>
    <t>('g')</t>
  </si>
  <si>
    <t>2006-2010 CDM programs</t>
  </si>
  <si>
    <t>2011 CDM program</t>
  </si>
  <si>
    <t>2012 CDM program</t>
  </si>
  <si>
    <t>The default values represent the factor that each year's CDM program is factored into the manual CDM adjustment.  Distributors can choose alternative weights of "0", "0.5" or "1" from the drop-down menu for each cell, but must support its alternatives.</t>
  </si>
  <si>
    <t>Proposed Loss Factor (TLF)</t>
  </si>
  <si>
    <t xml:space="preserve"> Format: X.XX%</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</si>
  <si>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</si>
  <si>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</si>
  <si>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Input the 2011-2014 CDM target in Cell B21.</t>
  </si>
  <si>
    <t>Load Management Controls Customer Premises</t>
  </si>
  <si>
    <t>Other Tangible Property</t>
  </si>
  <si>
    <t>Total PP&amp;E</t>
  </si>
  <si>
    <t>Appendix 2-BB</t>
  </si>
  <si>
    <t>Service Life Comparison</t>
  </si>
  <si>
    <t>Depreciation exp. adj. from gain or loss on the retirement of assets (pool of like assets)</t>
  </si>
  <si>
    <t xml:space="preserve">SAIDI </t>
  </si>
  <si>
    <t>SAIFI</t>
  </si>
  <si>
    <t>SAIDI = System Average Interruption Duration Index</t>
  </si>
  <si>
    <t xml:space="preserve">SAIFI = System Average Interruption Frequency Index </t>
  </si>
  <si>
    <t>Depreciation Expense on 2013 Full Year Additions</t>
  </si>
  <si>
    <r>
      <t xml:space="preserve">2013 Full Year Depreciation </t>
    </r>
    <r>
      <rPr>
        <b/>
        <vertAlign val="superscript"/>
        <sz val="10"/>
        <rFont val="Arial"/>
        <family val="2"/>
      </rPr>
      <t>3</t>
    </r>
  </si>
  <si>
    <t xml:space="preserve">(h)=2012 Full Year Deprecation + ((d)*0.5)/(f) </t>
  </si>
  <si>
    <t>(p) = 2012 Full Year Depreciation  + (n) - (o)</t>
  </si>
  <si>
    <r>
      <t xml:space="preserve">2014 Depreciation Expense </t>
    </r>
    <r>
      <rPr>
        <b/>
        <vertAlign val="superscript"/>
        <sz val="10"/>
        <rFont val="Arial"/>
        <family val="2"/>
      </rPr>
      <t>1</t>
    </r>
  </si>
  <si>
    <t>Opening Regulatory Gross PP&amp;E as at Jan 1, 2013</t>
  </si>
  <si>
    <t>2013 Depreciation Expense</t>
  </si>
  <si>
    <r>
      <t xml:space="preserve">Opening NBV as at Jan 1, 2013 </t>
    </r>
    <r>
      <rPr>
        <b/>
        <vertAlign val="superscript"/>
        <sz val="10"/>
        <rFont val="Arial"/>
        <family val="2"/>
      </rPr>
      <t>5</t>
    </r>
  </si>
  <si>
    <r>
      <t xml:space="preserve">2013 Full Year Depreciation </t>
    </r>
    <r>
      <rPr>
        <b/>
        <vertAlign val="superscript"/>
        <sz val="10"/>
        <rFont val="Arial"/>
        <family val="2"/>
      </rPr>
      <t>6</t>
    </r>
  </si>
  <si>
    <t>Appendix 2-FA</t>
  </si>
  <si>
    <t>Account 1576 - Accounting Changes under CGAAP</t>
  </si>
  <si>
    <t>2012 Changes in Accounting Policies under CGAAP</t>
  </si>
  <si>
    <t>PP&amp;E Values under former CGAAP</t>
  </si>
  <si>
    <t>PP&amp;E Values under revised CGAAP (Starts from 2012)</t>
  </si>
  <si>
    <t xml:space="preserve">1  For an applicant that made the capitalization and depreciation expense accounting policy changes on January 1, 2012, the PP&amp;E values as of January 1, 2012 under both former CGAAP and revised CGAAP should be the same. </t>
  </si>
  <si>
    <t>2013 Changes in Accounting Policies under CGAAP</t>
  </si>
  <si>
    <t xml:space="preserve">1  For an applicant that made the capitalization and depreciation expense accounting policy changes on January 1, 2013, the PP&amp;E values as of January 1, 2013 under both former CGAAP and revised CGAAP should be the same. </t>
  </si>
  <si>
    <t>General Instructions to MIFRS Appendices</t>
  </si>
  <si>
    <t>Types of Schedules to File</t>
  </si>
  <si>
    <t>Regulatory Gross Assets of Property, Plant and Equipment</t>
  </si>
  <si>
    <t>Appendix 2-TA</t>
  </si>
  <si>
    <t>Account 1592, PILs and Tax Variances for 2006 and Subsequent Years
and Subsequent Years</t>
  </si>
  <si>
    <t>Capital Cost Allowance class changes from 2006 EDR application for 2012</t>
  </si>
  <si>
    <t>Identify the account balance as of December 31, 2012 as per the 2012 Audited Financial Statements.  Identify the account balance as of December 31, 2012 as per the April 2013 2.1.7 RRR filing to the Board.  Provide a reconciliation if the balances provided are not identical to each other and to the total shown on the continuity schedule.</t>
  </si>
  <si>
    <t>Appendix 2-TB</t>
  </si>
  <si>
    <t>Account 1592, PILs and Tax Variances for 2006 and Subsequent Years,
and Subsequent Years</t>
  </si>
  <si>
    <t>Sub-account HST/OVAT Input Tax Credits (ITCs)</t>
  </si>
  <si>
    <t>The following table should be completed based on the information requested below.  An explanation should be provided for any blank entries.</t>
  </si>
  <si>
    <t>100% of the balance in Account 1592,  PILs and Tax Variances for 2006 and Subsequent Years, Sub-account HST/OVAT Input Tax Credits (ITCs), should be recorded in this table.</t>
  </si>
  <si>
    <t>Summary of PST Savings from 2009 Historic Year Analysis</t>
  </si>
  <si>
    <t>Total Account 1592, sub-account HST/OVAT Balance</t>
  </si>
  <si>
    <t>OM&amp;A Expenses PST Savings</t>
  </si>
  <si>
    <t>Capital Items PST Savings</t>
  </si>
  <si>
    <r>
      <t xml:space="preserve">Total Annual PST Savings </t>
    </r>
    <r>
      <rPr>
        <vertAlign val="superscript"/>
        <sz val="10"/>
        <color indexed="8"/>
        <rFont val="Arial"/>
        <family val="2"/>
      </rPr>
      <t>2</t>
    </r>
  </si>
  <si>
    <r>
      <rPr>
        <b/>
        <sz val="10"/>
        <color indexed="8"/>
        <rFont val="Arial"/>
        <family val="2"/>
      </rPr>
      <t>Note:</t>
    </r>
    <r>
      <rPr>
        <sz val="10"/>
        <color indexed="8"/>
        <rFont val="Arial"/>
        <family val="2"/>
      </rPr>
      <t xml:space="preserve"> Assumes level OM&amp;A and Capital Spending year over year.  An alternative detailed transactional analysis may also be performed using actual expenditures from 2010 to the start of the rate year.</t>
    </r>
  </si>
  <si>
    <t>Principal 
2010</t>
  </si>
  <si>
    <t>Principal 
2011</t>
  </si>
  <si>
    <t>Principal 
2012</t>
  </si>
  <si>
    <t>Principal 
2013</t>
  </si>
  <si>
    <r>
      <t xml:space="preserve">Amounts, if any, included in previous Board approved rates (amounts should be negative) </t>
    </r>
    <r>
      <rPr>
        <vertAlign val="superscript"/>
        <sz val="10"/>
        <rFont val="Arial"/>
        <family val="2"/>
      </rPr>
      <t>3</t>
    </r>
  </si>
  <si>
    <t>If there were any amounts approved in previous Board approved rates, please state the EB #:</t>
  </si>
  <si>
    <t>Summary of Impacts to Revenue Requirement</t>
  </si>
  <si>
    <t>Revenue Requirement Component</t>
  </si>
  <si>
    <t xml:space="preserve">Reasons why the revenue requirement </t>
  </si>
  <si>
    <t>component is different under</t>
  </si>
  <si>
    <t>Average NBV</t>
  </si>
  <si>
    <t>Working Capital</t>
  </si>
  <si>
    <t>Rate Base</t>
  </si>
  <si>
    <t>Return on Rate Base</t>
  </si>
  <si>
    <t>Depreciation</t>
  </si>
  <si>
    <t>PILs or Income Taxes</t>
  </si>
  <si>
    <t>Less: Revenue Offsets</t>
  </si>
  <si>
    <t>Total Base Revenue Requirement</t>
  </si>
  <si>
    <t>Load Management Controls - Customer Premises</t>
  </si>
  <si>
    <t>The applicant should ensure that the years for new additions of assets are the asset useful lives determined by management in accordance with the Board's regulatory accounting policies.   The capitalization and depreciation expense accounting changes should be implemented consistent with the Board’s regulatory accounting policies as set out for modified IFRS as contained in the Report of the Board, Transition to International Financial Reporting Standards, EB-2008-0408, the Kinectrics Report, and the Revised 2012 Accounting Procedures Handbook for Electricity Distributors (“APH”).</t>
  </si>
  <si>
    <t>A recalculation should be performed to determine the average remaining life of opening balance of assets (i.e. excluding 2012 additions) under the change in policies under CGAAP.  For example, Asset A had a useful life of 20 years under CGAAP without the change in policies.  On January 1, 2012, the effective date of the changes in policies, Asset A was 3 years depreciated. As a result, Asset A would have a remaining service life of 17 years (20 years less 3 years) as of January 1, 2012.  Due to making the change in policies under CGAAP, management re-assessed the asset useful lives and concluded that the revised useful life of Asset A is now 30 years. Therefore, the average remaining useful life of the opening balance of Asset A is determined to be 27 years (30 years less 3 years) under the revised CGAAP as of January 1, 2012.</t>
  </si>
  <si>
    <t>LDC Info</t>
  </si>
  <si>
    <t>Appendix 2-BB Service Life Comp</t>
  </si>
  <si>
    <t>Instruction for App. 2-C MIFRS</t>
  </si>
  <si>
    <t>App.2-CA_CGAAP_DepExp_2011</t>
  </si>
  <si>
    <t>App.2-CB_MIFRS_DepExp_2011</t>
  </si>
  <si>
    <t>App.2-CC_MIFRS_DepExp_2012</t>
  </si>
  <si>
    <t>App.2-CD_MIFRS_DepExp_2013</t>
  </si>
  <si>
    <t>App.2-CE_MIFRS_DepExp_2014</t>
  </si>
  <si>
    <t>App.2-CF_CGAAP_DepExp_2012</t>
  </si>
  <si>
    <t>App.2-CG_MIFRS_DepExp_2012</t>
  </si>
  <si>
    <t>App.2-CH_MIFRS_DepExp_2013</t>
  </si>
  <si>
    <t>App.2-CI_MIFRS_DepExp_2014</t>
  </si>
  <si>
    <t>App.2-CJ_CGAAP_DepExp_2012</t>
  </si>
  <si>
    <t>App.2-CK_CGAAP_DepExp_2013</t>
  </si>
  <si>
    <t>App.2-CL_MIFRS_DepExp_2013</t>
  </si>
  <si>
    <t>App.2-CM_MIFRS_DepExp_2014</t>
  </si>
  <si>
    <t>Instruction for App. 2-C CGAAP</t>
  </si>
  <si>
    <t>App.2-CN_OldCGAAP_DepExp_2012</t>
  </si>
  <si>
    <t>App.2-CO_NewCGAAP_DepExp_2012</t>
  </si>
  <si>
    <t>App.2-CP_NewCGAAP_DepExp_2013</t>
  </si>
  <si>
    <t>App.2-CQ NewCGAAP_DepExp_2014</t>
  </si>
  <si>
    <t>App.2-CR_OldCGAAP_DepExp_2012</t>
  </si>
  <si>
    <t>App.2-CS_OldCGAAP_DepExp_2013</t>
  </si>
  <si>
    <t>App.2-CT_NewCGAAP_DepExp_2013</t>
  </si>
  <si>
    <t>App.2-CU_NewCGAAP_DepExp_2014</t>
  </si>
  <si>
    <t>App.2-DA_Overhead</t>
  </si>
  <si>
    <t>App.2-DB_Overhead</t>
  </si>
  <si>
    <t>App.2-EA_PP&amp;E Deferral Account</t>
  </si>
  <si>
    <t>App.2-EB_PP&amp;E Deferral Account</t>
  </si>
  <si>
    <t>App.2-EC_PP&amp;E Deferral Account</t>
  </si>
  <si>
    <t>App.2-ED_Account 1576 (2012)</t>
  </si>
  <si>
    <t>App.2-EE_Account 1576 (2013)</t>
  </si>
  <si>
    <t>App.2-FA Proposed REG Invest.</t>
  </si>
  <si>
    <t>App.2-G SQI</t>
  </si>
  <si>
    <t>App.2-H_Other_Oper_Rev</t>
  </si>
  <si>
    <t>App.2-I LF_CDM_WF</t>
  </si>
  <si>
    <t>App.2-K_Employee Costs</t>
  </si>
  <si>
    <t>App.2-L_OM&amp;A_per_Cust_FTEE</t>
  </si>
  <si>
    <t>App.2-M_Regulatory_Costs</t>
  </si>
  <si>
    <t>App.2-N_Corp_Cost_Allocation</t>
  </si>
  <si>
    <t>App.2-OA Capital Structure</t>
  </si>
  <si>
    <t>App.2-OB_Debt Instruments</t>
  </si>
  <si>
    <t>App.2-P_Cost_Allocation</t>
  </si>
  <si>
    <t>App.2-Q_Cost of Serv. Emb. Dx</t>
  </si>
  <si>
    <t>App.2-R_Loss Factors</t>
  </si>
  <si>
    <t>App.2-S_Stranded Meters</t>
  </si>
  <si>
    <t>App.2-TA_1592_Tax_Variance</t>
  </si>
  <si>
    <t>App.2-TB_1592_HST-OVAT</t>
  </si>
  <si>
    <t>App.2-U_IFRS Transition Costs</t>
  </si>
  <si>
    <t>App.2-V_Rev_Reconciliation</t>
  </si>
  <si>
    <t>App.2-W_Bill Impacts</t>
  </si>
  <si>
    <t>App.2-YA_MIFRS Summary Impacts</t>
  </si>
  <si>
    <t>App. 2-YB_CGAAP Summary Impacts</t>
  </si>
  <si>
    <t>Sheet19</t>
  </si>
  <si>
    <t>x</t>
  </si>
  <si>
    <t>o</t>
  </si>
  <si>
    <t>n</t>
  </si>
  <si>
    <t>USGAAP</t>
  </si>
  <si>
    <t>App.2-CV_USGAAP_DepExp</t>
  </si>
  <si>
    <r>
      <t xml:space="preserve">Less Other Non Rate-Regulated Utility Assets </t>
    </r>
    <r>
      <rPr>
        <b/>
        <i/>
        <sz val="9"/>
        <rFont val="Arial"/>
        <family val="2"/>
      </rPr>
      <t>(input as negative)</t>
    </r>
  </si>
  <si>
    <r>
      <t xml:space="preserve">Less Socialized Renewable Energy Generation Investments </t>
    </r>
    <r>
      <rPr>
        <b/>
        <sz val="9"/>
        <rFont val="Arial"/>
        <family val="2"/>
      </rPr>
      <t>(input as negative)</t>
    </r>
  </si>
  <si>
    <t xml:space="preserve">Total Recoverable OM&amp;A Expenses </t>
  </si>
  <si>
    <t>3     Recoverable OM&amp;A that is included on these tables should be identical to the recoverable OM&amp;A that is shown for the corresponding periods on Appendix 2-JB.</t>
  </si>
  <si>
    <t>For purposes of assessing incremental cost drivers, the closing balance for each year becomes the opening balance for the next year.</t>
  </si>
  <si>
    <t>Total Recoverable OM&amp;A from Appendix 2-JB</t>
  </si>
  <si>
    <t>Customers/FTEs</t>
  </si>
  <si>
    <t>OM&amp;A Cost per FTE</t>
  </si>
  <si>
    <t>The method of calculating the number of FTEs must be identified.  See also Appendix 2-K</t>
  </si>
  <si>
    <t>The number of customers and the number of FTEs should correspond to mid-year or average of January 1 and December 31 figures.</t>
  </si>
  <si>
    <r>
      <t xml:space="preserve">Please fill out the following table for all </t>
    </r>
    <r>
      <rPr>
        <b/>
        <u/>
        <sz val="10"/>
        <rFont val="Arial"/>
        <family val="2"/>
      </rPr>
      <t>one-time</t>
    </r>
    <r>
      <rPr>
        <b/>
        <sz val="10"/>
        <rFont val="Arial"/>
        <family val="2"/>
      </rPr>
      <t xml:space="preserve"> costs related to this cost of service application to be amortized over the test year plus the IRM period.</t>
    </r>
  </si>
  <si>
    <t>Incremental operating expenses associated with staff resources allocated to this application.</t>
  </si>
  <si>
    <t>Consultants' costs</t>
  </si>
  <si>
    <t>Expert Witness costs</t>
  </si>
  <si>
    <t>Legal costs</t>
  </si>
  <si>
    <t>Pricing Methodology</t>
  </si>
  <si>
    <t>Services such as billing, accounting, payroll, etc.  The applicant must identify any costs related to the Board of Directors of the parent company that are allocated to the applicant.</t>
  </si>
  <si>
    <t>Pricing Methodology includes approaches such as cost-base, market-base, tendering, etc.  The applicant must provide evidence demonstrating the pricing methodology used.  The applicant must also provide a description of why that pricing methodology was chosen, whether or not it is in conformity with ARC, and why it is appropriate.</t>
  </si>
  <si>
    <t>The applicant must provide the percentage of the costs allocated to the entity for the service being offered.  The Applicant must also provide a description of the allocator and why it is an appropriate allocator.</t>
  </si>
  <si>
    <t>Additional Comments, if any</t>
  </si>
  <si>
    <t>This table must be completed for all required historical years, the bridge year and the test year.</t>
  </si>
  <si>
    <t>This table must be completed for the last Board approved year and the test year.</t>
  </si>
  <si>
    <t>1     Previously Approved Revenue-to-Cost Ratios - For most applicants, Most Recent Year would be the third year of the IRM 3 period,  e.g. if the applicant rebased in 2009 with further adjustments over 2 years, the Most recent year is 2011.  For applicants whose most recent rebasing year is 2006, the applicant should enter the ratios from their Informational Filing.</t>
  </si>
  <si>
    <r>
      <t>Scenario B:</t>
    </r>
    <r>
      <rPr>
        <i/>
        <sz val="10"/>
        <rFont val="Arial"/>
        <family val="2"/>
      </rPr>
      <t xml:space="preserve">  If the stranded meter costs remained recorded in Account 1860, the above table should be completed and the following information should be provided in Exhibit 9:</t>
    </r>
  </si>
  <si>
    <r>
      <t>Scenario A:</t>
    </r>
    <r>
      <rPr>
        <i/>
        <sz val="10"/>
        <rFont val="Arial"/>
        <family val="2"/>
      </rPr>
      <t xml:space="preserve">  If the stranded meter costs were transferred to "Sub-account Stranded Meter Costs" of Account 1555, the above table should be completed and the following information should be provided in Exhibit 9.</t>
    </r>
  </si>
  <si>
    <t>COS Flowchart</t>
  </si>
  <si>
    <t>List of Key References</t>
  </si>
  <si>
    <t>App. 2-Z_Tariff</t>
  </si>
  <si>
    <t>Is CDM adjustment being done on a "net" or "gross" basis?</t>
  </si>
  <si>
    <t>net</t>
  </si>
  <si>
    <t xml:space="preserve">The proposed loss factor should correspond with the loss factor calculated in Appendix 2-R </t>
  </si>
  <si>
    <r>
      <t xml:space="preserve">If fully embedded with the host distributor, kWh pertains to a metering installation on the secondary or low voltage side of the transformer at the interface between the embedded distributor and the host distributor.  For example, if the host distributor is Hydro One Networks Inc., kWh from the Hydro One Networks' invoice corresponding to "Total kWh" should be reported.  This corresponds to the </t>
    </r>
    <r>
      <rPr>
        <u/>
        <sz val="10"/>
        <rFont val="Arial"/>
        <family val="2"/>
      </rPr>
      <t>lower</t>
    </r>
    <r>
      <rPr>
        <sz val="10"/>
        <rFont val="Arial"/>
        <family val="2"/>
      </rPr>
      <t xml:space="preserve"> of the two kWh values provided in Hydro One Networks' invoice.</t>
    </r>
  </si>
  <si>
    <t>Note that cells with the highlighted color shown to the left indicate quantities that are loss adjusted.</t>
  </si>
  <si>
    <r>
      <t xml:space="preserve">·         </t>
    </r>
    <r>
      <rPr>
        <b/>
        <i/>
        <sz val="10"/>
        <rFont val="Arial"/>
        <family val="2"/>
      </rPr>
      <t>Type of Service:</t>
    </r>
  </si>
  <si>
    <r>
      <t xml:space="preserve">·         </t>
    </r>
    <r>
      <rPr>
        <b/>
        <i/>
        <sz val="10"/>
        <rFont val="Arial"/>
        <family val="2"/>
      </rPr>
      <t>Pricing Methodology:</t>
    </r>
  </si>
  <si>
    <r>
      <t xml:space="preserve">·         </t>
    </r>
    <r>
      <rPr>
        <b/>
        <i/>
        <sz val="10"/>
        <rFont val="Arial"/>
        <family val="2"/>
      </rPr>
      <t>% Allocation:</t>
    </r>
  </si>
  <si>
    <t>This appendix must be completed in relation to each service provided or received for the Historical (actuals), Bridge and Test years. The required information includes:</t>
  </si>
  <si>
    <t>Appendix 2-JC</t>
  </si>
  <si>
    <t>Cost of Service Application Flowchart</t>
  </si>
  <si>
    <t>Appendix 2-BB: Service Life Comparison</t>
  </si>
  <si>
    <t>Adjustments for Total non-recoverable items (from Appendices 2-JA and 2-JB)</t>
  </si>
  <si>
    <t xml:space="preserve">Total OM&amp;A Expenses </t>
  </si>
  <si>
    <t>5 Year Historical Average</t>
  </si>
  <si>
    <t>All costs entered on this page will be transferred to the appropriate cells in the appendices that follow.</t>
  </si>
  <si>
    <t>Part A</t>
  </si>
  <si>
    <t>REI Investments (Direct Benefit at 6%)</t>
  </si>
  <si>
    <t>Project 1</t>
  </si>
  <si>
    <t>Capital Costs</t>
  </si>
  <si>
    <t>OM&amp;A (Start-Up)</t>
  </si>
  <si>
    <t>OM&amp;A (Ongoing)</t>
  </si>
  <si>
    <t>Project 2</t>
  </si>
  <si>
    <t>Project 3</t>
  </si>
  <si>
    <t>Project 4</t>
  </si>
  <si>
    <t>Project 5</t>
  </si>
  <si>
    <t>Part B</t>
  </si>
  <si>
    <t>Expansion Investments (Direct Benefit at 17%)</t>
  </si>
  <si>
    <r>
      <rPr>
        <b/>
        <sz val="10"/>
        <rFont val="Arial"/>
        <family val="2"/>
      </rPr>
      <t>For Part A</t>
    </r>
    <r>
      <rPr>
        <sz val="10"/>
        <rFont val="Arial"/>
        <family val="2"/>
      </rPr>
      <t>, Renewable Enabling Improvements (REI), these amounts will be transferred to Appendix 2 - FB</t>
    </r>
  </si>
  <si>
    <r>
      <rPr>
        <b/>
        <sz val="10"/>
        <rFont val="Arial"/>
        <family val="2"/>
      </rPr>
      <t>For Part B</t>
    </r>
    <r>
      <rPr>
        <sz val="10"/>
        <rFont val="Arial"/>
        <family val="2"/>
      </rPr>
      <t>, Expansions, these amounts will be transferred to Appendix 2 - FC</t>
    </r>
  </si>
  <si>
    <t>Appendix 2-FB</t>
  </si>
  <si>
    <t>Calculation of Renewable Generation Connection Direct Benefits/Provincial Amount: Renewable Enabling Improvement Investments</t>
  </si>
  <si>
    <t>This table will calculate the distributor/provincial shares of the investments entered in Part A of Appendix 2-FA.</t>
  </si>
  <si>
    <t>Enter values in green shaded cells: WCA percentage, debt percentages, interest rates, kWh, tax rates, amortization period, CCA Class and percentage.</t>
  </si>
  <si>
    <t>Rate Riders are not calculated for Test Year as these assets and costs are already in the distributor's rate base/revenue requirement.</t>
  </si>
  <si>
    <t>Direct Benefit</t>
  </si>
  <si>
    <t>Provincial</t>
  </si>
  <si>
    <t>Net Fixed Assets (average)</t>
  </si>
  <si>
    <t>Incremental OM&amp;A (start-up, applicable for Provincial Recovery)</t>
  </si>
  <si>
    <t>WCA</t>
  </si>
  <si>
    <t>Deemed ST Debt</t>
  </si>
  <si>
    <t>Deemed LT Debt</t>
  </si>
  <si>
    <t>Deemed Equity</t>
  </si>
  <si>
    <t>ST Interest</t>
  </si>
  <si>
    <t>LT Interest</t>
  </si>
  <si>
    <t>ROE</t>
  </si>
  <si>
    <t>Cost of Capital Total</t>
  </si>
  <si>
    <t>Amortization</t>
  </si>
  <si>
    <t>Grossed-up PILs</t>
  </si>
  <si>
    <t>Revenue Requirement</t>
  </si>
  <si>
    <t>Provincial Rate Protection</t>
  </si>
  <si>
    <t>PILs Calculation</t>
  </si>
  <si>
    <t>Income Tax</t>
  </si>
  <si>
    <t>Net Income - ROE on Rate Base</t>
  </si>
  <si>
    <r>
      <t>Amortization</t>
    </r>
    <r>
      <rPr>
        <i/>
        <sz val="10"/>
        <rFont val="Arial"/>
        <family val="2"/>
      </rPr>
      <t xml:space="preserve"> </t>
    </r>
    <r>
      <rPr>
        <sz val="10"/>
        <rFont val="Arial"/>
        <family val="2"/>
      </rPr>
      <t>(6% DB and 94% P)</t>
    </r>
  </si>
  <si>
    <t>CCA (6% DB and 94% P)</t>
  </si>
  <si>
    <t>Taxable income</t>
  </si>
  <si>
    <t>Tax Rate  (to be entered)</t>
  </si>
  <si>
    <t>Income Taxes Payable</t>
  </si>
  <si>
    <t>Gross Up</t>
  </si>
  <si>
    <t>Grossed Up PILs</t>
  </si>
  <si>
    <t>Net Fixed Assets</t>
  </si>
  <si>
    <t>Enter applicable amortization in years:</t>
  </si>
  <si>
    <t>Opening Gross Fixed Assets</t>
  </si>
  <si>
    <t>Gross Capital Additions</t>
  </si>
  <si>
    <t>Closing Gross Fixed Assets</t>
  </si>
  <si>
    <t>Opening Accumulated Amortization</t>
  </si>
  <si>
    <t>Current Year Amortization (before additions)</t>
  </si>
  <si>
    <t>Additions (half year)</t>
  </si>
  <si>
    <t>Closing Accumulated Amortization</t>
  </si>
  <si>
    <t>Opening Net Fixed Assets</t>
  </si>
  <si>
    <t>Closing Net Fixed Assets</t>
  </si>
  <si>
    <t>Average Net Fixed Assets</t>
  </si>
  <si>
    <t>UCC for PILs Calculation</t>
  </si>
  <si>
    <t>Opening UCC</t>
  </si>
  <si>
    <t>Capital Additions (from Appendix 2-FA)</t>
  </si>
  <si>
    <t>UCC Before Half Year Rule</t>
  </si>
  <si>
    <t>Half Year Rule (1/2 Additions - Disposals)</t>
  </si>
  <si>
    <t>Reduced UCC</t>
  </si>
  <si>
    <t>CCA Rate Class (to be entered)</t>
  </si>
  <si>
    <t>CCA Rate  (to be entered)</t>
  </si>
  <si>
    <t>CCA</t>
  </si>
  <si>
    <t>Closing UCC</t>
  </si>
  <si>
    <t>Incremental OM&amp;A (on-going, N/A for Provincial Recovery)</t>
  </si>
  <si>
    <t>Appendix 2-FC</t>
  </si>
  <si>
    <t>Calculation of Renewable Generation Connection Direct Benefits/Provincial Amount: Renewable Expansion Investments</t>
  </si>
  <si>
    <t>This table will calculate the distributor/provincial shares of the investments entered in Part B of Appendix 2-FA.</t>
  </si>
  <si>
    <t>Appendix 2-AA</t>
  </si>
  <si>
    <t>First year of Forecast Period:</t>
  </si>
  <si>
    <t>CATEGORY</t>
  </si>
  <si>
    <t>Plan</t>
  </si>
  <si>
    <t>Var</t>
  </si>
  <si>
    <t>$ '000</t>
  </si>
  <si>
    <t>System Access</t>
  </si>
  <si>
    <t>System Renewal</t>
  </si>
  <si>
    <t>System Service</t>
  </si>
  <si>
    <t>General Plant</t>
  </si>
  <si>
    <t>TOTAL EXPENDITURE</t>
  </si>
  <si>
    <t>System O&amp;M</t>
  </si>
  <si>
    <t>Notes to the Table:</t>
  </si>
  <si>
    <t>Explanatory Notes on Variances (complete only if applicable)</t>
  </si>
  <si>
    <t>Notes on year over year Plan vs. Actual variances for Total Expenditures</t>
  </si>
  <si>
    <t>Notes on Plan vs. Actual variance trends for individual expenditure categories</t>
  </si>
  <si>
    <t>Table 2 - Capital Expenditure Summary from Chapter 5 Consolidated
Distribution System Plan Filing Requirements</t>
  </si>
  <si>
    <r>
      <t xml:space="preserve">Historical Period </t>
    </r>
    <r>
      <rPr>
        <sz val="10"/>
        <rFont val="Arial"/>
        <family val="2"/>
      </rPr>
      <t>(previous plan</t>
    </r>
    <r>
      <rPr>
        <vertAlign val="superscript"/>
        <sz val="10"/>
        <rFont val="Arial"/>
        <family val="2"/>
      </rPr>
      <t>1</t>
    </r>
    <r>
      <rPr>
        <sz val="10"/>
        <rFont val="Arial"/>
        <family val="2"/>
      </rPr>
      <t xml:space="preserve"> &amp; actual)</t>
    </r>
  </si>
  <si>
    <r>
      <t xml:space="preserve">Forecast Period </t>
    </r>
    <r>
      <rPr>
        <sz val="10"/>
        <rFont val="Arial"/>
        <family val="2"/>
      </rPr>
      <t>(planned)</t>
    </r>
  </si>
  <si>
    <r>
      <t>Actual</t>
    </r>
    <r>
      <rPr>
        <b/>
        <vertAlign val="superscript"/>
        <sz val="10"/>
        <rFont val="Arial"/>
        <family val="2"/>
      </rPr>
      <t>2</t>
    </r>
  </si>
  <si>
    <t>1.  Historical “previous plan” data is not required unless a plan has previously been filed</t>
  </si>
  <si>
    <t>2.  Indicate the number of months of 'actual' data included in the last year of the Historical Period (normally a 'bridge' year):</t>
  </si>
  <si>
    <t>Table of Contents</t>
  </si>
  <si>
    <t>App.2-AA_Capital Projects</t>
  </si>
  <si>
    <t>App.2-AB_Capital Expenditures</t>
  </si>
  <si>
    <t xml:space="preserve">            Net Additions - Note 4</t>
  </si>
  <si>
    <r>
      <t xml:space="preserve">            Net Depreciation</t>
    </r>
    <r>
      <rPr>
        <sz val="9"/>
        <color indexed="8"/>
        <rFont val="Arial"/>
        <family val="2"/>
      </rPr>
      <t xml:space="preserve"> (amounts should be negative) - Note 4</t>
    </r>
  </si>
  <si>
    <t>Effect on Deferral and Variance Account Rate Riders</t>
  </si>
  <si>
    <t># of years of rate rider disposition period</t>
  </si>
  <si>
    <t xml:space="preserve">     Amount included in Deferral and Variance Account Rate Rider Calculation</t>
  </si>
  <si>
    <t>2 Return on rate base associated with deferred balance is calculated as:</t>
  </si>
  <si>
    <r>
      <t xml:space="preserve">3  </t>
    </r>
    <r>
      <rPr>
        <sz val="10"/>
        <rFont val="Arial"/>
        <family val="2"/>
      </rPr>
      <t>T</t>
    </r>
    <r>
      <rPr>
        <sz val="10"/>
        <color indexed="8"/>
        <rFont val="Arial"/>
        <family val="2"/>
      </rPr>
      <t>he  PP&amp;E deferral account is cleared by including the total balance in the deferral and variance account rate rider calculation.</t>
    </r>
  </si>
  <si>
    <t xml:space="preserve">Difference in Closing net PP&amp;E, former CGAAP vs. revised CGAAP </t>
  </si>
  <si>
    <t>Closing balance in Account 1576</t>
  </si>
  <si>
    <t>Return on Rate Base Associated with Account 1576 balance at WACC  - Note 2</t>
  </si>
  <si>
    <t>2 Return on rate base associated with Account 1576 balance is calculated as:</t>
  </si>
  <si>
    <t>3  Account 1576 is cleared by including the total balance in the deferral and variance account rate rider calculation.</t>
  </si>
  <si>
    <t>App.2-BA1_Fix Asset Cont.CGAAP</t>
  </si>
  <si>
    <t>App.2-BA2_Fix Asset Cont.MIFRS</t>
  </si>
  <si>
    <t>Line Losses on Cost of Power</t>
  </si>
  <si>
    <t>Did you update your depreciation and capitalization policies?</t>
  </si>
  <si>
    <t>When did you update your depreciation and capitalization policies?</t>
  </si>
  <si>
    <t>Management (including executive)</t>
  </si>
  <si>
    <t>Non-Management (union and non-union)</t>
  </si>
  <si>
    <t>Total Salary and Wages including ovetime and incentive pay</t>
  </si>
  <si>
    <r>
      <t>1</t>
    </r>
    <r>
      <rPr>
        <b/>
        <sz val="10"/>
        <rFont val="Arial"/>
        <family val="2"/>
      </rPr>
      <t xml:space="preserve"> If an applicant wishes to use headcount, it must also file the same schedule on an FTE basis.</t>
    </r>
  </si>
  <si>
    <t>ASPE</t>
  </si>
  <si>
    <t>App.2-FC Calc of REG Expansion</t>
  </si>
  <si>
    <t>App.2-FB Calc of REG Improvemnt</t>
  </si>
  <si>
    <t>RESIDENTIAL Service Classification</t>
  </si>
  <si>
    <t>APPLICATION</t>
  </si>
  <si>
    <t>MONTHLY RATES AND CHARGES - Regulatory Component</t>
  </si>
  <si>
    <t>Wholesale Market Service Rate</t>
  </si>
  <si>
    <t>Rural Rate Protection Charge</t>
  </si>
  <si>
    <t>Standard Supply Service - Administrative Charge (if applicable)</t>
  </si>
  <si>
    <t>ALLOWANCES</t>
  </si>
  <si>
    <t>Transformer Allowance for Ownership - per kW of billing demand/month</t>
  </si>
  <si>
    <t>Primary Metering Allowance for transformer losses – applied to measured demand and energy</t>
  </si>
  <si>
    <t>SPECIFIC SERVICE CHARGES</t>
  </si>
  <si>
    <t>Customer Administration</t>
  </si>
  <si>
    <t>Non-Payment of Account</t>
  </si>
  <si>
    <t>RETAIL SERVICE CHARGES (if applicable)</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</si>
  <si>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</si>
  <si>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</si>
  <si>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</si>
  <si>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</si>
  <si>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</si>
  <si>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</si>
  <si>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</si>
  <si>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</si>
  <si>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</si>
  <si>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</si>
  <si>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</si>
  <si>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</si>
  <si>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</si>
  <si>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</si>
  <si>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</si>
  <si>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</si>
  <si>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</si>
  <si>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</si>
  <si>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TARIFF OF RATES AND CHARGES</t>
  </si>
  <si>
    <t>This schedule supersedes and replaces all previously</t>
  </si>
  <si>
    <t>approved schedules of Rates, Charges and Loss Factors</t>
  </si>
  <si>
    <t>Programs</t>
  </si>
  <si>
    <t>Select the appropriate rate classes as they appear on your most recent Board-Approved Tariff of Rates and Charges, including the MicroFit Class.</t>
  </si>
  <si>
    <t>How many classes are listed on your most recent Board-Approved Tariff of Rates and Charges?</t>
  </si>
  <si>
    <t>DISTRIBUTED GENERATION [DGEN]</t>
  </si>
  <si>
    <t>Embedded Distributor</t>
  </si>
  <si>
    <t>Units</t>
  </si>
  <si>
    <t>Units1</t>
  </si>
  <si>
    <t>Units2</t>
  </si>
  <si>
    <t>Account History</t>
  </si>
  <si>
    <t>Account set up charge/change of occupancy charge (plus credit agency costs if applicable)</t>
  </si>
  <si>
    <t>Total Loss Factor – Embedded Distributor – Hydro One Networks Inc.</t>
  </si>
  <si>
    <t>Sub-Total:  Delivery (Distribution and Retail Transmission)</t>
  </si>
  <si>
    <t>EMBEDDED DISTRIBUTOR</t>
  </si>
  <si>
    <t>General Service 3,000 to 4,999 kW</t>
  </si>
  <si>
    <t>Distribution Volumetric Rate - $/kW of contracted amount</t>
  </si>
  <si>
    <t>Total Loss Factor – Primary Metered Customer</t>
  </si>
  <si>
    <t>$/kWh</t>
  </si>
  <si>
    <t>Account set up charge/change of occupancy charge</t>
  </si>
  <si>
    <t>Administrative Billing Charge</t>
  </si>
  <si>
    <t xml:space="preserve">Wholesale Market Service Rate </t>
  </si>
  <si>
    <t>General Service 1,000 to 4,999 kW</t>
  </si>
  <si>
    <t>Distribution Wheeling Service Rate</t>
  </si>
  <si>
    <t>Total Loss Factor – Primary Metered Customer &lt; 5,000 kW</t>
  </si>
  <si>
    <t>$/kW</t>
  </si>
  <si>
    <t>MSC</t>
  </si>
  <si>
    <t>Account set up charge/change of occupancy charge (plus credit agency costs if applicable – Residential)</t>
  </si>
  <si>
    <t>Bell Canada Pole Rentals</t>
  </si>
  <si>
    <t xml:space="preserve">Attawapiskat Power Corp. </t>
  </si>
  <si>
    <t>FARMS - SINGLE PHASE ENERGY-BILLED [F1]</t>
  </si>
  <si>
    <t>General Service Equal To Or Greater Than 1,500 kW - Interval Metered</t>
  </si>
  <si>
    <t>General Service 1,500 to 4,999 kW customer</t>
  </si>
  <si>
    <t>Total Loss Factor – Primary Metered Customer &gt; 5,000 kW</t>
  </si>
  <si>
    <t>$/kVA</t>
  </si>
  <si>
    <t>SM_Rate_Adder</t>
  </si>
  <si>
    <t>Clearance Pole Attachment charge $/pole/year</t>
  </si>
  <si>
    <t>Bluewater Power Distribution Corporation</t>
  </si>
  <si>
    <t>Standard Supply Service – Administration Charge (if applicable)</t>
  </si>
  <si>
    <t>FARMS - THREE PHASE ENERGY-BILLED [F3]</t>
  </si>
  <si>
    <t>General Service 50 to 1,499 kW customer</t>
  </si>
  <si>
    <t>Total Loss Factor – Secondary Metered Customer</t>
  </si>
  <si>
    <t>MSC_Rate_Rider_</t>
  </si>
  <si>
    <t>Arrears certificate</t>
  </si>
  <si>
    <t>Collection of account charge – no disconnection</t>
  </si>
  <si>
    <t>Brant County Power Inc.</t>
  </si>
  <si>
    <t>Sub-Total:  Regulatory</t>
  </si>
  <si>
    <t>GENERAL SERVICE - COMMERCIAL</t>
  </si>
  <si>
    <t>General Service Large Use customer</t>
  </si>
  <si>
    <t>VC</t>
  </si>
  <si>
    <t>Arrears certificate (credit reference)</t>
  </si>
  <si>
    <t>Collection of account charge – no disconnection – after regular hours</t>
  </si>
  <si>
    <t>GENERAL SERVICE - INSTITUTIONAL</t>
  </si>
  <si>
    <t>Green Energy Act Plan Funding Adder - effective April 1, 2013 until March 31, 2014</t>
  </si>
  <si>
    <t>GENERAL SERVICE 1,000 TO 2,999 KW</t>
  </si>
  <si>
    <t>Total Loss Factor – Secondary Metered Customer &gt; 5,000 kW</t>
  </si>
  <si>
    <t>VC_Rate_Rider_</t>
  </si>
  <si>
    <t>Charge to certify cheque</t>
  </si>
  <si>
    <t>Collection of account charge – no disconnection - during regular business hours</t>
  </si>
  <si>
    <t>Cambridge and North Dumfries Hydro Inc.</t>
  </si>
  <si>
    <t>Total Bill on RPP (before taxes)</t>
  </si>
  <si>
    <t>GENERAL SERVICE 1,000 TO 4,999 KW - INTERVAL METERS</t>
  </si>
  <si>
    <t>Distribution Loss Factor - Secondary Metered Customer &lt; 5,000 kW</t>
  </si>
  <si>
    <t>VC_GA_Rate_Rider_kW_</t>
  </si>
  <si>
    <t>Collection of Account Charge – No Disconnection</t>
  </si>
  <si>
    <t>Collection of account charge – no disconnection – during regular hours</t>
  </si>
  <si>
    <t>Canadian Niagara Power Inc.</t>
  </si>
  <si>
    <t>Canadian Niagara Power Inc. - Eastern Ontario Power</t>
  </si>
  <si>
    <t>GENERAL SERVICE 1,000 TO 4,999 KW (CO-GENERATION)</t>
  </si>
  <si>
    <t>Low Voltage Service Rate</t>
  </si>
  <si>
    <t>Distribution Loss Factor - Secondary Metered Customer &gt; 5,000 kW</t>
  </si>
  <si>
    <t>VC_LV_Rate</t>
  </si>
  <si>
    <t>Credit Card Convenience Charge</t>
  </si>
  <si>
    <t>Collection/Disconnection/Load Limiter/Reconnection – if in Community</t>
  </si>
  <si>
    <t>Canadian Niagara Power Inc. - Fort Erie</t>
  </si>
  <si>
    <t>Total Bill (including HST)</t>
  </si>
  <si>
    <t>GENERAL SERVICE 1,000 TO 4,999 KW</t>
  </si>
  <si>
    <t>Low Voltage Volumetric Rate</t>
  </si>
  <si>
    <t>Distribution Loss Factor - Primary Metered Customer &lt; 5,000 kW</t>
  </si>
  <si>
    <t>RTSR_Network</t>
  </si>
  <si>
    <t>Credit check (plus credit agency costs)</t>
  </si>
  <si>
    <t>Canadian Niagara Power Inc. - Port Colborne Hydro Inc.</t>
  </si>
  <si>
    <t>Ontario Clean Energy Benefit (OCEB)</t>
  </si>
  <si>
    <t>GENERAL SERVICE 1,500 TO 4,999 KW</t>
  </si>
  <si>
    <t>Distribution Loss Factor - Primary Metered Customer &gt; 5,000 kW</t>
  </si>
  <si>
    <t>RTSR_Connection</t>
  </si>
  <si>
    <t>Credit reference Letter</t>
  </si>
  <si>
    <t>Disconnect/Reconnect at meter – after regular hours</t>
  </si>
  <si>
    <t>Clinton Power Corporation</t>
  </si>
  <si>
    <t>GENERAL SERVICE 2,500 TO 4,999 KW</t>
  </si>
  <si>
    <t>Minimum Distribution Charge - per KW of maximum billing demand in the previous 11 months</t>
  </si>
  <si>
    <t>COLLUS Power Corporation</t>
  </si>
  <si>
    <t>GENERAL SERVICE 3,000 TO 4,999 KW - INTERMEDIATE USE</t>
  </si>
  <si>
    <t>Monthly Distribution Wheeling Service Rate - Dedicated LV Line</t>
  </si>
  <si>
    <t>Total Loss Factor - Embedded Distributor</t>
  </si>
  <si>
    <t>RTSR_Network_Interval</t>
  </si>
  <si>
    <t>Credit reference/credit check (plus credit agency costs – General Service)</t>
  </si>
  <si>
    <t>Disconnect/Reconnect at meter – during regular hours</t>
  </si>
  <si>
    <t>Total Bill on TOU (before taxes)</t>
  </si>
  <si>
    <t>GENERAL SERVICE 3,000 TO 4,999 KW - INTERVAL METERED</t>
  </si>
  <si>
    <t>Monthly Distribution Wheeling Service Rate - Hydro One Networks</t>
  </si>
  <si>
    <t>RTSR_Connection_Interval</t>
  </si>
  <si>
    <t>Credit Reference/credit check (plus credit agency costs)</t>
  </si>
  <si>
    <t>Disconnect/Reconnect at pole – after regular hours</t>
  </si>
  <si>
    <t>GENERAL SERVICE 3,000 TO 4,999 KW - TIME OF USE</t>
  </si>
  <si>
    <t>Monthly Distribution Wheeling Service Rate - Shared LV Line</t>
  </si>
  <si>
    <t>RTSR_Network_Interval_GR1000kW</t>
  </si>
  <si>
    <t>Dispute Test – Commercial self contained -- MC</t>
  </si>
  <si>
    <t>Disconnect/Reconnect at pole – during regular hours</t>
  </si>
  <si>
    <t>GENERAL SERVICE 3,000 TO 4,999 KW</t>
  </si>
  <si>
    <t>Monthly Distribution Wheeling Service Rate - Waterloo North Hydro</t>
  </si>
  <si>
    <t>RTSR_Connection_Interval_GR1000kW</t>
  </si>
  <si>
    <t>Dispute Test – Commercial TT -- MC</t>
  </si>
  <si>
    <t>Disconnect/Reconnect Charge – At Meter – After Hours</t>
  </si>
  <si>
    <t>GENERAL SERVICE 50 TO 1,000 KW - INTERVAL METERS</t>
  </si>
  <si>
    <t>RTSR_Line_Connection</t>
  </si>
  <si>
    <t>Dispute Test – Residential</t>
  </si>
  <si>
    <t>Disconnect/Reconnect Charge – At Meter – During Regular Hours</t>
  </si>
  <si>
    <t>GENERAL SERVICE 50 TO 1,000 KW - NON INTERVAL METERS</t>
  </si>
  <si>
    <t>RTSR_Transformer_Connection</t>
  </si>
  <si>
    <t>Duplicate Invoices for previous billing</t>
  </si>
  <si>
    <t>Disconnect/Reconnect Charge – At Pole – After Hours</t>
  </si>
  <si>
    <t>Erie Thames Powerlines Corporation</t>
  </si>
  <si>
    <t>Entegrus Powerlines Inc. - Chatham-Kent</t>
  </si>
  <si>
    <t>GENERAL SERVICE 50 TO 1,000 KW</t>
  </si>
  <si>
    <t>WMSR</t>
  </si>
  <si>
    <t>Easement Letter</t>
  </si>
  <si>
    <t>Disconnect/Reconnect Charge – At Pole – During Regular Hours</t>
  </si>
  <si>
    <t>Entegrus Powerlines Inc. - Dutton</t>
  </si>
  <si>
    <t>GENERAL SERVICE 50 TO 1,499 KW - INTERVAL METERED</t>
  </si>
  <si>
    <t>RRRP</t>
  </si>
  <si>
    <t>Income Tax Letter</t>
  </si>
  <si>
    <t>Disconnect/Reconnect Charges for non payment of account - At Meter After Hours</t>
  </si>
  <si>
    <t>Entegrus Powerlines Inc. - Newbury</t>
  </si>
  <si>
    <t>GENERAL SERVICE 50 TO 1,499 KW</t>
  </si>
  <si>
    <t>SPC</t>
  </si>
  <si>
    <t>Interval Meter Interrogation</t>
  </si>
  <si>
    <t>Disconnect/Reconnect charges for non payment of account – at meter after regular hours</t>
  </si>
  <si>
    <t>Entegrus Powerlines Inc. - Strathroy, Mounth Brydges &amp; Parkhill</t>
  </si>
  <si>
    <t>GENERAL SERVICE 50 TO 2,499 KW</t>
  </si>
  <si>
    <t>DRC</t>
  </si>
  <si>
    <t>Interval meter request change</t>
  </si>
  <si>
    <t>Disconnect/Reconnect Charges for non payment of account - At Meter During Regular Hours</t>
  </si>
  <si>
    <t>GENERAL SERVICE 50 TO 2,999 KW - INTERVAL METERED</t>
  </si>
  <si>
    <t>SSS</t>
  </si>
  <si>
    <t>Legal letter</t>
  </si>
  <si>
    <t>Disconnect/Reconnect charges for non payment of account – at meter during regular hours</t>
  </si>
  <si>
    <t>GENERAL SERVICE 50 TO 2,999 KW - TIME OF USE</t>
  </si>
  <si>
    <t>SFLF</t>
  </si>
  <si>
    <t>Legal letter charge</t>
  </si>
  <si>
    <t>Disconnect/Reconnect charges for non payment of account – at pole after regular hours</t>
  </si>
  <si>
    <t>GENERAL SERVICE 50 TO 2,999 KW</t>
  </si>
  <si>
    <t>January</t>
  </si>
  <si>
    <t>Rate Rider for Deferral/Variance Account (2012) - effective unitl April 30, 2016</t>
  </si>
  <si>
    <t>DLF_Secondary_LT_5000kW</t>
  </si>
  <si>
    <t>Meter dispute charge plus Measurement Canada fees (if meter found correct)</t>
  </si>
  <si>
    <t>Disconnect/Reconnect charges for non payment of account – at pole during regular hours</t>
  </si>
  <si>
    <t>GENERAL SERVICE 50 TO 4,999 KW - INTERVAL METERED</t>
  </si>
  <si>
    <t>February</t>
  </si>
  <si>
    <t>Rate Rider for Deferral/Variance Account Disposition (2012) - effective until April 30, 2016</t>
  </si>
  <si>
    <t>DLF_Secondary_GT_5000kW</t>
  </si>
  <si>
    <t>Notification charge</t>
  </si>
  <si>
    <t>Disconnect/Reconnection for &gt;300 volts - after regular hours</t>
  </si>
  <si>
    <t>GENERAL SERVICE 50 TO 4,999 KW - TIME OF USE</t>
  </si>
  <si>
    <t>March</t>
  </si>
  <si>
    <t>Rate Rider for Deferral/Variance Account Disposition (2013) - effective until April 30, 2014</t>
  </si>
  <si>
    <t>DLF_Primary_LT_5000kW</t>
  </si>
  <si>
    <t>Pulling Post Dated Cheques</t>
  </si>
  <si>
    <t>Disconnect/Reconnection for &gt;300 volts - during regular hours</t>
  </si>
  <si>
    <t>Festival Hydro Inc. - Hensall</t>
  </si>
  <si>
    <t>GENERAL SERVICE 50 TO 4,999 KW (COGENERATION)</t>
  </si>
  <si>
    <t>April</t>
  </si>
  <si>
    <t>Rate Rider for Deferral/Variance Account Dispositon (2012) - effective until April 30, 2016</t>
  </si>
  <si>
    <t>DLF_Primary_GT_5000kW</t>
  </si>
  <si>
    <t>Request for other billing information</t>
  </si>
  <si>
    <t>Disposal of Concrete Poles</t>
  </si>
  <si>
    <t>GENERAL SERVICE 50 TO 4,999 KW (FORMERLY TIME OF USE)</t>
  </si>
  <si>
    <t>May</t>
  </si>
  <si>
    <t>TLF_Secondary_LT_5000kW</t>
  </si>
  <si>
    <t>Returned cheque (plus bank charges)</t>
  </si>
  <si>
    <t>Hearst Power Distribution Company Limited</t>
  </si>
  <si>
    <t>GENERAL SERVICE 50 TO 4,999 KW</t>
  </si>
  <si>
    <t>June</t>
  </si>
  <si>
    <t>TLF_Secondary_GT_5000kW</t>
  </si>
  <si>
    <t>Returned cheque charge (plus bank charges)</t>
  </si>
  <si>
    <t>Install/Remove load control device – after regular hours</t>
  </si>
  <si>
    <t>GENERAL SERVICE 50 TO 499 KW</t>
  </si>
  <si>
    <t>July</t>
  </si>
  <si>
    <t>TLF_Primary_LT_5000kW</t>
  </si>
  <si>
    <t>Special Billing Service (aggregation)</t>
  </si>
  <si>
    <t>Install/Remove load control device – during regular hours</t>
  </si>
  <si>
    <t>GENERAL SERVICE 50 TO 699 KW</t>
  </si>
  <si>
    <t>August</t>
  </si>
  <si>
    <t>TLF_Primary_GT_5000kW</t>
  </si>
  <si>
    <t>Special Billing Service (sub-metering charge per meter)</t>
  </si>
  <si>
    <t>GENERAL SERVICE 50 TO 999 KW - INTERVAL METERED</t>
  </si>
  <si>
    <t>September</t>
  </si>
  <si>
    <t>Rate Rider for Disposition of Deferral/Variance Accounts (2011) - effective until April 30, 2015</t>
  </si>
  <si>
    <t>TLF_EmbeddedDistributor</t>
  </si>
  <si>
    <t>Special meter reads</t>
  </si>
  <si>
    <t>Interval Meter Load Management Tool Charge $/month</t>
  </si>
  <si>
    <t>GENERAL SERVICE 50 TO 999 KW</t>
  </si>
  <si>
    <t>October</t>
  </si>
  <si>
    <t>Rate Rider for Disposition of Deferral/Variance Accounts (2011) - effective until April 30, 2016</t>
  </si>
  <si>
    <t>Statement of Account</t>
  </si>
  <si>
    <t>GENERAL SERVICE 500 TO 4,999 KW</t>
  </si>
  <si>
    <t>November</t>
  </si>
  <si>
    <t>Rate Rider for Disposition of Deferral/Variance Accounts (2012) - effective until April 30, 2014</t>
  </si>
  <si>
    <t>Unprocessed Payment Charge (plus bank charges)</t>
  </si>
  <si>
    <t>Late Payment – per annum</t>
  </si>
  <si>
    <t>GENERAL SERVICE 700 TO 4,999 KW</t>
  </si>
  <si>
    <t>December</t>
  </si>
  <si>
    <t>Rate Rider for Disposition of Deferral/Variance Accounts (2012) - effective until April 30, 2015</t>
  </si>
  <si>
    <t>Late Payment – per month</t>
  </si>
  <si>
    <t>Innisfil Hydro Distribution Systems Limited</t>
  </si>
  <si>
    <t>GENERAL SERVICE DEMAND BILLED (50 KW AND ABOVE) [GSD]</t>
  </si>
  <si>
    <t>Rate Rider for Disposition of Deferral/Variance Accounts (2012) - effective until April 30, 2016</t>
  </si>
  <si>
    <t>Layout fees</t>
  </si>
  <si>
    <t>GENERAL SERVICE ENERGY BILLED (LESS THAN 50 KW) [GSE-METERED]</t>
  </si>
  <si>
    <t>GENERAL SERVICE ENERGY BILLED (LESS THAN TO 50 KW) [GSE-UNMETERED]</t>
  </si>
  <si>
    <t>Meter Interrogation Charge</t>
  </si>
  <si>
    <t>GENERAL SERVICE EQUAL TO OR GREATER THAN 1,500 KW - INTERVAL METERED</t>
  </si>
  <si>
    <t>Missed Service Appointment</t>
  </si>
  <si>
    <t>GENERAL SERVICE EQUAL TO OR GREATER THAN 1,500 KW</t>
  </si>
  <si>
    <t>Norfolk Pole Rentals – Billed</t>
  </si>
  <si>
    <t>GENERAL SERVICE GREATER THAN 1,000 KW</t>
  </si>
  <si>
    <t>Rate Rider for Disposition of Deferral/Variance Accounts (2012) - effective until December 31, 2015</t>
  </si>
  <si>
    <t>Optional Interval/TOU Meter charge $/month</t>
  </si>
  <si>
    <t>GENERAL SERVICE INTERMEDIATE 1,000 TO 4,999 KW</t>
  </si>
  <si>
    <t>Rate Rider for Disposition of Deferral/Variance Accounts (2012) - effective until December 31, 2016 Applicable only in the former service area of Clinton Power</t>
  </si>
  <si>
    <t>Overtime Locate</t>
  </si>
  <si>
    <t>GENERAL SERVICE INTERMEDIATE RATE CLASS 1,000 TO 4,999 KW (FORMERLY GENERAL SERVICE &gt; 50 KW CUSTOMERS)</t>
  </si>
  <si>
    <t>Owner Requested Disconnection/Reconnection – after regular hours</t>
  </si>
  <si>
    <t>GENERAL SERVICE INTERMEDIATE RATE CLASS 1,000 TO 4,999 KW (FORMERLY LARGE USE CUSTOMERS)</t>
  </si>
  <si>
    <t>Rate Rider for Disposition of Deferral/Variance Accounts (2012) - effective until June 30, 2014</t>
  </si>
  <si>
    <t>Owner Requested Disconnection/Reconnection – during regular hours</t>
  </si>
  <si>
    <t>Milton Hydro Distribution inc.</t>
  </si>
  <si>
    <t>GENERAL SERVICE LESS THAN 50 KW - SINGLE PHASE ENERGY-BILLED [G1]</t>
  </si>
  <si>
    <t>Newmarket - Tay Power Distribution Ltd.</t>
  </si>
  <si>
    <t>GENERAL SERVICE LESS THAN 50 KW - THREE PHASE ENERGY-BILLED [G3]</t>
  </si>
  <si>
    <t>Rural system expansion / line connection fee</t>
  </si>
  <si>
    <t>GENERAL SERVICE LESS THAN 50 KW - TRANSMISSION CLASS ENERGY-BILLED [T]</t>
  </si>
  <si>
    <t>Rate Rider for Disposition of Deferral/Variance Accounts (2013) - effective until April 30, 2014</t>
  </si>
  <si>
    <t>Same Day Open Trench</t>
  </si>
  <si>
    <t>GENERAL SERVICE LESS THAN 50 KW - URBAN ENERGY-BILLED [UG]</t>
  </si>
  <si>
    <t>Rate Rider for Disposition of Deferral/Variance Accounts (2013) - effective until April 30, 2015</t>
  </si>
  <si>
    <t>Scheduled Day Open Trench</t>
  </si>
  <si>
    <t>Norfolk Power Distribution Inc.</t>
  </si>
  <si>
    <t>GENERAL SERVICE LESS THAN 50 KW</t>
  </si>
  <si>
    <t>Rate Rider for Disposition of Deferral/Variance Accounts (2013) - effective until April 30, 2017</t>
  </si>
  <si>
    <t>Service call – after regular hours</t>
  </si>
  <si>
    <t>GENERAL SERVICE SINGLE PHASE - G1</t>
  </si>
  <si>
    <t>Service call – customer owned equipment</t>
  </si>
  <si>
    <t>GENERAL SERVICE THREE PHASE - G3</t>
  </si>
  <si>
    <t>Service Call – Customer-owned Equipment – After Regular Hours</t>
  </si>
  <si>
    <t>Oakville Hydro Electricity Distribution Inc.</t>
  </si>
  <si>
    <t>Newmarket - Tay Power Distribution Ltd. - Newmarket</t>
  </si>
  <si>
    <t>INTERMEDIATE USERS</t>
  </si>
  <si>
    <t>Service Call – Customer-owned Equipment – During Regular Hours</t>
  </si>
  <si>
    <t>Newmarket - Tay Power Distribution Ltd. - Tay</t>
  </si>
  <si>
    <t>INTERMEDIATE WITH SELF GENERATION</t>
  </si>
  <si>
    <t>Rate Rider for Disposition of Deferred PILs Variance Account 1562 - effective until March 31, 2016</t>
  </si>
  <si>
    <t>Service Charge for onsite interrogation of interval meter due to customer phone line failure - required weekly until line repaired $ 6</t>
  </si>
  <si>
    <t>Orillia Power Distribution Corporation</t>
  </si>
  <si>
    <t>Niagara Peninsula Energy Inc. - Niagara Falls</t>
  </si>
  <si>
    <t>LARGE USE - 3TS</t>
  </si>
  <si>
    <t>Service Layout - Commercial</t>
  </si>
  <si>
    <t>Niagara Peninsula Energy Inc. - Peninsula West</t>
  </si>
  <si>
    <t>LARGE USE - FORD ANNEX</t>
  </si>
  <si>
    <t>Service Layout - ResidentiaI</t>
  </si>
  <si>
    <t>LARGE USE - REGULAR</t>
  </si>
  <si>
    <t>Rate Rider for Disposition of Deferred PILs Variance Account 1562 (2012) - effective until April 30, 2015</t>
  </si>
  <si>
    <t>LARGE USE &gt; 5000 KW</t>
  </si>
  <si>
    <t>Rate Rider for Disposition of Deferred PILs Variance Account 1562 (per connection) (2012) - effective until April 30, 2015</t>
  </si>
  <si>
    <t>Peterborough Distribution Incorporated</t>
  </si>
  <si>
    <t>LARGE USE</t>
  </si>
  <si>
    <t>Specific Charge for Access to the Power Poles - $/pole/year</t>
  </si>
  <si>
    <t>microFIT</t>
  </si>
  <si>
    <t>Specific Charge for Bell Canada Access to the Power Poles – per pole/year</t>
  </si>
  <si>
    <t>RESIDENTIAL - HENSALL</t>
  </si>
  <si>
    <t>Switching for company maintenance – Charge based on Time and Materials</t>
  </si>
  <si>
    <t>RESIDENTIAL - HIGH DENSITY [R1]</t>
  </si>
  <si>
    <t>Temporary Service – Install &amp; remove – overhead – no transformer</t>
  </si>
  <si>
    <t>RESIDENTIAL - LOW DENSITY [R2]</t>
  </si>
  <si>
    <t>Rate Rider for Disposition of Global Adjustment Sub-Account (2011) - effective until April 30, 2015 Applicable only for Non-RPP Customers</t>
  </si>
  <si>
    <t>Temporary Service – Install &amp; remove – overhead – with transformer</t>
  </si>
  <si>
    <t>RESIDENTIAL - MEDIUM DENSITY [R1]</t>
  </si>
  <si>
    <t>Rate Rider for Disposition of Global Adjustment Sub-Account (2011) - effective until April 30, 2016 Applicable only for Non-RPP Customers</t>
  </si>
  <si>
    <t>Temporary Service – Install &amp; remove – underground – no transformer</t>
  </si>
  <si>
    <t>RESIDENTIAL - NORMAL DENSITY [R2]</t>
  </si>
  <si>
    <t>Rate Rider for Disposition of Global Adjustment Sub-Account (2012) - effective until April 30, 2014 Applicable only for Non-RPP Customers</t>
  </si>
  <si>
    <t>Temporary service install &amp; remove – overhead – no transformer</t>
  </si>
  <si>
    <t>Thunder Bay Hydro Electricity Distribution Inc.</t>
  </si>
  <si>
    <t>RESIDENTIAL - TIME OF USE</t>
  </si>
  <si>
    <t>Rate Rider for Disposition of Global Adjustment Sub-Account (2012) - effective until April 30, 2015 Applicable only for Non-RPP Customers</t>
  </si>
  <si>
    <t>Temporary Service Install &amp; Remove – Overhead – With Transformer</t>
  </si>
  <si>
    <t>RESIDENTIAL - URBAN [UR]</t>
  </si>
  <si>
    <t>Rate Rider for Disposition of Global Adjustment Sub-Account (2012) - effective until April 30, 2015 Applicatble only for Non-RPP Customers</t>
  </si>
  <si>
    <t>Temporary Service Install &amp; Remove – Underground – No Transformer</t>
  </si>
  <si>
    <t>PowerStream Inc. - Barrie</t>
  </si>
  <si>
    <t>RESIDENTIAL REGULAR</t>
  </si>
  <si>
    <t>Rate Rider for Disposition of Global Adjustment Sub-Account (2012) - effective until April 30, 2016 Applicable only for Non-RPP Customers</t>
  </si>
  <si>
    <t>Temporary service installation and removal – overhead – no transformer</t>
  </si>
  <si>
    <t>PowerStream Inc. - South</t>
  </si>
  <si>
    <t>RESIDENTIAL</t>
  </si>
  <si>
    <t>Temporary service installation and removal – overhead – with transformer</t>
  </si>
  <si>
    <t>RESIDENTIAL SUBURBAN SEASONAL</t>
  </si>
  <si>
    <t>Temporary service installation and removal – underground – no transformer</t>
  </si>
  <si>
    <t>RESIDENTIAL SUBURBAN</t>
  </si>
  <si>
    <t>Welland Hydro-Electric System Corp.</t>
  </si>
  <si>
    <t>RESIDENTIAL SUBURBAN YEAR ROUND</t>
  </si>
  <si>
    <t>RESIDENTIAL URBAN</t>
  </si>
  <si>
    <t>Rate Rider for Disposition of Global Adjustment Sub-Account (2012) - effective until June 30, 2014 Applicable only for Non-RPP Customers</t>
  </si>
  <si>
    <t>RESIDENTIAL URBAN YEAR-ROUND</t>
  </si>
  <si>
    <t>West Perth Power Inc.</t>
  </si>
  <si>
    <t>SEASONAL RESIDENTIAL - HIGH DENSITY [R3]</t>
  </si>
  <si>
    <t>SEASONAL RESIDENTIAL - NORMAL DENSITY [R4]</t>
  </si>
  <si>
    <t>Rate Rider for Disposition of Global Adjustment Sub-Account (2013) - effective until April 30, 2014 Applicable only for Non-RPP Customers</t>
  </si>
  <si>
    <t>SEASONAL RESIDENTIAL</t>
  </si>
  <si>
    <t>Rate Rider for Disposition of Global Adjustment Sub-Account (2013) - effective until April 30, 2015 Applicable only for Non-RPP Customers</t>
  </si>
  <si>
    <t>SENTINEL LIGHTING</t>
  </si>
  <si>
    <t>Rate Rider for Disposition of Global Adjustment Sub-Account (2013) - effective until April 30, 2017 Applicable only for Non-RPP Customers</t>
  </si>
  <si>
    <t>Veridian Connections Inc. - Gravenhurst</t>
  </si>
  <si>
    <t>SMALL COMMERCIAL AND USL - PER CONNECTION</t>
  </si>
  <si>
    <t>SMALL COMMERCIAL AND USL - PER METER</t>
  </si>
  <si>
    <t>Rate Rider for Disposition of Post Retirement Actuarial Gain - effective until March 31, 2025</t>
  </si>
  <si>
    <t>STANDARD A GENERAL SERVICE AIR ACCESS</t>
  </si>
  <si>
    <t>Rate Rider for Disposition of Residual Hisotrical Smart Meter Costs - effective until April 30, 2015</t>
  </si>
  <si>
    <t>STANDARD A GENERAL SERVICE ROAD/RAIL</t>
  </si>
  <si>
    <t>STANDARD A RESIDENTIAL AIR ACCESS</t>
  </si>
  <si>
    <t>Rate Rider for Disposition of Residual Historical Smart Meter Costs - effective until April 30, 2014</t>
  </si>
  <si>
    <t>STANDARD A RESIDENTIAL ROAD/RAIL</t>
  </si>
  <si>
    <t>Rate Rider for Disposition of Residual Historical Smart Meter Costs - effective until April 30, 2016</t>
  </si>
  <si>
    <t>STANDBY - GENERAL SERVICE 1,000 - 5,000 KW</t>
  </si>
  <si>
    <t>STANDBY - GENERAL SERVICE 50 - 1,000 KW</t>
  </si>
  <si>
    <t>Rate Rider for Disposition of Residual Historical Smart Meter Costs - effective until August 31, 2015</t>
  </si>
  <si>
    <t>STANDBY - LARGE USE</t>
  </si>
  <si>
    <t>STANDBY DISTRIBUTION SERVICE</t>
  </si>
  <si>
    <t>Rate Rider for Disposition of Residual Historical Smart Meter Costs - effective until December 31, 2014</t>
  </si>
  <si>
    <t>STANDBY POWER - APPROVED ON AN INTERIM BASIS</t>
  </si>
  <si>
    <t>Rate Rider for Disposition of Residual Historical Smart Meter Costs - effective until December 31, 2015</t>
  </si>
  <si>
    <t>STANDBY POWER GENERAL SERVICE 1,500 TO 4,999 KW</t>
  </si>
  <si>
    <t>STANDBY POWER GENERAL SERVICE 50 TO 1,499 KW</t>
  </si>
  <si>
    <t>STANDBY POWER GENERAL SERVICE LARGE USE</t>
  </si>
  <si>
    <t>STANDBY POWER</t>
  </si>
  <si>
    <t>Rate Rider for Disposition of Residual Historical Smart Meter Costs - effective until September 30, 2014</t>
  </si>
  <si>
    <t>STREET LIGHTING</t>
  </si>
  <si>
    <t>Rate Rider for Disposition of Residual Historical Smart Meter Costs - Non-Interval Metered 
 - effective until April 30, 2014</t>
  </si>
  <si>
    <t>SUB TRANSMISSION [ST]</t>
  </si>
  <si>
    <t>Rate Rider for Disposition of Residual Historical Smart Meter Costs 2 - in effect until the effective 
 date of the next cost of service-based rate order</t>
  </si>
  <si>
    <t>UNMETERED SCATTERED LOAD</t>
  </si>
  <si>
    <t>Rate Rider for Disposition of Residual Historical Smart Meter Costs 3 - in effect until the effective 
 date of the next cost of service-based rate order</t>
  </si>
  <si>
    <t>URBAN GENERAL SERVICE DEMAND BILLED (50 KW AND ABOVE) [UGD]</t>
  </si>
  <si>
    <t>Rate Rider for Disposition of Residual Incremental Historical Smart Meter Costs - 
 effective until August 31, 2015</t>
  </si>
  <si>
    <t>URBAN GENERAL SERVICE ENERGY BILLED (LESS THAN 50 KW) [UGE]</t>
  </si>
  <si>
    <t>Rate Rider for Disposition of Stranded Meter Costs - effective until April 30, 2016</t>
  </si>
  <si>
    <t>WESTPORT SEWAGE TREATMENT PLANT</t>
  </si>
  <si>
    <t>Rate Rider for Global Adjustment Sub Account Disposition - effective until April 30, 2016 Applicable only for Non RPP Customers</t>
  </si>
  <si>
    <t>YEAR-ROUND RESIDENTIAL - R2</t>
  </si>
  <si>
    <t>Rate Rider for Incremental Capital (2012) - effective until April 30, 2015</t>
  </si>
  <si>
    <t>Rate Rider for Recovery of Incremental Capital (2013) - in effect until the effective date of the
 next cost of service-based rate order</t>
  </si>
  <si>
    <t>Rate Rider for Recovery of Incremental Capital (2013) (per connection) - in effect until the effective date of 
 the next cost of service-based rate order</t>
  </si>
  <si>
    <t>Rate Rider for Recovery of Incremental Capital Costs</t>
  </si>
  <si>
    <t>Rate Rider for Recovery of Incremental Capital Costs - effective until April 30, 2015</t>
  </si>
  <si>
    <t>Rate Rider for Recovery of Lost Revenue Adjustment Mechanism (LRAM) - effective until April 30, 2016</t>
  </si>
  <si>
    <t>Rate Rider for Recovery of Lost Revenue Adjustment Mechanism (LRAM)/Shared Savings</t>
  </si>
  <si>
    <t>Rate Rider for Recovery of Lost Revenue Adjustment Mechanism (LRAM)/Shared Savings Mechanism (SSM) - effective until December 31, 2014 and applicable in the service area excluding the former service area of Clinton Power</t>
  </si>
  <si>
    <t>Rate Rider for Recovery of Lost Revenue Adjustment Mechanism (LRAM)/Shared Savings Mechanism (SSM) - effective until December 31, 2014 and applicable in the service area excluding the former service areas of Clinton Power and West Perth Power</t>
  </si>
  <si>
    <t>Rate Rider for Recovery of Lost Revenue Adjustment Mechanism (LRAM)/Shared Savings Mechanism (SSM) - effective until December 31, 2014 and applicable only in the former service area of Clinton Power</t>
  </si>
  <si>
    <t>Rate Rider for Recovery of Lost Revenue Adjustment Mechanism (LRAM)/Shared Savings Mechanism (SSM) - effective until December 31, 2014 and applicable only in the former service area of West Perth Power</t>
  </si>
  <si>
    <t>Rate Rider for Recovery of Lost Revenue Adjustment Mechanism (LRAM)/Shared Savings Mechanism (SSM) - effective until March 31, 2016</t>
  </si>
  <si>
    <t>Rate Rider for Recovery of Lost Revenue Adjustment Mechanism (LRAM)/Shared Savings Mechanism (SSM) Recovery - effective until April 30, 2015</t>
  </si>
  <si>
    <t>Rate Rider for Recovery of Residual Historical Smart Meter Costs - effective July 1, 2012 - April 30, 2016</t>
  </si>
  <si>
    <t>Rate Rider for Recovery of Smart Meter Incremental Revenue Requirement - effective until the date of the next cost of service-based rate order</t>
  </si>
  <si>
    <t>Rate Rider for Recovery of Smart Meter Incremental Revenue Requirement - in effect until the effective date of the next cost of service-based rate order</t>
  </si>
  <si>
    <t>Rate Rider for Recovery of Smart Meter Incremental Revenue Requirement - Non-Interval Metered - in effect until the effective date of the next cost of service-based rate order</t>
  </si>
  <si>
    <t>Rate Rider for Recovery of Smart Meter Incremental Revenue Requirements - in effect until the effective date of the next cost of service application</t>
  </si>
  <si>
    <t>Rate Rider for Recovery of Smart Meter Stranded Assets - effective until April 30, 2016</t>
  </si>
  <si>
    <t>Rate Rider for Recovery of Stranded Assets - effective until April 30, 2016</t>
  </si>
  <si>
    <t>Rate Rider for Recovery of Stranded Meter Assets - effective July 1, 2012 - April 30, 2016</t>
  </si>
  <si>
    <t>Rate Rider for Recovery of Stranded Meter Assets – effective until April 30, 2015</t>
  </si>
  <si>
    <t>Rate Rider for Recovery of Stranded Meter Assets - effective until April 30, 2016</t>
  </si>
  <si>
    <t>Rate Rider for Recovery of Stranded Meter Assets - effective until August 31, 2015</t>
  </si>
  <si>
    <t>Rate Rider for Recovery of Stranded Meter Assets - effective until December 31, 2014</t>
  </si>
  <si>
    <t>Rate Rider for Recovery of Stranded Meter Assets - effective until December 31, 2015</t>
  </si>
  <si>
    <t>Rate Rider for Recovery of Stranded Meter Assets - effective until June 30, 2016</t>
  </si>
  <si>
    <t>Rate Rider for Recovery of Stranded Meter Assets - effective until March 31, 2016</t>
  </si>
  <si>
    <t>Rate Rider for Reversal of Deferral/Variance Account Disposition (2011) - effective until April 30, 2015</t>
  </si>
  <si>
    <t>Rate Rider for Smart Meter Incremental Revenue Requirement - in effect until the effective date of the next cost of service-based rate order</t>
  </si>
  <si>
    <t>Rate Rider for Smart Metering Entity Charge - effective until October 31, 2018</t>
  </si>
  <si>
    <t>Retail Transmission Rate - Line and Transformation Connection Service Rate</t>
  </si>
  <si>
    <t>Retail Transmission Rate - Line and Transformation Connection Service Rate - (less than 1,000 kW)</t>
  </si>
  <si>
    <t>Retail Transmission Rate - Line and Transformation Connection Service Rate - Interval Metered</t>
  </si>
  <si>
    <t>Retail Transmission Rate - Line and Transformation Connection Service Rate - Interval Metered (1,000 to 4,999 kW)</t>
  </si>
  <si>
    <t>Retail Transmission Rate - Line and Transformation Connection Service Rate - Interval Metered (less than 1,000 kW)</t>
  </si>
  <si>
    <t>Retail Transmission Rate - Line and Transformation Connection Service Rate - Interval Metered &lt; 1,000 kW</t>
  </si>
  <si>
    <t>Retail Transmission Rate - Line and Transformation Connection Service Rate - Interval Metered &gt; 1,000 kW</t>
  </si>
  <si>
    <t>Retail Transmission Rate - Line and Transformation Connection Service Rate FOR ALL SERVICE AREAS EXCEPT HENSALL</t>
  </si>
  <si>
    <t>Retail Transmission Rate - Line Connection Service Rate</t>
  </si>
  <si>
    <t>Retail Transmission Rate - Network Service Rate</t>
  </si>
  <si>
    <t>Retail Transmission Rate - Network Service Rate - (less than 1,000 kW)</t>
  </si>
  <si>
    <t>Retail Transmission Rate - Network Service Rate - Interval Metered</t>
  </si>
  <si>
    <t>Retail Transmission Rate - Network Service Rate - Interval Metered (1,000 to 4,999 kW)</t>
  </si>
  <si>
    <t>Retail Transmission Rate - Network Service Rate - Interval Metered (less than 1,000 kW)</t>
  </si>
  <si>
    <t>Retail Transmission Rate - Network Service Rate - Interval Metered &gt; 1,000 kW</t>
  </si>
  <si>
    <t>Retail Transmission Rate - Transformation Connection Service Rate</t>
  </si>
  <si>
    <t>Rider for Global Adjustment Sub-Account Disposition (2012) - effective until April 30, 2016 Applicable only for Non-RPP Customers</t>
  </si>
  <si>
    <t>Sentinel lights (dusk-to-dawn) connected to unmetered wires will have a flat rate monthly energy charge added to the regular customer bill. Further servicing details are available in the distributor’s Conditions of Service.</t>
  </si>
  <si>
    <t>Service Charge</t>
  </si>
  <si>
    <t>Service Charge (per connection)</t>
  </si>
  <si>
    <t>Service Charge (per customer)</t>
  </si>
  <si>
    <t>Standby Charge - for a month where standby power is not provided. The charge is applied to the amount of reserved load transfer capacity contracted or the amount of monthly peak load displaced by a generating facility</t>
  </si>
  <si>
    <t>Standby Charge - for a month where standby power is not provided. The charge is applied to the contracted amount (e.g. nameplate rating of the generation facility).</t>
  </si>
  <si>
    <t>Once all blue shaded cells above are filled out, press the following button to create your tariff template</t>
  </si>
  <si>
    <t>The application of these rates and charges shall be in accordance with the Licence of the Distributor and any Code or Order of the Board, and amendments thereto as approved by the Board, which may be applicable to the administration of this schedule.</t>
  </si>
  <si>
    <t>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</si>
  <si>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</si>
  <si>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</si>
  <si>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t>
  </si>
  <si>
    <t>Retail Service Charges refer to services provided by a distributor to retailers or customers related to the supply of competitive electricity.</t>
  </si>
  <si>
    <r>
      <t xml:space="preserve">For each class, Applicants are required to copy and paste the class descriptions (located directly under the class name) and the description of the applicability of those rates (description is found under the class name and directly under the word "APPLICATION").  By using the drop-down lists located under the column labeled "Rate Description", please select the descriptions of the rates and charges that BEST MATCHES the descriptions on your most recent Board-Approved Tariff of Rates and Charges. </t>
    </r>
    <r>
      <rPr>
        <b/>
        <sz val="10"/>
        <rFont val="Arial"/>
        <family val="2"/>
      </rPr>
      <t xml:space="preserve"> If the description is not found in the drop-down list,</t>
    </r>
    <r>
      <rPr>
        <sz val="10"/>
        <rFont val="Arial"/>
        <family val="2"/>
      </rPr>
      <t xml:space="preserve"> please enter the description in the green shaded cells under the correct class exactly as it appears on the tariff.   Please do not enter more than one "Service Charge" for each class for which a base monthly fixed charge applies.  All rate rider descriptions should begin with "Rate Rider for...".</t>
    </r>
  </si>
  <si>
    <t>lists</t>
  </si>
  <si>
    <t>App.2-JA_OM&amp;A_Summary_Analys</t>
  </si>
  <si>
    <t>App.2-JB_OM&amp;A_Cost _Drivers</t>
  </si>
  <si>
    <t>App.2-JC_OMA Programs</t>
  </si>
  <si>
    <t>lists2</t>
  </si>
  <si>
    <t>e</t>
  </si>
  <si>
    <t>MONTHLY RATES AND CHARGES - Delivery Component</t>
  </si>
  <si>
    <t>1   Please provide a breakdown of the major components of each OM&amp;A Program undertaken in each year.  Please ensure that all Programs below the materiality threshold are included in the miscellaneous line.  Add more Programs as required.</t>
  </si>
  <si>
    <t>OH</t>
  </si>
  <si>
    <t>Cross Arm</t>
  </si>
  <si>
    <t>TS &amp; MS</t>
  </si>
  <si>
    <t>Fully Dressed Steel Poles</t>
  </si>
  <si>
    <t>Overall</t>
  </si>
  <si>
    <t>Wood</t>
  </si>
  <si>
    <t>Steel</t>
  </si>
  <si>
    <t>Station Service Transformer</t>
  </si>
  <si>
    <t>Station DC System</t>
  </si>
  <si>
    <t>Charger</t>
  </si>
  <si>
    <t>Fully Dressed Wood Poles</t>
  </si>
  <si>
    <t>#</t>
  </si>
  <si>
    <t>Category| Component | Type</t>
  </si>
  <si>
    <t>Fully Dressed Concrete Poles</t>
  </si>
  <si>
    <t>MIN UL</t>
  </si>
  <si>
    <t>MAX UL</t>
  </si>
  <si>
    <t>OH Line Switch</t>
  </si>
  <si>
    <t>OH Line Switch Motor</t>
  </si>
  <si>
    <t>OH Line Switch RTU</t>
  </si>
  <si>
    <t>OH Integral Switches</t>
  </si>
  <si>
    <t>OH Conductors</t>
  </si>
  <si>
    <t>OH Transformers &amp; Voltage Regulators</t>
  </si>
  <si>
    <t>OH Shunt Capacitor Banks</t>
  </si>
  <si>
    <t>Reclosers</t>
  </si>
  <si>
    <t>Power Transformers</t>
  </si>
  <si>
    <t>Bushing</t>
  </si>
  <si>
    <t>Tap Changer</t>
  </si>
  <si>
    <t>Station Grounding Transformer</t>
  </si>
  <si>
    <t>Battery Bank</t>
  </si>
  <si>
    <t>Station Metal Clad Switchgear</t>
  </si>
  <si>
    <t>Removable Breaker</t>
  </si>
  <si>
    <t>Station Independent Breakers</t>
  </si>
  <si>
    <t>Station Switch</t>
  </si>
  <si>
    <t>Asset Details</t>
  </si>
  <si>
    <t>Useful Life</t>
  </si>
  <si>
    <t>USoA Account Number</t>
  </si>
  <si>
    <t>USoA Account Description</t>
  </si>
  <si>
    <t>Note 1:</t>
  </si>
  <si>
    <t>Parent*</t>
  </si>
  <si>
    <t>Electromechanical Relays</t>
  </si>
  <si>
    <t>Solid State Relays</t>
  </si>
  <si>
    <t>Digital &amp; Numeric Relays</t>
  </si>
  <si>
    <t>Rigid Busbars</t>
  </si>
  <si>
    <t>Steel Structure</t>
  </si>
  <si>
    <t>Primary Paper Insulated Lead Covered (PILC) Cables</t>
  </si>
  <si>
    <t>Primary Ethylene-Propylene Rubber (EPR) Cables</t>
  </si>
  <si>
    <t>Primary Non-TR XLPE Cables in Duct</t>
  </si>
  <si>
    <t>Secondary PILC Cables</t>
  </si>
  <si>
    <t>Secondary Cables Direct Buried</t>
  </si>
  <si>
    <t>Secondary Cables in Duct</t>
  </si>
  <si>
    <t>Network Tranformers</t>
  </si>
  <si>
    <t>Protector</t>
  </si>
  <si>
    <t>Pad-Mounted Transformers</t>
  </si>
  <si>
    <t>Submersible/Vault Transformers</t>
  </si>
  <si>
    <t>UG Foundation</t>
  </si>
  <si>
    <t>UG Vaults</t>
  </si>
  <si>
    <t>Roof</t>
  </si>
  <si>
    <t>Pad-Mounted Switchgear</t>
  </si>
  <si>
    <t>Ducts</t>
  </si>
  <si>
    <t>Concrete Encased Duct Banks</t>
  </si>
  <si>
    <t>Cable Chambers</t>
  </si>
  <si>
    <t>Remote SCADA</t>
  </si>
  <si>
    <t>UG Vault Switches</t>
  </si>
  <si>
    <t>Primary Non-Tree Retardant (TR) Cross Linked 
Polyethylene (XLPE) Cables Direct Buried</t>
  </si>
  <si>
    <t>UG</t>
  </si>
  <si>
    <t>S</t>
  </si>
  <si>
    <t>* TS &amp; MS = Transformer and Municipal Stations UG = Underground Systems S = Monitoring and Control Systems</t>
  </si>
  <si>
    <t>Office Equipment</t>
  </si>
  <si>
    <t>Useful Life Range</t>
  </si>
  <si>
    <t>Vehicles</t>
  </si>
  <si>
    <t>Trucks &amp; Buckets</t>
  </si>
  <si>
    <t>Trailers</t>
  </si>
  <si>
    <t>Vans</t>
  </si>
  <si>
    <t>Administrative Buildings</t>
  </si>
  <si>
    <t>Station Buildings</t>
  </si>
  <si>
    <t>Parking</t>
  </si>
  <si>
    <t>Fence</t>
  </si>
  <si>
    <t>Hardware</t>
  </si>
  <si>
    <t>Software</t>
  </si>
  <si>
    <t>Computer Equipment</t>
  </si>
  <si>
    <t>Power Operated</t>
  </si>
  <si>
    <t>Stores</t>
  </si>
  <si>
    <t>Tools, Shop, Garage Equipment</t>
  </si>
  <si>
    <t>Towers</t>
  </si>
  <si>
    <t>Wireless</t>
  </si>
  <si>
    <t>Communication</t>
  </si>
  <si>
    <t>Equipment</t>
  </si>
  <si>
    <t>Residential Energy Meters</t>
  </si>
  <si>
    <t>Industrial/Commercial Energy Meters</t>
  </si>
  <si>
    <t>Wholesale Energy Meters</t>
  </si>
  <si>
    <t>Current &amp; Potential Transformer (CT &amp; PT)</t>
  </si>
  <si>
    <t>Smart Meters</t>
  </si>
  <si>
    <t>Repeaters - Smart Metering</t>
  </si>
  <si>
    <t>Data Collectors - Smart Metering</t>
  </si>
  <si>
    <t>Lease dependent</t>
  </si>
  <si>
    <r>
      <t>Table F-1 from Kinetrics Report</t>
    </r>
    <r>
      <rPr>
        <b/>
        <vertAlign val="superscript"/>
        <sz val="14"/>
        <rFont val="Arial"/>
        <family val="2"/>
      </rPr>
      <t>1</t>
    </r>
  </si>
  <si>
    <r>
      <t>Table F-2 from Kinetrics Report</t>
    </r>
    <r>
      <rPr>
        <b/>
        <vertAlign val="superscript"/>
        <sz val="14"/>
        <rFont val="Arial"/>
        <family val="2"/>
      </rPr>
      <t>1</t>
    </r>
  </si>
  <si>
    <t>See pages 17-19 of Kinetrics Report</t>
  </si>
  <si>
    <t>Tables F-1 and F-2 above are to be used as a reference in order to complete columns J, K, L and N.</t>
  </si>
  <si>
    <t>The applicant must provide an explanation of material variances in evidence.</t>
  </si>
  <si>
    <t>4  Net additions are additions net of disposals; Net depreciation is additions to depreciation net of disposals.</t>
  </si>
  <si>
    <t>List and specify any other interest revenue.</t>
  </si>
  <si>
    <t>2       Rates should be entered with the number of decimal places that will show on the Tariff of Rates and Charges.</t>
  </si>
  <si>
    <t>1       The class specific revenue requirements in column N must be the amounts used in the final rate design process.  The total of column N should equate to the proposed base revenue requirement.</t>
  </si>
  <si>
    <t>2   The applicant should group projects appropriately and avoid presentations that result in classification of significant components of the OM&amp;A budget in the miscellaneous category</t>
  </si>
  <si>
    <t>Identify the year that the applicant has adopted or is expected to adopt IFRS for financial reporting purposes</t>
  </si>
  <si>
    <t>Service Reliability Indicators</t>
  </si>
  <si>
    <t>Monthly Amount Paid by IESO</t>
  </si>
  <si>
    <t>Appendix 2-Z
Proposed Tariff of Rates and Charges</t>
  </si>
  <si>
    <t>Appendix 2-JA</t>
  </si>
  <si>
    <t>Appendix 2-JB</t>
  </si>
  <si>
    <t>Total Capital Costs</t>
  </si>
  <si>
    <t>Total OM&amp;A (Start-Up)</t>
  </si>
  <si>
    <t>Total OM&amp;A (Ongoing)</t>
  </si>
  <si>
    <t>Name: Expansion Connection Project</t>
  </si>
  <si>
    <t>Name: REI Connection Project</t>
  </si>
  <si>
    <r>
      <t xml:space="preserve">If there are more than </t>
    </r>
    <r>
      <rPr>
        <b/>
        <sz val="10"/>
        <rFont val="Arial"/>
        <family val="2"/>
      </rPr>
      <t>five</t>
    </r>
    <r>
      <rPr>
        <sz val="10"/>
        <rFont val="Arial"/>
        <family val="2"/>
      </rPr>
      <t xml:space="preserve"> projects proposed to be in-service in a certain year, please amend the tables below and ensure that the formulae for the Total Amounts in any given rate year are updated.</t>
    </r>
  </si>
  <si>
    <r>
      <rPr>
        <b/>
        <sz val="10"/>
        <color indexed="8"/>
        <rFont val="Arial"/>
        <family val="2"/>
      </rPr>
      <t>Note 1:</t>
    </r>
    <r>
      <rPr>
        <sz val="10"/>
        <color indexed="8"/>
        <rFont val="Arial"/>
        <family val="2"/>
      </rPr>
      <t xml:space="preserve"> The difference between the actual costs of approved eligible investments and revenue received from the IESO should be recorded in a variance account.  The Board may provide </t>
    </r>
  </si>
  <si>
    <t>regulatory accounting guidance regarding a variance account either in an individual proceeding or on a generic basis.</t>
  </si>
  <si>
    <r>
      <t>Amortization</t>
    </r>
    <r>
      <rPr>
        <i/>
        <sz val="10"/>
        <rFont val="Arial"/>
        <family val="2"/>
      </rPr>
      <t xml:space="preserve"> </t>
    </r>
    <r>
      <rPr>
        <sz val="10"/>
        <rFont val="Arial"/>
        <family val="2"/>
      </rPr>
      <t>(17% DB and 83% P)</t>
    </r>
  </si>
  <si>
    <t>CCA (17% DB and 83% P)</t>
  </si>
  <si>
    <t>Accounting Standard</t>
  </si>
  <si>
    <t>Outside Range of Min, Max TUL?</t>
  </si>
  <si>
    <t>Below Min TUL</t>
  </si>
  <si>
    <t>Above Max TUL</t>
  </si>
  <si>
    <t>Below Min Range</t>
  </si>
  <si>
    <t>Above Max Range</t>
  </si>
  <si>
    <t xml:space="preserve">(h)=2013 Full Year Deprecation + ((d)*0.5)/(f) </t>
  </si>
  <si>
    <t>Depreciation Expense on 2014 Full Year Additions</t>
  </si>
  <si>
    <r>
      <t xml:space="preserve">2014 Full Year Depreciation </t>
    </r>
    <r>
      <rPr>
        <b/>
        <vertAlign val="superscript"/>
        <sz val="10"/>
        <rFont val="Arial"/>
        <family val="2"/>
      </rPr>
      <t>3</t>
    </r>
  </si>
  <si>
    <t>(p) = 2013 Full Year Depreciation  + (n) - (o)</t>
  </si>
  <si>
    <r>
      <t xml:space="preserve">2015 Depreciation Expense </t>
    </r>
    <r>
      <rPr>
        <b/>
        <vertAlign val="superscript"/>
        <sz val="10"/>
        <rFont val="Arial"/>
        <family val="2"/>
      </rPr>
      <t>1</t>
    </r>
  </si>
  <si>
    <t xml:space="preserve">(h)=2014 Full Year Depreciation + ((d)*0.5)/(f) </t>
  </si>
  <si>
    <t>Test</t>
  </si>
  <si>
    <t>Bridge</t>
  </si>
  <si>
    <t>Historical</t>
  </si>
  <si>
    <t>(Date of Transition to IFRS 2014)</t>
  </si>
  <si>
    <t>2011 and Prior</t>
  </si>
  <si>
    <t>CGAAP and Revised CGAAP</t>
  </si>
  <si>
    <t>Revised CGAAP</t>
  </si>
  <si>
    <r>
      <t>·</t>
    </r>
    <r>
      <rPr>
        <sz val="10"/>
        <rFont val="Times New Roman"/>
        <family val="1"/>
      </rPr>
      <t xml:space="preserve">         </t>
    </r>
    <r>
      <rPr>
        <sz val="10"/>
        <rFont val="Arial"/>
        <family val="2"/>
      </rPr>
      <t>December 31, 2013 regulatory accumulated depreciation, by asset class; and</t>
    </r>
  </si>
  <si>
    <r>
      <t>·</t>
    </r>
    <r>
      <rPr>
        <sz val="10"/>
        <rFont val="Times New Roman"/>
        <family val="1"/>
      </rPr>
      <t xml:space="preserve">         </t>
    </r>
    <r>
      <rPr>
        <sz val="10"/>
        <rFont val="Arial"/>
        <family val="2"/>
      </rPr>
      <t>January 1, 2014 regulatory accumulated depreciation, by asset class.</t>
    </r>
  </si>
  <si>
    <r>
      <t>·</t>
    </r>
    <r>
      <rPr>
        <sz val="10"/>
        <rFont val="Times New Roman"/>
        <family val="1"/>
      </rPr>
      <t xml:space="preserve">         </t>
    </r>
    <r>
      <rPr>
        <sz val="10"/>
        <rFont val="Arial"/>
        <family val="2"/>
      </rPr>
      <t>December 31, 2013 regulatory gross assets of property, plant and equipment, by asset class; and</t>
    </r>
  </si>
  <si>
    <r>
      <t>·</t>
    </r>
    <r>
      <rPr>
        <sz val="10"/>
        <rFont val="Times New Roman"/>
        <family val="1"/>
      </rPr>
      <t xml:space="preserve">         </t>
    </r>
    <r>
      <rPr>
        <sz val="10"/>
        <rFont val="Arial"/>
        <family val="2"/>
      </rPr>
      <t>January 1, 2014 regulatory gross assets of property, plant and equipment, by asset class.</t>
    </r>
  </si>
  <si>
    <t xml:space="preserve"> MIFRS and Revised CGAAP*</t>
  </si>
  <si>
    <t>Appendix 2-Y</t>
  </si>
  <si>
    <t>Closing NBV 2015</t>
  </si>
  <si>
    <t xml:space="preserve">For  applicants adopting MIFRS, the applicants must provide a summary of the dollar impacts of  MIFRS to each component of the revenue requirement (e.g. rate base, operating costs, etc), including the overall impact on the proposed revenue requirement.  Accordingly, the applicants must identify financial differences and resulting revenue requirement impacts arising from the adoption of  MIFRS  as compared to CGAAP prior to capitalization and depreciation policy changes.  </t>
  </si>
  <si>
    <t>2015 Adopters of IFRS for Financial Reporting Purposes</t>
  </si>
  <si>
    <t xml:space="preserve">Appendix 2-BA - Fixed Asset Schedule </t>
  </si>
  <si>
    <t xml:space="preserve">Appendix 2-C - Depreciation and Amortization </t>
  </si>
  <si>
    <t>Appendix 2-YA - Summary of Impacts to Revenue Requirement from Transition to MIFRS</t>
  </si>
  <si>
    <t>Appendix 2-E - Account 1575, IFRS-CGAAP Transitional PP&amp;E Amounts (2-EA), Account 1576, Accounting Changes Under CGAAP (2-EB, 2-EC)</t>
  </si>
  <si>
    <t>Please refer to section 2.12.4 and 2.12.5 of the Filing Requirements for further details.</t>
  </si>
  <si>
    <t>Appendix 2-D</t>
  </si>
  <si>
    <t>Capitalized OM&amp;A</t>
  </si>
  <si>
    <t xml:space="preserve"> OM&amp;A Before Capitalization</t>
  </si>
  <si>
    <t>Explanation for Change in Overhead Capitalized</t>
  </si>
  <si>
    <t>Total Capitalized OM&amp;A (A)</t>
  </si>
  <si>
    <t>Total OM&amp;A Before Capitalization (B)</t>
  </si>
  <si>
    <t>% of Capitalized OM&amp;A (=A/B)</t>
  </si>
  <si>
    <t>Applicants are to provide a breakdown of OM&amp;A before capitalization in the below table.  OM&amp;A before capitalization may be broken down by cost center, program, drivers or another format best suited to focus on capitalized vs. uncapitalized OM&amp;A.</t>
  </si>
  <si>
    <t>Applicants are to provide a breakdown of capitalized OM&amp;A in the below table.  Capitalized OM&amp;A may be broken down using the categories listed in the table below if possible.  Otherwise, applicants are to provide its own break down of capitalized OM&amp;A.</t>
  </si>
  <si>
    <t>2   The applicant should group projects appropriately and avoid presentations that result in classification of significant components of the capital budget in the miscellaneous category.</t>
  </si>
  <si>
    <t>Notes on shifts in forecast vs. historical budgets by category</t>
  </si>
  <si>
    <t>Ontario Capital Tax rate decrease and increase in capital deduction for 2011</t>
  </si>
  <si>
    <t>Ontario Capital Tax rate decrease and increase in capital deduction for 2012</t>
  </si>
  <si>
    <t>Principal 
2014</t>
  </si>
  <si>
    <r>
      <t xml:space="preserve">Input actual or deemed long-term debt rate in accordance with the guidelines in </t>
    </r>
    <r>
      <rPr>
        <i/>
        <sz val="10"/>
        <rFont val="Arial"/>
        <family val="2"/>
      </rPr>
      <t>The Report of the Board on the Cost of Capital for Ontario's Regulated Utilities</t>
    </r>
    <r>
      <rPr>
        <sz val="10"/>
        <rFont val="Arial"/>
        <family val="2"/>
      </rPr>
      <t>, issued December 11, 2009, or with any subsequent update issued by the Board.</t>
    </r>
  </si>
  <si>
    <r>
      <t>Depreciation Expense adj. from gain or loss on the retirement of assets (pool of like assets), if applicable</t>
    </r>
    <r>
      <rPr>
        <b/>
        <vertAlign val="superscript"/>
        <sz val="10"/>
        <rFont val="Arial"/>
        <family val="2"/>
      </rPr>
      <t>6</t>
    </r>
  </si>
  <si>
    <t>OEB Minimum Standard</t>
  </si>
  <si>
    <t>Indicator</t>
  </si>
  <si>
    <t>Low Voltage Connections</t>
  </si>
  <si>
    <t>High Voltage Connections</t>
  </si>
  <si>
    <t>Telephone Accessibility</t>
  </si>
  <si>
    <t>Appointments Met</t>
  </si>
  <si>
    <t>Written Response to Enquires</t>
  </si>
  <si>
    <t>Emergency Urban Response</t>
  </si>
  <si>
    <t>Emergency Rural Response</t>
  </si>
  <si>
    <t>Telephone Call Abandon Rate</t>
  </si>
  <si>
    <t>Appointment Scheduling</t>
  </si>
  <si>
    <t>Rescheduling a Missed Appointment</t>
  </si>
  <si>
    <t>Reconnection Performance Standard</t>
  </si>
  <si>
    <t>Provide a list of customer engagement activities</t>
  </si>
  <si>
    <t>Actions taken to respond to identified needs and preferences.  If no action was taken, explain why.</t>
  </si>
  <si>
    <t>Appendix 2-AC</t>
  </si>
  <si>
    <t>Customer Engagement Activities Summary</t>
  </si>
  <si>
    <t>Provide a list of customer needs and preferences identified through each engagement activity</t>
  </si>
  <si>
    <t>Former CGAAP</t>
  </si>
  <si>
    <t>PP&amp;E Values under MIFRS (Starts from 2014, the transition year)</t>
  </si>
  <si>
    <t>Applicants are to provide Appendix 2-BA in accordance with the years and corresponding accounting standards noted in the above table to provide a year over year continuity in fixed assets.</t>
  </si>
  <si>
    <t>Ontario Capital Tax rate decrease and increase in capital deduction for 2013</t>
  </si>
  <si>
    <t>Capital Cost Allowance class changes from 2006 EDR application for 2013</t>
  </si>
  <si>
    <t># of Customers</t>
  </si>
  <si>
    <t>Rate Class 9</t>
  </si>
  <si>
    <t>Rate Class 10</t>
  </si>
  <si>
    <t>Totals</t>
  </si>
  <si>
    <t>Customers / Connections</t>
  </si>
  <si>
    <t>kW from applicable classes</t>
  </si>
  <si>
    <t xml:space="preserve">Effective on the date of IFRS adoption, customer contributions will no longer be recorded in Account 1995 Contributions &amp; Grants, but will be recorded in Account 2440, Deferred Revenues.  </t>
  </si>
  <si>
    <t>The purpose of this tab is to provide general instructions.  The specific instructions to each appendix are listed in footnotes of each appendix.</t>
  </si>
  <si>
    <t>1) For the year that the applicant implemented changes to its capitalization and depreciation policies (2012 or 2013), the applicant must file two appendices, one before and one after the policy changes.</t>
  </si>
  <si>
    <t xml:space="preserve">Applicants are to provide Appendix 2-C starting in the year capitalization and depreciation policy changes were implemented in accordance with the years and corresponding accounting standards listed in the above table.  </t>
  </si>
  <si>
    <t>2012 Depreciation Expense per Appendix 2-BA Fixed Assets, Column J 
 (l)</t>
  </si>
  <si>
    <t>2014 Depreciation Expense per Apppendix 2-BA Fixed Assets, Column J
 (l)</t>
  </si>
  <si>
    <t>2013 Depreciation Expense per Apppendix 2-BA Fixed Assets, Column J
 (l)</t>
  </si>
  <si>
    <t>2015 Depreciation Expense per Appendix 2-BA Fixed Assets, Column J
 (l)</t>
  </si>
  <si>
    <t>2013 Depreciation Expense per Appendix 2-BA Fixed Assets, Column J
 (l)</t>
  </si>
  <si>
    <t xml:space="preserve">Revised CGAAP </t>
  </si>
  <si>
    <t>A recalculation should be performed to determine the average remaining life of opening balance of assets (i.e. excluding 2013 additions) under the change in policies under CGAAP.  For example, Asset A had a useful life of 20 years under CGAAP without the change in policies.  On January 1, 2013, the effective date of the changes in policies, Asset A was 3 years depreciated. As a result, Asset A would have a remaining service life of 17 years (20 years less 3 years) as of January 1, 2013.  Due to making the change in policies under CGAAP, management re-assessed the asset useful lives and concluded that the revised useful life of Asset A is now 30 years. Therefore, the average remaining useful life of the opening balance of Asset A is determined to be 27 years (30 years less 3 years) under the revised CGAAP as of January 1, 2013.</t>
  </si>
  <si>
    <t>The applicant should ensure that the years for new additions of assets are the asset useful lives determined by management in accordance with the Board's regulatory accounting policies.   The capitalization and depreciation expense accounting changes should be implemented consistent with the Board’s regulatory accounting policies as set out for MIFRS as contained in the Report of the Board, Transition to International Financial Reporting Standards, EB-2008-0408, the Kinectrics Report, and the Revised 2012 Accounting Procedures Handbook for Electricity Distributors.</t>
  </si>
  <si>
    <t>Total Depreciation Expense</t>
  </si>
  <si>
    <t>Historical Year</t>
  </si>
  <si>
    <t>CGAAP without policy changes</t>
  </si>
  <si>
    <t xml:space="preserve">Applicants must provide a summary of the dollar impacts of MIFRS to each component of the revenue requirement (e.g. rate base, operating costs, etc.), including the overall impact on the proposed revenue requirement.  Accordingly, the applicants must identify financial differences and resulting revenue requirement impacts arising from the adoption of  MIFRS as compared to CGAAP prior to capitalization and depreciation policy changes.  Applicants should explain the financial differences and may separate the differences arising from changes in capitalization and depreciation policy versus the adoption of IFRS.    </t>
  </si>
  <si>
    <t>Appendix 2-I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</si>
  <si>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It is assumed that the new six year (2015-2020) CDM program will work similar to the existing 2011-2014 CDM program, meaning that distributors will offer programs each year that, cumulatively over the six years (from January 1, 2015 to December 31, 2020) will cumulatively achieve the new six year CDM target.  This is the approach contemplated in the Ministerial directive letters of March 31, 2014 to the Board and to the OPA.  Thus, distributors will be able to offer programs on a basis so that cumulatively over the period, the impacts, including persistence, of the CDM programs will accumulate towards achieving each distributor's 2015-2020 CDM target.</t>
  </si>
  <si>
    <t xml:space="preserve">With this approach, it is necessary to account for estimated savings for the last year of the current program, particularly the estimated savings for new CDM programs offered in 2014, as well as the estimated savings for new CDM programs that the distributor will offer in 2015 towards achievement of the new six year (2015-2020) CDM program.   This necessitates expansion of this Appendix 2-I to deal with both the 2011-2014 and 2015-2020 CDM plans.  It is expected that this approach will be updated each year. </t>
  </si>
  <si>
    <t>2011-2014 CDM Program - 2014, last year of the current CDM plan</t>
  </si>
  <si>
    <t>Input the measured results for 2011 CDM programs for each of the years 2011 and persistence into 2012, 2013 and 2014 into cells B31 to E31.  These results are taken from the final 2011 CDM Report issued by the OPA for that distributor in the fall of 2012.</t>
  </si>
  <si>
    <t>Measured results for 2012 CDM programs for each of the years 2012 and persistence into 2013 and 2014 are input into cells C32 to E32.  These results are taken from the final 2012 CDM Report issued by the OPA for that distributor in the fall of 2013.</t>
  </si>
  <si>
    <t>Measured results for 2013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t>
  </si>
  <si>
    <t>6 Year (2015-2020) kWh Target:</t>
  </si>
  <si>
    <t>2015 CDM Programs</t>
  </si>
  <si>
    <t>2016 CDM Programs</t>
  </si>
  <si>
    <t>2017 CDM Programs</t>
  </si>
  <si>
    <t>2018 CDM Programs</t>
  </si>
  <si>
    <t>2019 CDM Programs</t>
  </si>
  <si>
    <t>2020 CDM Programs</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</si>
  <si>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</si>
  <si>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2013 CDM program</t>
  </si>
  <si>
    <t>Distributor can select "0", "0.5", or "1" from drop-down list</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</si>
  <si>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</si>
  <si>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</si>
  <si>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2011-2014 and 2015-2020 LRAMVA and 2015 CDM adjustment to Load Forecast</t>
  </si>
  <si>
    <t>One manual adjustment for CDM impacts to the 2015 load forecast is made.  However, the distributor will have two associated annualized CDM impacts, one for the 2011-2014 CDM program and the second for the 2015-2020 CDM plan.  In addition, the distributor needs to reflect the CDM adjustment that was explicitly factored into its 2011 load forecast in its 2011 cost of service application (assuming that it rebased in that year).  this amount, and equal persistence for 2012, 2013 and 2014 is used as an offset to determine what the net balance of the 2011-2014 LRAMVA balance should be for disposition.</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</si>
  <si>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</si>
  <si>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 xml:space="preserve">Forecasted Costs </t>
  </si>
  <si>
    <t>Total Costs and Carrying Charges</t>
  </si>
  <si>
    <r>
      <t>Deferred Revenue</t>
    </r>
    <r>
      <rPr>
        <vertAlign val="superscript"/>
        <sz val="10"/>
        <rFont val="Arial"/>
        <family val="2"/>
      </rPr>
      <t>5</t>
    </r>
  </si>
  <si>
    <r>
      <t xml:space="preserve">For applicants that made capitalization and depreciation expense accounting policy changes under CGAAP effective January 1, </t>
    </r>
    <r>
      <rPr>
        <b/>
        <sz val="10"/>
        <color indexed="10"/>
        <rFont val="Arial"/>
        <family val="2"/>
      </rPr>
      <t>2013</t>
    </r>
  </si>
  <si>
    <r>
      <t xml:space="preserve">For applicants that made capitalization and depreciation expense accounting policy changes under CGAAP effective January 1, </t>
    </r>
    <r>
      <rPr>
        <b/>
        <sz val="10"/>
        <color indexed="10"/>
        <rFont val="Arial"/>
        <family val="2"/>
      </rPr>
      <t>2012</t>
    </r>
  </si>
  <si>
    <t>For each year, a detailed explanation for each cost driver and associated amount is requied in Exhibit 4.</t>
  </si>
  <si>
    <t>Variance Analysis</t>
  </si>
  <si>
    <t>Totals - Variance</t>
  </si>
  <si>
    <t>Note:  Use "ALT-ENTER" to go to the next line within a cell</t>
  </si>
  <si>
    <t>App. 2-Z: Tariff Schedule</t>
  </si>
  <si>
    <t>App.2-Y: Transition to MIFRS Summary Impact</t>
  </si>
  <si>
    <t>App.2-V: Revenue Reconciliation</t>
  </si>
  <si>
    <t>App.2-TB: Account 1592, HST-OVAT Input Tax Credits</t>
  </si>
  <si>
    <t>App.2-U: One-Time Incremental IFRS Transition Costs</t>
  </si>
  <si>
    <t>App.2-W: Bill Impacts</t>
  </si>
  <si>
    <t>App.2-TA: Account 1592, PILs and Tax Variances</t>
  </si>
  <si>
    <t>App.2-S: Stranded Meter Treatment</t>
  </si>
  <si>
    <t>App.2-R: Loss Factors</t>
  </si>
  <si>
    <t>App.2-Q: Cost of Serving Embedded Distributor(s)</t>
  </si>
  <si>
    <t>App.2-P: Cost Allocation</t>
  </si>
  <si>
    <t>App.2-OB: Debt Instruments</t>
  </si>
  <si>
    <t>App.2-OA: Capital Structure and Cost of Capital</t>
  </si>
  <si>
    <t>App.2-AA: Capital Projects Table</t>
  </si>
  <si>
    <t>App.2-AB: Capital Expenditures</t>
  </si>
  <si>
    <t>App. 2-AC: Customer Engagement Worksheet</t>
  </si>
  <si>
    <t>App.2-B: General Accounting Instructions</t>
  </si>
  <si>
    <t>App.2-BA: Fixed Asset Continuity Schedule</t>
  </si>
  <si>
    <t>App.2-CA: 2012 Depreciation and Amortization Expense (Old CGAAP)</t>
  </si>
  <si>
    <t>App.2-CB: 2012 Depreciation and Amortization Expense (New CGAAP)</t>
  </si>
  <si>
    <t>App.2-CC: 2013 Depreciation and Amortization Expense (New CGAAP)</t>
  </si>
  <si>
    <t>App.2-CD: 2014 Depreciation and Amortization Expense (MIFRS)</t>
  </si>
  <si>
    <t>App.2-CE: 2015 Depreciation and Amortization Expense (MIFRS)</t>
  </si>
  <si>
    <t>App.2-D: Overhead Expenses</t>
  </si>
  <si>
    <t>App.2-EA: Account 1575 PP&amp;E Deferral Account (2015 IFRS Adopters)</t>
  </si>
  <si>
    <t>App.2-EB: Account 1576 - Accounting Changes Under CGAAP (2012 Changes)</t>
  </si>
  <si>
    <t>App.2-EC: Account 1576 - Accounting Changes Under CGAAP (2013 Changes)</t>
  </si>
  <si>
    <t>App.2-FA: Renewable Generation Connection Investment Summary</t>
  </si>
  <si>
    <t>App.2-FB: Calculation of Renewable Generation Connection Direct Benefits/Provincial Amount: Renewable Enabling Improvement Investments</t>
  </si>
  <si>
    <t>App.2-FC: Calculation of Renewable Generation Connection Direct Benefits/Provincial Amount: Renewable Expansion Investments</t>
  </si>
  <si>
    <t>App.2-H: Other Operating Revenue</t>
  </si>
  <si>
    <t>App.2-G: Service Reliability Indicators</t>
  </si>
  <si>
    <t>App.2-I: Load Forecast CDM Adjustment Workform</t>
  </si>
  <si>
    <t>App.2-IA:  Actual and Forecast Load and Customer Data</t>
  </si>
  <si>
    <t>App.2-JA: OM&amp;A Summary Analysis</t>
  </si>
  <si>
    <t>App.2-JB: Recoverable OM&amp;A Cost Driver Table</t>
  </si>
  <si>
    <t>App.2-K: Employee Costs</t>
  </si>
  <si>
    <t>App.2-L: Recoverable OM&amp;A Cost per Customer and per FTE</t>
  </si>
  <si>
    <t>App.2-M: Regulatory Costs Schedule</t>
  </si>
  <si>
    <t>App.2-N: Shared Servcies and Corporate Cost Allocation</t>
  </si>
  <si>
    <t>Summary and Variances of Actual and Forecast Data</t>
  </si>
  <si>
    <t>GENERAL SERVICE GREATER THAN 50 kW - WMP</t>
  </si>
  <si>
    <t>STANDARD A GRID CONNECTED</t>
  </si>
  <si>
    <t>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t>
  </si>
  <si>
    <t>Electricity Rate</t>
  </si>
  <si>
    <t>Electricity Rate - All Additional kWh</t>
  </si>
  <si>
    <t>Electricity Rate - First 250 kWh</t>
  </si>
  <si>
    <t>Electricity Rate -All Additional kWh</t>
  </si>
  <si>
    <t>Electricity Rate First 1,000 kWh</t>
  </si>
  <si>
    <t>Electricity Rate First 25,000 kWh</t>
  </si>
  <si>
    <t>Electricity Rate First 6,000 kWh</t>
  </si>
  <si>
    <t>Electricity Rate Next 1,500 kWh</t>
  </si>
  <si>
    <t>Green Energy Act Initiatives Funding Adder - effective until the date of the next cost of service-based rate order</t>
  </si>
  <si>
    <t>Green Energy Act Plan Funding Adder</t>
  </si>
  <si>
    <t>Green Energy Act Plan Funding Adder - effective April 1, 2014 until March 31, 2015</t>
  </si>
  <si>
    <t>ICM Rate Rider (2014) - in effect until the effective date of the next cost of service rates</t>
  </si>
  <si>
    <t>LRAM Rate Rider - Effective Until April 30, 2015</t>
  </si>
  <si>
    <t>Rate Rider for Application of Tax Change - effective until April 30, 2015</t>
  </si>
  <si>
    <t>Rate Rider for Application of Tax Change - effective until December 31, 2014</t>
  </si>
  <si>
    <t>Rate Rider for Application of Tax Change (2014) - effective until April 30, 2015</t>
  </si>
  <si>
    <t>Rate Rider for Application of Tax Change (per connection) - effective until April 30, 2015</t>
  </si>
  <si>
    <t>Rate Rider for CGAAP Accounting Changes (2013) - effective until April 30, 2017</t>
  </si>
  <si>
    <t>Rate Rider for Deferral/Variance Account Disposition – effective until April 30, 2015</t>
  </si>
  <si>
    <t>Rate Rider for Deferral/Variance Account Disposition (2014) - effective until April 28, 2016</t>
  </si>
  <si>
    <t>Rate Rider for Deferral/Variance Account Disposition (2014) - effective until April 30, 2015</t>
  </si>
  <si>
    <t>Rate Rider for Deferral/Variance Account Disposition (2014) - effective until Decembeer 31, 2015</t>
  </si>
  <si>
    <t>Rate Rider for Deferral/Variance Account Disposition (2014) - effective until December 30, 2015</t>
  </si>
  <si>
    <t>Rate Rider for Deferral/Variance Account Disposition (2014) - effective until December 31, 2014</t>
  </si>
  <si>
    <t>Rate Rider for Deferral/Variance Account Disposition (2014) - effective until December 31, 2015</t>
  </si>
  <si>
    <t>Rate Rider for Disposition of Accounting Changes Under CGAAP Account 1576 - effective until April 30, 2016</t>
  </si>
  <si>
    <t>Rate Rider for Disposition of Deferral/Variance Accounts (2010) - effective until December 31, 2014</t>
  </si>
  <si>
    <t>Rate Rider for Disposition of Deferral/Variance Accounts (2012) - effective until August 31, 2014</t>
  </si>
  <si>
    <t>Rate Rider for Disposition of Deferral/Variance Accounts (2012) – effective until December 31, 2016 Applicable only in the former service area of Clinton Power</t>
  </si>
  <si>
    <t>Rate Rider for Disposition of Deferral/Variance Accounts (2012) - effective until January 31, 2014</t>
  </si>
  <si>
    <t>Rate Rider for Disposition of Deferral/Variance Accounts (2013) - Applicable only to Wholesale Market Participants - effective until April 30, 2015</t>
  </si>
  <si>
    <t>Rate Rider for Disposition of Deferral/Variance Accounts (2013) - effective until April 30, 2015, not applicable to Wholesale Market Participants</t>
  </si>
  <si>
    <t>Rate Rider for Disposition of Deferral/Variance Accounts (2013) - effective until August 31, 2014</t>
  </si>
  <si>
    <t>Rate Rider for Disposition of Deferral/Variance Accounts (2013) - effective until December 31, 2014</t>
  </si>
  <si>
    <t>Rate Rider for Disposition of Deferral/Variance Accounts (2013) - effective until May 31, 2014</t>
  </si>
  <si>
    <t>Rate Rider for Disposition of Deferred PILs Variance Account 1562 (2012) - effective until April 30, 2016</t>
  </si>
  <si>
    <t>Rate Rider for Disposition of Deferred PILs Variance Account 1562 (2nd Installment - 2012) - effective until April 30, 2016</t>
  </si>
  <si>
    <t>Rate Rider for Disposition of Deferred PILs Variance Account 1562 (per connection) (2012) - effective until April 30, 2016</t>
  </si>
  <si>
    <t>Rate Rider for Disposition of Global Adjustment Sub-Account (2012) - effective until January 31, 2014. Applicable only for Non-RPP Customers</t>
  </si>
  <si>
    <t>Rate Rider for Disposition of Global Adjustment Sub-Account (2012) Applicable only for Non-RPP Customers - effective until August 31, 2014</t>
  </si>
  <si>
    <t>Rate Rider for Disposition of Global Adjustment Sub-Account (2012) Applicable only to Non-RPP Customers - effective until August 31, 2014</t>
  </si>
  <si>
    <t>Rate Rider for Disposition of Global Adjustment Sub-Account (2013) - effective until April 30, 2015 Applicable only for Non-RPP Customers and excluding Wholesale Market Participants</t>
  </si>
  <si>
    <t>Rate Rider For Disposition of Global Adjustment Sub-Account (2013) - effective until August 31, 2014 Applicable only for Non-RPP Customers</t>
  </si>
  <si>
    <t>Rate Rider for Disposition of Global Adjustment Sub-Account (2013) - effective until December 31, 2014 Applicable only for Non-RPP Customers</t>
  </si>
  <si>
    <t>Rate Rider for Disposition of Global Adjustment Sub-Account (2013) - effective until May 31, 2014 Applicable only for Non-RPP Customers</t>
  </si>
  <si>
    <t>Rate Rider for Disposition of Global Adjustment Sub-Account (2014) - effective until December 31, 2014. Applicable only for Non-RPP - Class B Customers</t>
  </si>
  <si>
    <t>Rate Rider for Disposition of Global Adjustment Sub-Account (2014) - effective until December 31, 2014. Applicable only for Non-RPP Customers</t>
  </si>
  <si>
    <t>Rate Rider for Disposition of Global Adjustment Sub-Account (2014) - effective until December 31, 2014. Applicable only for Non-RPP Customers - Class A Customers</t>
  </si>
  <si>
    <t>Rate Rider for Disposition of Global Adjustment Sub-Account (2014) - effective until December 31, 2014. Applicable only for Non-RPP Customers - Interval Metered</t>
  </si>
  <si>
    <t>Rate Rider for Disposition of Global Adjustment Sub-Account (2014) - effective until December 31, 2014. Applicable only for Non-RPP Customers - Non Interval Metered</t>
  </si>
  <si>
    <t>Rate Rider for Disposition of Residual Hisotrical Smart Meter Costs - effective until April 30, 2017</t>
  </si>
  <si>
    <t>Rate Rider for Disposition of Residual Historical Smart Meter Costs - effective until August 31, 2014</t>
  </si>
  <si>
    <t>Rate Rider for Disposition of Residual Historical Smart Meter Costs – effective until December 31, 2014</t>
  </si>
  <si>
    <t>Rate Rider for Disposition of Residual Historical Smart Meter Costs - effective until December 31, 2016</t>
  </si>
  <si>
    <t>Rate Rider for Disposition of Residual Historical Smart Meter Costs - effective until October 31, 2014</t>
  </si>
  <si>
    <t>Rate Rider for Disposition of Stranded Meter costs - effective until April 30, 2015</t>
  </si>
  <si>
    <t>Rate Rider for Disposition of Stranded Meter Costs - effective until April 30, 2017</t>
  </si>
  <si>
    <t>Rate Rider for Global Adjustment Sub-Account Disposition 
 Applicable only for Non-RPP Customers – effective until April 30, 2015</t>
  </si>
  <si>
    <t>Rate Rider for Global Adjustment Sub-Account Disposition (2014) - effective until April 28, 2016 Applicable only for Non-RPP Customers</t>
  </si>
  <si>
    <t>Rate Rider for Global Adjustment Sub-Account Disposition (2014) - effective until April 30, 2015 Applicable only for Non-RPP Customers</t>
  </si>
  <si>
    <t>Rate Rider for Global Adjustment Sub-Account Disposition (2014) - effective until December 30, 2015 Applicable only for Non-RPP Customers</t>
  </si>
  <si>
    <t>Rate Rider for Global Adjustment Sub-Account Disposition (2014) - effective until December 31, 2014 Applicable only for Non-RPP Customers</t>
  </si>
  <si>
    <t>Rate Rider for Global Adjustment Sub-Account Disposition (2014) - effective until December 31, 2015 Applicable only for Non-RPP Customers</t>
  </si>
  <si>
    <t>Rate Rider for Global Adjustment Sub-Account Disposition (2014) - effective until December, 2015 Applicable only for Non-RPP Customers</t>
  </si>
  <si>
    <t>Rate Rider for Incremental Capital - Distribution Volumetric - effective until April 30, 2016</t>
  </si>
  <si>
    <t>Rate Rider for Incremental Capital - Service Charge - effective until April 30, 2016</t>
  </si>
  <si>
    <t>Rate Rider for Lost Revenue Adjustment Mechanism Variance Account (LRAMVA) Recovery 
 (2012 CDM Activities) - effective until April 30, 2015</t>
  </si>
  <si>
    <t>Rate Rider for Recover of Residual Historical Smart meter Costs - effective until June 30, 2014</t>
  </si>
  <si>
    <t>Rate Rider for Recovery of CGAAP/CWIP Differential - in effect until December 31, 2016</t>
  </si>
  <si>
    <t>Rate Rider for Recovery of Foregone Revenue - effective until April 30, 2015</t>
  </si>
  <si>
    <t>Rate Rider for Recovery of Forgone Revenue - effective until April 30, 2015</t>
  </si>
  <si>
    <t>Rate Rider for Recovery of Forgone Revenue - effective until December 31, 2014</t>
  </si>
  <si>
    <t>Rate Rider for Recovery of Green Energy Act related costs - effective until December 31, 2014</t>
  </si>
  <si>
    <t>Rate Rider for Recovery of Incremental Capital (2013) - in effect until the effective date of the next cost of service-based rate order</t>
  </si>
  <si>
    <t>Rate Rider for Recovery of Incremental Capital (2013) (per connection)- in effect until the effective date of the next cost of service-based rate order</t>
  </si>
  <si>
    <t>Rate Rider for Recovery of Lost Revenue Adjustment Mechanism ( LRAM)/Shared Savings Mechanism (SSM) (2012) - effective until August 31, 2014</t>
  </si>
  <si>
    <t>Rate Rider for Recovery of Lost Revenue Adjustment Mechanism (2013) - effective until December 31, 2014</t>
  </si>
  <si>
    <t>Rate Rider for Recovery of Lost Revenue Adjustment Mechanism (LRAM) (pre-2011 CDM Activities) - effective until April 30, 2015</t>
  </si>
  <si>
    <t>Rate Rider for Recovery of Lost Revenue Adjustment Mechanism (LRAM) (pre-2011 CDM Activities) (2013) - effective until April 30, 2015</t>
  </si>
  <si>
    <t>Rate Rider for Recovery of Lost Revenue Adjustment Mechanism (LRAM)/Shared Savings Mechanism (SSM) (2012) - effective until August 31, 2014</t>
  </si>
  <si>
    <t>Rate Rider for Recovery of Lost Revenue Adjustment Mechanism Variance Account (LRAMVA) (2014) - effective until April 30, 2015</t>
  </si>
  <si>
    <t>Rate Rider for Recovery of Smart Meter Incremental Revenue Requirement - effective until the effective date of the next cost of service-based rate order, or October 31, 2017, whichever occurs earlier</t>
  </si>
  <si>
    <t>Rate Rider for Recovery of Storm Damage Costs - effective until August 31, 2017</t>
  </si>
  <si>
    <t>Rate Rider for Recovery of Stranded Meter Assets - effective until April 30, 2017</t>
  </si>
  <si>
    <t>Rate Rider for Recovery of Stranded Meter Assets - effective until August 31, 2017</t>
  </si>
  <si>
    <t>Rate Rider for Recovery of Stranded Meter Assets - effective until May 31, 2014</t>
  </si>
  <si>
    <t>Rate Rider for Smart Meter Disposition - effective until April 30, 2016</t>
  </si>
  <si>
    <t>Rate Rider for Stranded Meter Cost Recovery - effective until April 30, 2017</t>
  </si>
  <si>
    <t>Rate Rider for Tax Change</t>
  </si>
  <si>
    <t>Rate Rider for Tax Change - effective until April 30, 2015</t>
  </si>
  <si>
    <t>Rate Rider for Tax Change (2014) - effective until April 30, 2015</t>
  </si>
  <si>
    <t>Rural or Remote Electricity Rate Protection Charge (RRRP)</t>
  </si>
  <si>
    <t>Service Charge (per light)</t>
  </si>
  <si>
    <t>Smart Grid Funding Adder (2014) - in effect until December 31, 2014</t>
  </si>
  <si>
    <t>Smart Meter Incremental Revenue Requirement Rate Rider</t>
  </si>
  <si>
    <t>Standby Charge - for a month where standby power is not provided, the charge is based on the applicable General Service 50 to 4,999 kW or Large Use Distribution Volumetric Charge applied to the contracted amount (e.g. Nameplate rating of generating facility).</t>
  </si>
  <si>
    <t>Renewable Generation Connection Investment Summary (past investments or over the future rate setting period)</t>
  </si>
  <si>
    <r>
      <t>Enter the details of the Renewable Generation Connection projects as described in the appropriate section</t>
    </r>
    <r>
      <rPr>
        <sz val="10"/>
        <color rgb="FF00B050"/>
        <rFont val="Arial"/>
        <family val="2"/>
      </rPr>
      <t xml:space="preserve"> </t>
    </r>
    <r>
      <rPr>
        <sz val="10"/>
        <rFont val="Arial"/>
        <family val="2"/>
      </rPr>
      <t>of the Filing Requirements.</t>
    </r>
  </si>
  <si>
    <t>There are two scenarios described below.  Separate sets of spreadsheets (2-FA, 2-FB, 2-FC) should be submited for each scenario as required.</t>
  </si>
  <si>
    <r>
      <rPr>
        <sz val="11"/>
        <color rgb="FF00B0F0"/>
        <rFont val="Calibri"/>
        <family val="2"/>
        <scheme val="minor"/>
      </rPr>
      <t>Scenario 1</t>
    </r>
    <r>
      <rPr>
        <sz val="11"/>
        <color theme="1"/>
        <rFont val="Calibri"/>
        <family val="2"/>
        <scheme val="minor"/>
      </rPr>
      <t xml:space="preserve">:  </t>
    </r>
    <r>
      <rPr>
        <b/>
        <sz val="11"/>
        <color theme="1"/>
        <rFont val="Calibri"/>
        <family val="2"/>
        <scheme val="minor"/>
      </rPr>
      <t>Past Investments with No Recovery.</t>
    </r>
    <r>
      <rPr>
        <sz val="11"/>
        <color theme="1"/>
        <rFont val="Calibri"/>
        <family val="2"/>
        <scheme val="minor"/>
      </rPr>
      <t xml:space="preserve">  The distributor has made investments in the past (during the IRM Years), but has not received approval for these projects and therefore did not receive</t>
    </r>
  </si>
  <si>
    <t>revenue from the IESO under Regulation 330/09 and did not receive ratepayer revenue for the direct benefit portion of the investment.</t>
  </si>
  <si>
    <t xml:space="preserve">The WCA percentage, debt percentages, interest rates, kWh, tax rates, amortization period, CCA Class and percentage should correspond to the distributor's last Cost of Service approval. </t>
  </si>
  <si>
    <t>The Direct Benefit portion of the calculated Revenue Requirement for each year should be summed and can be applied for recovery from the distributor's ratepayers through a rate rider.</t>
  </si>
  <si>
    <t>The Provincial Recovery portion of the calculated Revenue Requirement for each year should be summed and can be applied for recovery from the IESO through a separate order.</t>
  </si>
  <si>
    <t xml:space="preserve">The WCA percentage, debt percentages, interest rates, kWh, tax rates, amortization period, CCA Class and percentage should correspond to the distributor's current application. </t>
  </si>
  <si>
    <t>Replace "Rate Class #" with the appropriate rate classification.</t>
  </si>
  <si>
    <t>Default is 0, but one option is for full year impact of persistence of 2013 CDM programs on 2015 load forecast, but 50% impact in base forecast (first year impact of 2013 CDM programs on 2013 load forecast, which is part of the data for the load forecast.</t>
  </si>
  <si>
    <t>Information to be filed in 2016 CoS Application</t>
  </si>
  <si>
    <t>2016 Rebasing Year</t>
  </si>
  <si>
    <t xml:space="preserve">     the deferral account closing balance as of 2015 rebasing year x WACC X # of years of rate rider disposition period</t>
  </si>
  <si>
    <t xml:space="preserve">     the variance account ending balance as of 2015 rebasing year x WACC X # of years of rate rider disposition period</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</si>
  <si>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</si>
  <si>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additions in column (E) must not include construction work in progress (CWIP).</t>
  </si>
  <si>
    <t>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</si>
  <si>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r>
      <t xml:space="preserve">2016 Depreciation Expense </t>
    </r>
    <r>
      <rPr>
        <b/>
        <vertAlign val="superscript"/>
        <sz val="10"/>
        <rFont val="Arial"/>
        <family val="2"/>
      </rPr>
      <t>1</t>
    </r>
  </si>
  <si>
    <t xml:space="preserve">(h)=2015 Full Year Depreciation + ((d)*0.5)/(f) </t>
  </si>
  <si>
    <t>Depreciation Expense on 2015 Full Year Additions</t>
  </si>
  <si>
    <r>
      <t xml:space="preserve">2015 Full Year Depreciation </t>
    </r>
    <r>
      <rPr>
        <b/>
        <vertAlign val="superscript"/>
        <sz val="10"/>
        <rFont val="Arial"/>
        <family val="2"/>
      </rPr>
      <t>3</t>
    </r>
  </si>
  <si>
    <t>(p) = 2014 Full Year Depreciation  + (n) - (o)</t>
  </si>
  <si>
    <t>2016 Depreciation Expense per Appendix 2-BA Fixed Assets, Column J
 (l)</t>
  </si>
  <si>
    <t>Appendix 2-CG</t>
  </si>
  <si>
    <t>Appendix 2-CH</t>
  </si>
  <si>
    <t>Appendix 2-CI</t>
  </si>
  <si>
    <t>Appendix 2-CJ</t>
  </si>
  <si>
    <t>Appendix 2-CK</t>
  </si>
  <si>
    <t>2)  For the transition year (2014), the applicant may file two appendices, one under Revised CGAAP and one under MIFRS, depending on the materiality of impacts.  See the specific instructions under each appendix below for further details.</t>
  </si>
  <si>
    <t>*For the transition year (2014), the applicant should file two appendices, one under Revised CGAAP and one under MIFRS if the change between Revised CGAAP and MIFRS is material.  If the change from the accounting standards is not material, the applicant may choose to only provide one appendix under MIFRS.  However, the applicant must also indicate the fixed asset net book value balance under Revised CGAAP, the total dollar value of the change and explain why it is not material.</t>
  </si>
  <si>
    <t>If an applicant changed capitalization and depreciation policies effective January 1, 2012 and adopted IFRS for reporting purposes effective January 1, 2015, the applicant must complete Appendix 2-CA to 2-CF (inclusive).</t>
  </si>
  <si>
    <t>If an applicant changed capitalization and depreciation policies effective January 1, 2013 and adopted IFRS for reporting purposes effective January 1, 2015, the applicant must complete Appendix 2-CG to 2-CK (inclusive).</t>
  </si>
  <si>
    <t>The typical applicant is expected to have made capitalization and depreciation policy changes under CGAAP as permitted by the Board on January 1, 2012 or mandated by the Board by January 1, 2013, and adopted IFRS for reporting purposes on January 1, 2015 (transition date January 1, 2014).  In general, applicants under the two scenarios should provide the following information in the appendices:</t>
  </si>
  <si>
    <t>Accounting Policy Changes in 2012 and Adopted IFRS in 2015</t>
  </si>
  <si>
    <t>Accounting Policy Changes in 2013 and Adopted IFRS in 2015</t>
  </si>
  <si>
    <t xml:space="preserve">For an applicant that adopted IFRS on January 1, 2015 for financial reporting purposes, the applicant must establish the continuity of historic cost by using the December 31, 2013 regulatory gross assets of property, plant and equipment as the opening January 1, 2014 regulatory gross assets.  The applicant must provide schedules (including Appendix 2-BA, Fixed Asset Continuity Schedule) which must identify the following details to substantiate the continuity of historic cost for regulatory purposes: </t>
  </si>
  <si>
    <t xml:space="preserve">For an applicant that adopted IFRS on January 1, 2015 for financial reporting purposes, the applicant must establish the continuity of historic cost by using the December 31, 2013 regulatory accumulated depreciation as the opening January 1, 2014 regulatory accumulated depreciation.  The applicant must provide schedules (including Appendix 2-BA, Fixed Asset Continuity Schedule) which must identify the following details to substantiate the continuity of historic cost for regulatory purposes: </t>
  </si>
  <si>
    <r>
      <t xml:space="preserve">*Depreciation accounting policy changes were mandated by the Board by January 1, 2013.  These accounting changes should be implemented consistent with the Board’s regulatory accounting policies as set out for MIFRS as contained in the </t>
    </r>
    <r>
      <rPr>
        <i/>
        <sz val="10"/>
        <rFont val="Arial"/>
        <family val="2"/>
      </rPr>
      <t>Report of the Board, Transition to International Financial Reporting Standards</t>
    </r>
    <r>
      <rPr>
        <sz val="10"/>
        <rFont val="Arial"/>
        <family val="2"/>
      </rPr>
      <t xml:space="preserve"> (EB-2008-0408), the</t>
    </r>
    <r>
      <rPr>
        <i/>
        <sz val="10"/>
        <rFont val="Arial"/>
        <family val="2"/>
      </rPr>
      <t xml:space="preserve"> Depreciation Study for Use by Electricity Distributors</t>
    </r>
    <r>
      <rPr>
        <sz val="10"/>
        <rFont val="Arial"/>
        <family val="2"/>
      </rPr>
      <t xml:space="preserve"> (EB-2010-0178) and the Revised </t>
    </r>
    <r>
      <rPr>
        <i/>
        <sz val="10"/>
        <rFont val="Arial"/>
        <family val="2"/>
      </rPr>
      <t>2012 Accounting Procedures Handbook for Electricity Distributors</t>
    </r>
    <r>
      <rPr>
        <sz val="10"/>
        <rFont val="Arial"/>
        <family val="2"/>
      </rPr>
      <t>.  In general, no further changes to an applicant's depreciation policy (i.e.  assets' service lives) are expected after the Board mandated changes by January 1, 2013.  The set of Appendix CA to CK assumes this to be the case.  If the applicant has made any changes to its depreciation policy subsequent to the Board mandated changes,  applicants must identify the change, explain the nature of the change, the reason for the change, quantify the impact of the change, and quantify the depreciation expense before and after the change.</t>
    </r>
  </si>
  <si>
    <t>If an applicant changed capitalization and depreciation policies effective January 1, 2012 and  adopted IFRS for reporting purposes effective January 1, 2015, the applicant must complete Appendix 2-EA and 2-EB.  If the applicant did not make any further PP&amp;E accounting policy changes beyond the capitalization and depreciation policy changes as permitted by the Board on January 1, 2012 (i.e. no further changes made on transition to IFRS), the applicant must indicate this and does not need to complete Appendix 2-EA.</t>
  </si>
  <si>
    <t>If an applicant changed capitalization and depreciation policies effective January 1, 2013 and adopted IFRS for reporting purposes effective January 1, 2015, the applicant must complete Appendix 2-EA  and 2-EC.   If the applicant did not make any further PP&amp;E accounting policy changes beyond the capitalization and depreciation policy changes as mandated by the Board by January 1, 2013 (i.e. no further changes made on transition to IFRS), the applicant must indicate this and does not need to complete Appendix 2-EA.</t>
  </si>
  <si>
    <r>
      <t xml:space="preserve">Total for Depreciation </t>
    </r>
    <r>
      <rPr>
        <b/>
        <vertAlign val="superscript"/>
        <sz val="10"/>
        <rFont val="Arial"/>
        <family val="2"/>
      </rPr>
      <t>1</t>
    </r>
  </si>
  <si>
    <t xml:space="preserve">(e) = (c) + ½ x (d) </t>
  </si>
  <si>
    <r>
      <t xml:space="preserve">Fixed Asset Continuity Schedule </t>
    </r>
    <r>
      <rPr>
        <b/>
        <vertAlign val="superscript"/>
        <sz val="14"/>
        <rFont val="Arial"/>
        <family val="2"/>
      </rPr>
      <t>1</t>
    </r>
    <r>
      <rPr>
        <b/>
        <sz val="14"/>
        <rFont val="Arial"/>
        <family val="2"/>
      </rPr>
      <t xml:space="preserve"> </t>
    </r>
  </si>
  <si>
    <r>
      <t xml:space="preserve">CCA Class </t>
    </r>
    <r>
      <rPr>
        <b/>
        <vertAlign val="superscript"/>
        <sz val="10"/>
        <rFont val="Arial"/>
        <family val="2"/>
      </rPr>
      <t>2</t>
    </r>
  </si>
  <si>
    <r>
      <t xml:space="preserve">Additions </t>
    </r>
    <r>
      <rPr>
        <b/>
        <vertAlign val="superscript"/>
        <sz val="10"/>
        <rFont val="Arial"/>
        <family val="2"/>
      </rPr>
      <t>4</t>
    </r>
  </si>
  <si>
    <r>
      <t xml:space="preserve">OEB Account </t>
    </r>
    <r>
      <rPr>
        <b/>
        <vertAlign val="superscript"/>
        <sz val="10"/>
        <rFont val="Arial"/>
        <family val="2"/>
      </rPr>
      <t>3</t>
    </r>
  </si>
  <si>
    <r>
      <t xml:space="preserve">Description </t>
    </r>
    <r>
      <rPr>
        <b/>
        <vertAlign val="superscript"/>
        <sz val="10"/>
        <rFont val="Arial"/>
        <family val="2"/>
      </rPr>
      <t>3</t>
    </r>
  </si>
  <si>
    <r>
      <rPr>
        <sz val="11"/>
        <color rgb="FF00B0F0"/>
        <rFont val="Calibri"/>
        <family val="2"/>
        <scheme val="minor"/>
      </rPr>
      <t>Scenario 2</t>
    </r>
    <r>
      <rPr>
        <sz val="11"/>
        <color theme="1"/>
        <rFont val="Calibri"/>
        <family val="2"/>
        <scheme val="minor"/>
      </rPr>
      <t xml:space="preserve">:  </t>
    </r>
    <r>
      <rPr>
        <b/>
        <sz val="11"/>
        <color theme="1"/>
        <rFont val="Calibri"/>
        <family val="2"/>
        <scheme val="minor"/>
      </rPr>
      <t>Investments in the Test Year and Beyond.</t>
    </r>
    <r>
      <rPr>
        <sz val="11"/>
        <color theme="1"/>
        <rFont val="Calibri"/>
        <family val="2"/>
        <scheme val="minor"/>
      </rPr>
      <t xml:space="preserve">  Distributor plans to make investments in 2016 and/or beyond.  These investments should be added to 2-FA in the appropriate year.</t>
    </r>
  </si>
  <si>
    <t>Including outages caused by loss of supply</t>
  </si>
  <si>
    <t>Excluding outages caused by loss of supply</t>
  </si>
  <si>
    <t>2010 - 2014</t>
  </si>
  <si>
    <t>In the transition year to IFRS, the applicant is to present information in both MIFRS and CGAAP.  For the typical applicant that adopted IFRS on January 1, 2015, 2014 must be presented in both a CGAAP and MIFRS basis.</t>
  </si>
  <si>
    <r>
      <t xml:space="preserve">Number of Customers </t>
    </r>
    <r>
      <rPr>
        <b/>
        <vertAlign val="superscript"/>
        <sz val="10"/>
        <rFont val="Arial"/>
        <family val="2"/>
      </rPr>
      <t>2,4</t>
    </r>
  </si>
  <si>
    <r>
      <t xml:space="preserve">Number of FTEs </t>
    </r>
    <r>
      <rPr>
        <b/>
        <vertAlign val="superscript"/>
        <sz val="10"/>
        <rFont val="Arial"/>
        <family val="2"/>
      </rPr>
      <t>3,4</t>
    </r>
  </si>
  <si>
    <r>
      <t xml:space="preserve">Shared Services and Corporate Cost Allocation </t>
    </r>
    <r>
      <rPr>
        <b/>
        <vertAlign val="superscript"/>
        <sz val="14"/>
        <rFont val="Arial"/>
        <family val="2"/>
      </rPr>
      <t>1</t>
    </r>
  </si>
  <si>
    <r>
      <t xml:space="preserve">Rate (%) </t>
    </r>
    <r>
      <rPr>
        <vertAlign val="superscript"/>
        <sz val="10"/>
        <rFont val="Arial"/>
        <family val="2"/>
      </rPr>
      <t>2</t>
    </r>
  </si>
  <si>
    <r>
      <t xml:space="preserve">Interest ($) </t>
    </r>
    <r>
      <rPr>
        <vertAlign val="superscript"/>
        <sz val="10"/>
        <rFont val="Arial"/>
        <family val="2"/>
      </rPr>
      <t>1</t>
    </r>
  </si>
  <si>
    <t>If financing is in place only part of the year, separately calculate the pro-rated interest in the year and input in the cell.</t>
  </si>
  <si>
    <t>2     Host Distributors -  Provide information on embedded distributor(s) as a separate class, if applicable.   If embedded distributor(s) are billed as customers in a General Service class, include the allocated costs and revenues of the embedded distributor(s) in the applicable class.  Also complete Appendix 2-Q.</t>
  </si>
  <si>
    <t>To be completed by Host Distributors ONLY</t>
  </si>
  <si>
    <r>
      <t xml:space="preserve">Distributors should also provide the Net Book Value per class of meter as of December 31, 2010 as well as the number of meters that were removed / stranded.  In preparing this information, distributors should review the Board's letter of January 16, 2007 </t>
    </r>
    <r>
      <rPr>
        <i/>
        <sz val="10"/>
        <rFont val="Arial"/>
        <family val="2"/>
      </rPr>
      <t>Stranded Meter Costs Related to the Installation of Smart Meters</t>
    </r>
    <r>
      <rPr>
        <sz val="10"/>
        <rFont val="Arial"/>
        <family val="2"/>
      </rPr>
      <t xml:space="preserve"> which stated that records were to be kept of the type and number of each meter to support the stranded meter costs.</t>
    </r>
  </si>
  <si>
    <t>For 2015, please indicate whether the amounts provided are on a forecast or actual basis.</t>
  </si>
  <si>
    <t>Principal 
2015</t>
  </si>
  <si>
    <r>
      <t xml:space="preserve">Principal 
Jan-April 2016 </t>
    </r>
    <r>
      <rPr>
        <b/>
        <vertAlign val="superscript"/>
        <sz val="10"/>
        <rFont val="Arial"/>
        <family val="2"/>
      </rPr>
      <t>1</t>
    </r>
  </si>
  <si>
    <t>Carrying Charges to April 30, 2016</t>
  </si>
  <si>
    <r>
      <rPr>
        <vertAlign val="superscript"/>
        <sz val="10"/>
        <color indexed="8"/>
        <rFont val="Arial"/>
        <family val="2"/>
      </rPr>
      <t>1</t>
    </r>
    <r>
      <rPr>
        <sz val="10"/>
        <color indexed="8"/>
        <rFont val="Arial"/>
        <family val="2"/>
      </rPr>
      <t xml:space="preserve"> Include January to April 30, 2016 PST savings if the rate year begins May 1, 2016.  If the rate year begins Jan 1, 2016, include PST savings to December 31, 2015.</t>
    </r>
  </si>
  <si>
    <r>
      <rPr>
        <vertAlign val="superscript"/>
        <sz val="10"/>
        <color indexed="8"/>
        <rFont val="Arial"/>
        <family val="2"/>
      </rPr>
      <t>2</t>
    </r>
    <r>
      <rPr>
        <sz val="10"/>
        <color indexed="8"/>
        <rFont val="Arial"/>
        <family val="2"/>
      </rPr>
      <t xml:space="preserve"> Derived PST savings proxy for each year per 2009 historical year analysis</t>
    </r>
  </si>
  <si>
    <r>
      <t>Assumes the applicant made capitalization and depreciation expense accounting policy changes under CGAAP effective January 1,</t>
    </r>
    <r>
      <rPr>
        <b/>
        <sz val="10"/>
        <color rgb="FFFF0000"/>
        <rFont val="Arial"/>
        <family val="2"/>
      </rPr>
      <t xml:space="preserve"> 2013</t>
    </r>
    <r>
      <rPr>
        <b/>
        <sz val="10"/>
        <rFont val="Arial"/>
        <family val="2"/>
      </rPr>
      <t xml:space="preserve"> and has adopted IFRS for financial reporting purposes effective January 1, </t>
    </r>
    <r>
      <rPr>
        <b/>
        <sz val="10"/>
        <color rgb="FFFF0000"/>
        <rFont val="Arial"/>
        <family val="2"/>
      </rPr>
      <t>2015.</t>
    </r>
  </si>
  <si>
    <r>
      <t>Assumes the applicant made capitalization and depreciation expense accounting policy changes under CGAAP effective January 1,</t>
    </r>
    <r>
      <rPr>
        <b/>
        <sz val="10"/>
        <color rgb="FFFF0000"/>
        <rFont val="Arial"/>
        <family val="2"/>
      </rPr>
      <t xml:space="preserve"> 2012</t>
    </r>
    <r>
      <rPr>
        <b/>
        <sz val="10"/>
        <rFont val="Arial"/>
        <family val="2"/>
      </rPr>
      <t xml:space="preserve"> and has adopted IFRS for financial reporting purposes effective January 1, </t>
    </r>
    <r>
      <rPr>
        <b/>
        <sz val="10"/>
        <color rgb="FFFF0000"/>
        <rFont val="Arial"/>
        <family val="2"/>
      </rPr>
      <t>2015.</t>
    </r>
  </si>
  <si>
    <r>
      <t xml:space="preserve">For applicants that adopted IFRS on </t>
    </r>
    <r>
      <rPr>
        <b/>
        <sz val="10"/>
        <color rgb="FFFF0000"/>
        <rFont val="Arial"/>
        <family val="2"/>
      </rPr>
      <t>January 1, 2015</t>
    </r>
    <r>
      <rPr>
        <b/>
        <sz val="10"/>
        <color indexed="8"/>
        <rFont val="Arial"/>
        <family val="2"/>
      </rPr>
      <t xml:space="preserve"> for financial reporting purposes</t>
    </r>
  </si>
  <si>
    <t xml:space="preserve">1  For an applicant that adopted IFRS on January 1, 2015, the PP&amp;E values as of January 1, 2014 under both CGAAP and MIFRS should be the same. </t>
  </si>
  <si>
    <t>Load Forecast CDM Adjustment Work Form (2016)</t>
  </si>
  <si>
    <t>to Dec 31, 2014</t>
  </si>
  <si>
    <t>Any forecasted One-time costs past 2015 should be fully explained in the application, since distributors were required to adopt IFRS or an alternative accounting standard by January 1, 2015.</t>
  </si>
  <si>
    <r>
      <t xml:space="preserve">2016 </t>
    </r>
    <r>
      <rPr>
        <b/>
        <vertAlign val="superscript"/>
        <sz val="10"/>
        <rFont val="Arial"/>
        <family val="2"/>
      </rPr>
      <t>3</t>
    </r>
  </si>
  <si>
    <t>Carrying Charges January 1, 2015 to December 31,2015/April 30, 2016 (As appropriate)</t>
  </si>
  <si>
    <t>2015-2020 CDM Program - 2016, second year of the current CDM plan</t>
  </si>
  <si>
    <t>Table 1</t>
  </si>
  <si>
    <r>
      <t xml:space="preserve">RATE CLASSES / CATEGORIES 
</t>
    </r>
    <r>
      <rPr>
        <b/>
        <i/>
        <sz val="9"/>
        <rFont val="Arial"/>
        <family val="2"/>
      </rPr>
      <t>(eg: Residential TOU, Residential Retailer)</t>
    </r>
  </si>
  <si>
    <t>RPP?
Non-RPP Retailer?
Non-RPP
Other?</t>
  </si>
  <si>
    <t>OCEB Applicable?</t>
  </si>
  <si>
    <r>
      <t xml:space="preserve">Current 
Loss Factor 
</t>
    </r>
    <r>
      <rPr>
        <b/>
        <sz val="8"/>
        <rFont val="Arial"/>
        <family val="2"/>
      </rPr>
      <t>(eg: 1.0351)</t>
    </r>
  </si>
  <si>
    <r>
      <t xml:space="preserve">Proposed/
Approved Loss Factor 
</t>
    </r>
    <r>
      <rPr>
        <b/>
        <sz val="8"/>
        <rFont val="Arial"/>
        <family val="2"/>
      </rPr>
      <t>(eg: 1.0351)</t>
    </r>
  </si>
  <si>
    <t>Consumption (kWh)</t>
  </si>
  <si>
    <t>Demand kW
(if applicable)</t>
  </si>
  <si>
    <t>RPP</t>
  </si>
  <si>
    <t>Non-RPP (Retailer)</t>
  </si>
  <si>
    <t>Non-RPP (Other)</t>
  </si>
  <si>
    <t>Rate Class 11</t>
  </si>
  <si>
    <t>Rate Class 12</t>
  </si>
  <si>
    <t>Rate Class 13</t>
  </si>
  <si>
    <t>Rate Class 14</t>
  </si>
  <si>
    <t>Rate Class 15</t>
  </si>
  <si>
    <t>Rate Class 16</t>
  </si>
  <si>
    <t>Rate Class 17</t>
  </si>
  <si>
    <t>Rate Class 18</t>
  </si>
  <si>
    <t>Rate Class 19</t>
  </si>
  <si>
    <t>Rate Class 20</t>
  </si>
  <si>
    <t>Table 2</t>
  </si>
  <si>
    <t>A</t>
  </si>
  <si>
    <t>A + B + C</t>
  </si>
  <si>
    <t>RPP / Non-RPP:</t>
  </si>
  <si>
    <t>Demand</t>
  </si>
  <si>
    <t>Current Loss Factor</t>
  </si>
  <si>
    <t>Proposed/Approved Loss Factor</t>
  </si>
  <si>
    <t>ST_A</t>
  </si>
  <si>
    <t>ST_B</t>
  </si>
  <si>
    <t>ST_C</t>
  </si>
  <si>
    <t>Non-RPP Retailer Avg. Price</t>
  </si>
  <si>
    <t>Average IESO Wholesale Market Price</t>
  </si>
  <si>
    <t>RPP_TOTAL</t>
  </si>
  <si>
    <t>Total Bill on TOU</t>
  </si>
  <si>
    <t>Total Bill on Non-RPP Avg. Price</t>
  </si>
  <si>
    <t>Non-RPP (Retailer)_TOTAL</t>
  </si>
  <si>
    <t>Total Bill on Average IESO Wholesale Market Price</t>
  </si>
  <si>
    <t>Non-RPP (Other)_TOTAL</t>
  </si>
  <si>
    <t>Persistence of 2014 CDM Program into 2015 and 2016</t>
  </si>
  <si>
    <t>Measured results for 2014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 The distributor also needs to input the persistence of 2014 CDM programs into 2015 and 2016 in cells G45 and G46.</t>
  </si>
  <si>
    <t>Only 50% of 2016 CDM programs are assumed to impact the 2016 load forecast based on the "half-year" rule.</t>
  </si>
  <si>
    <t>Full year impact of persistence of 2015 programs on 2015 load forecast.  2015 CDM program impacts are not in the base forecast.</t>
  </si>
  <si>
    <t>Default is 0, but one option is for full year impact of persistence of 2014 CDM programs on 2014 load forecast, but 50% impact in base forecast (first year impact of 2014 CDM programs on 2014 actuals, which is part of the data for the load forecast.</t>
  </si>
  <si>
    <t>Determination of 2016 Load Forecast Adjustment</t>
  </si>
  <si>
    <t>2014 CDM program</t>
  </si>
  <si>
    <t>2006 to 2014 OPA CDM programs:  Persistence to 2016</t>
  </si>
  <si>
    <t>From each of the 2006-2010 CDM Final Report,  and the 2011, 2012, 2013 and 2014 CDM Final Reports, issued by the OPA (now IESO) for the distributor, the distributor should input the "gross" and "net" results of the cumulative CDM savings for 2014 into cells D84 to E88.  The model will calculate the cumulative savings for all programs from 2006 to 2012 and determine the "net" to "gross" factor "g".</t>
  </si>
  <si>
    <t>For the first year of the new 2015-2020 CDM plan, it is assumed that each year's program will achieve an equal amount of new CDM savings.  The new targets for 2015-2020 do not take into account persistence beyond the first year, but the IESO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</si>
  <si>
    <t>Total for 2016</t>
  </si>
  <si>
    <t>CDM adjustment for test year forecast (per Board Decision in distributor's most recent Cost of Service Application) (enter as negative)</t>
  </si>
  <si>
    <t>Amount used for CDM threshold for LRAMVA (2016)</t>
  </si>
  <si>
    <t>Manual Adjustment for 2016 Load Forecast (billed basis)</t>
  </si>
  <si>
    <t>Manual Adjustment for 2016 Load Forecast (system purchased basis)</t>
  </si>
  <si>
    <t>Manual adjustment uses "gross" versus "net" (i.e. numbers multiplied by (1 + g).  The Weight factor is also used calculate the impact of each year's program on the CDM adjustment to the 2016 load forecast.</t>
  </si>
  <si>
    <t xml:space="preserve">The Manual Adjustment for the 2016 Load Forecast is the amount manually subtracted from the load forecast derived from the base forecast from historical data. </t>
  </si>
  <si>
    <t>App.2-CJ: 2015 Depreciation and Amortization Expense (MIFRS)</t>
  </si>
  <si>
    <t>App.2-CF: 2015 Depreciation and Amortization Expense (MIFRS)</t>
  </si>
  <si>
    <t>App.2-CG: 2013 Depreciation and Amortization Expense (Old CGAAP)</t>
  </si>
  <si>
    <t>App.2-CH: 2013 Depreciation and Amortization Expense (New CGAAP)</t>
  </si>
  <si>
    <t>App.2-CI: 2014 Depreciation and Amortization Expense (MIFRS)</t>
  </si>
  <si>
    <t>App.2-CK: 2016 Depreciation and Amortization Expense (MIFRS)</t>
  </si>
  <si>
    <t>COLLUS PowerStream Corp.</t>
  </si>
  <si>
    <t>EnWin Utilities Ltd.</t>
  </si>
  <si>
    <t>Innpower Corporation</t>
  </si>
  <si>
    <t>Newmarket-Tay Power Distribution Ltd.</t>
  </si>
  <si>
    <t>Based on the current methodology and allocation, amounts allocated represent 6% for REI Connection Investments and 17% for Expansion Investments. (EB-2009-0349, 6-10-2010, p. 15, note 9)</t>
  </si>
  <si>
    <t>2016 Test Year</t>
  </si>
  <si>
    <r>
      <rPr>
        <b/>
        <sz val="10"/>
        <color indexed="8"/>
        <rFont val="Arial"/>
        <family val="2"/>
      </rPr>
      <t>Note 2:</t>
    </r>
    <r>
      <rPr>
        <sz val="10"/>
        <color indexed="8"/>
        <rFont val="Arial"/>
        <family val="2"/>
      </rPr>
      <t xml:space="preserve"> For the 2016 Test Year, Costs and Revenues of the Direct Benefit are to be included in the test year applicant Rate Base and Revenues.  </t>
    </r>
  </si>
  <si>
    <t>For historical investments, enter these variables for your last cost of service test year.  For 2016 and beyond, enter variables as in the application.</t>
  </si>
  <si>
    <t>Rate Riders are not calculated for Test Year as these assets and costs are already in the distributor's rate base.</t>
  </si>
  <si>
    <t>2016 TEST YEAR</t>
  </si>
  <si>
    <r>
      <rPr>
        <b/>
        <sz val="10"/>
        <rFont val="Arial"/>
        <family val="2"/>
      </rPr>
      <t>Note 2:</t>
    </r>
    <r>
      <rPr>
        <sz val="10"/>
        <rFont val="Arial"/>
        <family val="2"/>
      </rPr>
      <t xml:space="preserve"> For the 2016 Test Year, Costs and Revenues of the Direct Benefit are to be included in the test year applicant Rate Base and Revenues.</t>
    </r>
  </si>
  <si>
    <t>Closing NBV 2016</t>
  </si>
  <si>
    <t>App.2-JC: OM&amp;A Programs Table</t>
  </si>
  <si>
    <t>The bill comparisons below must be provided for typical customers and consumption levels.  Bill impacts must be provided for residential customers consuming 800 kWh per month and general service customers consuming 2,000 kWh per month and having a monthly demand of less than 50 kW.  In addition, distributors must provide a range that is relevant to their service territory, class by class.  A general guideline of consumption is provided below:
Residential (kWh) - 100, 250, 500, 800, 1000, 1500, 2000 (for customers on TOU and customers on retailer contracts)
GS&lt;50kW (kWh) - 1000, 2000, 5000, 10000, 15000 (for customers on TOU and customers on retailer contracts)
GS&gt;50kW (kW) - 60, 100, 500, 1000 
Large User - range appropriate for utility 
Lighting Classes and USL - 150 kWh and 1 kW, range appropriate for utility.
For certain classes where one or more customers have unique consumption and demand patterns and which may be significantly impacted by the proposed rate changes, the distributor must show a typical comparison, and provide an explanation.
Note: The Ontario Clean Energy Benefit is applicable to eligible customers only.  Refer to the Ontario Clean Energy Benefit Act, 2010.  Effective until December 31, 2015.</t>
  </si>
  <si>
    <t xml:space="preserve">Ontario Electricity Support Program 
(OESP) </t>
  </si>
  <si>
    <t>Appendix 2-PA</t>
  </si>
  <si>
    <t>New Rate Design Policy For Residential Customers</t>
  </si>
  <si>
    <t>Please complete the following tables.</t>
  </si>
  <si>
    <t>A)  Data Inputs</t>
  </si>
  <si>
    <t>Test Year Billing Determinants for Residential Class</t>
  </si>
  <si>
    <t>Customers</t>
  </si>
  <si>
    <r>
      <t>Proposed Residential Class Specific Revenue Requirement</t>
    </r>
    <r>
      <rPr>
        <vertAlign val="superscript"/>
        <sz val="10"/>
        <rFont val="Arial"/>
        <family val="2"/>
      </rPr>
      <t>1</t>
    </r>
  </si>
  <si>
    <t>Residential Base Rates on Current Tariff</t>
  </si>
  <si>
    <t>Monthly Fixed Charge ($)</t>
  </si>
  <si>
    <t>Distribution Volumetric Rate ($/kWh)</t>
  </si>
  <si>
    <t>B) Current Fixed/Variable Split</t>
  </si>
  <si>
    <t>Base Rates</t>
  </si>
  <si>
    <t>Billing Determinants</t>
  </si>
  <si>
    <t>Revenue</t>
  </si>
  <si>
    <t>% of Total Revenue</t>
  </si>
  <si>
    <t>Fixed</t>
  </si>
  <si>
    <t>Variable</t>
  </si>
  <si>
    <t>TOTAL</t>
  </si>
  <si>
    <t>-</t>
  </si>
  <si>
    <t>C) Calculating Test Year Base Rates</t>
  </si>
  <si>
    <r>
      <t>Number of Required Rate Design Policy Transition Years</t>
    </r>
    <r>
      <rPr>
        <vertAlign val="superscript"/>
        <sz val="10"/>
        <rFont val="Arial"/>
        <family val="2"/>
      </rPr>
      <t>2</t>
    </r>
  </si>
  <si>
    <t>Test Year Revenue @ Current F/V Split</t>
  </si>
  <si>
    <t>Test Year Base Rates @ Current F/V Split</t>
  </si>
  <si>
    <t>Reconciliation - Test Year Base Rates @ Current F/V Split</t>
  </si>
  <si>
    <t>New F/V Split</t>
  </si>
  <si>
    <t>Revenue @ new
 F/V Split</t>
  </si>
  <si>
    <t>Final Adjusted 
Base Rates</t>
  </si>
  <si>
    <t>Revenue Reconciliation @ Adjusted Rates</t>
  </si>
  <si>
    <r>
      <t>Checks</t>
    </r>
    <r>
      <rPr>
        <b/>
        <vertAlign val="superscript"/>
        <sz val="10"/>
        <rFont val="Arial"/>
        <family val="2"/>
      </rPr>
      <t>3</t>
    </r>
  </si>
  <si>
    <t>Change in Fixed Rate</t>
  </si>
  <si>
    <t>Difference Between Revenues @ Proposed Rates and Class Specific Revenue Requirement</t>
  </si>
  <si>
    <r>
      <rPr>
        <sz val="10"/>
        <rFont val="Arial"/>
        <family val="2"/>
      </rPr>
      <t>1</t>
    </r>
    <r>
      <rPr>
        <b/>
        <sz val="10"/>
        <rFont val="Arial"/>
        <family val="2"/>
      </rPr>
      <t xml:space="preserve">     </t>
    </r>
    <r>
      <rPr>
        <sz val="10"/>
        <rFont val="Arial"/>
        <family val="2"/>
      </rPr>
      <t>The final residential class specific revenue requirement, as shown in Appendix 2-P, should be used (i.e. the revenue requirement after any proposed adjustments to R/C ratios).</t>
    </r>
  </si>
  <si>
    <t>2     Default number of transition years for rate design policy change is 4. Where the change in the residential rate design will result in the fixed charge increasing by more than $4/year, a distributor may propose an additional transition year.</t>
  </si>
  <si>
    <t>3     Change in fixed rate due to rate design policy should be less than $4. The difference between the proposed class revenue requirement and the revenue at calculated base rates should be minimal (i.e. should be reasonably considered as a rounding error)</t>
  </si>
  <si>
    <t>App.2-PA:  New Rate Design Policy For Residential Customers</t>
  </si>
  <si>
    <t>A list of key references for understanding the Filing Requirements has been embedded in the document below. To access the list of references and associated hyperlinks double-click the icon below.</t>
  </si>
  <si>
    <t>Ontario Clean Energy Benefit Applied?</t>
  </si>
  <si>
    <r>
      <t>2014 is the last year of the current four year (2011-2014) CDM program, and 2015 is the first year of a new six year (2015-2020) CDM program, per the Ministerial directives of March 31</t>
    </r>
    <r>
      <rPr>
        <sz val="10"/>
        <rFont val="Arial"/>
        <family val="2"/>
      </rPr>
      <t xml:space="preserve">, 2014.  With 2016, there is a need to recognize the full year impact of the current 2011-2014 CDM program, as well as to estimate reasonable impacts for each year for the new 2015-2020 CDM program.  These are combined to estimate the adjustment for CDM program impacts on the 2016 load forecast.  </t>
    </r>
  </si>
  <si>
    <t>These factors do not mean that CDM programs are excluded, but the assumption that impacts of previous year CDM programs are already implicitly reflected in the actual data for the historical years that are the basis for the load forecast prior to any manual CDM adjustment for the 2016 test year.</t>
  </si>
  <si>
    <t xml:space="preserve">1     The applicant should complete Table D if it is applying for approval of a revenue to cost ratio in 2014 that is outside the Board’s policy range for any customer class. Table (d) will show the information that the distributor would likely enter in the IRM model) in 2016.  In 2017 Table (d), enter the planned ratios for the classes that will be ‘Change’ and ‘No Change’ in 2016 (in the current Revenue Cost Ratio Adjustment Workform, Worksheet C1.1 ‘Decision – Cost Revenue Adjustment’, column d), and enter TBD for class(es) that will be entered as ‘Rebalance’. </t>
  </si>
  <si>
    <r>
      <t xml:space="preserve">Identify Your Rate Classes in the </t>
    </r>
    <r>
      <rPr>
        <b/>
        <sz val="11"/>
        <color theme="3"/>
        <rFont val="Calibri"/>
        <family val="2"/>
        <scheme val="minor"/>
      </rPr>
      <t>Blue Cells</t>
    </r>
    <r>
      <rPr>
        <sz val="10"/>
        <rFont val="Arial"/>
        <family val="2"/>
      </rPr>
      <t xml:space="preserve"> below.  Rate class names can be selected from the pull-dwon menu.  Please ensure that a rate class is assigned to each shaded cell.
</t>
    </r>
  </si>
  <si>
    <t>List of Rate Classes</t>
  </si>
  <si>
    <t>EB-2015-0089</t>
  </si>
  <si>
    <t>Cameron McKenzie, Director, Regulatory Affairs</t>
  </si>
  <si>
    <t>289-429-5212</t>
  </si>
  <si>
    <t>cameronmckenzie@miltonhydro.com</t>
  </si>
  <si>
    <t>Yes</t>
  </si>
  <si>
    <t>2015 or Later</t>
  </si>
  <si>
    <t>No</t>
  </si>
  <si>
    <t>Town of Milton</t>
  </si>
  <si>
    <t>Affiliated</t>
  </si>
  <si>
    <t>Fixed Rate</t>
  </si>
  <si>
    <t>on demand</t>
  </si>
  <si>
    <t>Infrastructure Ontario</t>
  </si>
  <si>
    <t>Third-Party</t>
  </si>
  <si>
    <t>13 yrs left</t>
  </si>
  <si>
    <t>3 yrs left</t>
  </si>
  <si>
    <t>23 yrs left</t>
  </si>
  <si>
    <t>24 yrs left</t>
  </si>
  <si>
    <t>Promissory Note</t>
  </si>
  <si>
    <t>Debenture</t>
  </si>
  <si>
    <t>12 yrs left</t>
  </si>
  <si>
    <t>2 yrs left</t>
  </si>
  <si>
    <t>22 yrs left</t>
  </si>
  <si>
    <t>11 yrs left</t>
  </si>
  <si>
    <t>1 yr left</t>
  </si>
  <si>
    <t>21 yrs left</t>
  </si>
  <si>
    <t>Construction Loan</t>
  </si>
  <si>
    <t>Variable Rate</t>
  </si>
  <si>
    <t>Amortized Semi Annual</t>
  </si>
  <si>
    <t>Monthly variable construction loan</t>
  </si>
  <si>
    <t>10 yrs left</t>
  </si>
  <si>
    <t>20 yrs left</t>
  </si>
  <si>
    <t>Term Loan</t>
  </si>
  <si>
    <t>Converted construction loan to Promissory Note</t>
  </si>
  <si>
    <t xml:space="preserve">Interest on this loan is being capitalized to the building not expensed </t>
  </si>
  <si>
    <t>Road Projects: 3rd party infrastructure requirments</t>
  </si>
  <si>
    <t>RR 25 Derry to Britannia 27.6 kV pole relocation - Road Project</t>
  </si>
  <si>
    <t>RR 25 JSP to 5 Sideroad - Road Project</t>
  </si>
  <si>
    <t>Tremaine Rd Derry to Main - Road Project</t>
  </si>
  <si>
    <t>Britannia at 4th Line Relocation - Watermain</t>
  </si>
  <si>
    <t>Derry to Walkers Intersection Improvements</t>
  </si>
  <si>
    <t>Bronte south of Derry to Louis St. Laurent - Road Project</t>
  </si>
  <si>
    <t>Main St. Grade Separation - East of RR 25</t>
  </si>
  <si>
    <t>20 Sideroad east of Townline Relocate 8.32 kV - Road Project</t>
  </si>
  <si>
    <t>Lower Base Line at 16 Mile Creek - Road Project</t>
  </si>
  <si>
    <t>Main St, Scott to Tremaine - Road Project</t>
  </si>
  <si>
    <t>James Snow Pkwy - Holgate to Boston Church - Road project</t>
  </si>
  <si>
    <t>RR 25 Britannia Rd to 407 - Road Project</t>
  </si>
  <si>
    <t>Steeles Ave at JSP - Recoverable</t>
  </si>
  <si>
    <t>Derry Rd CN Underpass - Recoverable</t>
  </si>
  <si>
    <t>Target Warehouse Automated</t>
  </si>
  <si>
    <t>TOM: Main St, Bronte to Scott</t>
  </si>
  <si>
    <t>ROH: Campbelleville Rd &amp; Dublin</t>
  </si>
  <si>
    <t>ROH: Tremaine, Britannia to Derry</t>
  </si>
  <si>
    <t>ROH: New Tremaine Rd, 14th Side Road to Steeles</t>
  </si>
  <si>
    <t>ROH: James Snow, extension to Campbellville (new Tremaine Rd)</t>
  </si>
  <si>
    <t>ROH: RR 25 S Derry at 16 Mile Creek bridge</t>
  </si>
  <si>
    <t>ROH: Guelph Line Reconstruction (1 km north of Derry to Conservation)</t>
  </si>
  <si>
    <t>ROH: Derry Rd - 2 lane Reconstruction form Millborough townline to McNiven</t>
  </si>
  <si>
    <t>MTO: Hwy 25 &amp; 401 Bridge Widening</t>
  </si>
  <si>
    <t xml:space="preserve">MTO: JSP &amp; 401 - replace cables </t>
  </si>
  <si>
    <t>ROH: Steeles Ave. Grade Separation at CN Crossing west of Bronte St.</t>
  </si>
  <si>
    <t>ROH: Steeles Ave Widening from Industrial Dr. to Martin St 2-4 lanes</t>
  </si>
  <si>
    <t>ROH: Britannia Rd. from RR 25 to JSP 2-4 lanes (carried fwd from 2014)</t>
  </si>
  <si>
    <t>129 town LSL from yates Dr. to RR25</t>
  </si>
  <si>
    <t>136 Town Garden lane, 400m total, 100m of which is 3 phase</t>
  </si>
  <si>
    <t>131 Town 5th Line from LSL to Derry Rd. 1.5 km</t>
  </si>
  <si>
    <t>132 Town 5th Line form LSL to Britannia. 1.5km</t>
  </si>
  <si>
    <t>ROH: Britannia Rd. from Tremaine to RR25 (1.8km)</t>
  </si>
  <si>
    <t>TOM: Bronte St from Britannia to LSL</t>
  </si>
  <si>
    <t>Miscellaneous under Threshold</t>
  </si>
  <si>
    <t>Road Projects Sub-Total</t>
  </si>
  <si>
    <t>System Expansion - Development</t>
  </si>
  <si>
    <t>Subdivisions</t>
  </si>
  <si>
    <t>Louis St. Laurent Bridge Crossing - New Development</t>
  </si>
  <si>
    <t>Louis St. Laurent from Bridge to Bronte St - New Development</t>
  </si>
  <si>
    <t>Tremaine and Louis St Laurent - Development</t>
  </si>
  <si>
    <t>200 Chisholm Drive</t>
  </si>
  <si>
    <t>System Expansion Development -Sub-Total</t>
  </si>
  <si>
    <t>New Customer Connections</t>
  </si>
  <si>
    <t>Lowes DC (James Snow Pkwy) commercial  U/G</t>
  </si>
  <si>
    <t>Milton #1 High School (Bronte &amp; Louis) commercial  UG</t>
  </si>
  <si>
    <t>NE LSL &amp; Bronte St Fieldgate Commercial</t>
  </si>
  <si>
    <t>Costigan Road Bldg 2 &amp; 3</t>
  </si>
  <si>
    <t>Conservation Road - 3 phase for FIT Customer</t>
  </si>
  <si>
    <t>New Customer Connections -Sub-Total</t>
  </si>
  <si>
    <t>Smart Meters from Reg Assets</t>
  </si>
  <si>
    <t>Meters -Sub-Total</t>
  </si>
  <si>
    <t>System Access Total</t>
  </si>
  <si>
    <t>O/H Rebuilds</t>
  </si>
  <si>
    <t>Derry - Twiss to McNiven rebuild &amp; conversion to 27.6kV</t>
  </si>
  <si>
    <t>2nd Line 20 -25 Sideroad Rebuild</t>
  </si>
  <si>
    <t>20 Sideroad east of 2nd Line Rebuild</t>
  </si>
  <si>
    <t>Steeles Ave Ontario to Martin St 27.6kV Rebuild</t>
  </si>
  <si>
    <t>Maiden Lane Rebuild and Conversion to 27.6kV</t>
  </si>
  <si>
    <t>Laurier Ave Rebuild and Conversion from 13.8kV to 27.6kV</t>
  </si>
  <si>
    <t>Pearl St - Commercial St area Transformer Replacement</t>
  </si>
  <si>
    <t>Conservation Road West of Twiss Rd Line Rebuild</t>
  </si>
  <si>
    <t>McNiven Road Phase 2 rebuild to 27.6kV</t>
  </si>
  <si>
    <t>Twiss north of Derry Rd, Rebuild to 27.6 kV</t>
  </si>
  <si>
    <t>Tremaine Rd, 14 Sideroad (Main St) to Steeles,Rebuild and 13.8 - 27.6 kV conversion</t>
  </si>
  <si>
    <t>Given Lane 27.6kV Rebuild - from Main St to Tremaine Rd</t>
  </si>
  <si>
    <t>Steeles at Bronte - CN Crossing</t>
  </si>
  <si>
    <t>Twiss Rd to KOA 27.6 loop</t>
  </si>
  <si>
    <t>Esquesing Nassagaweya Townline Rebuild</t>
  </si>
  <si>
    <t>Heatshrink Removals</t>
  </si>
  <si>
    <t>U/G Conversion: Bronte Meadows Ph-3</t>
  </si>
  <si>
    <t>U/G Rebuild: Glenda Jane &amp; Jessie Ave</t>
  </si>
  <si>
    <t>O/H Conversion: McNiven Rd Phase 3</t>
  </si>
  <si>
    <t>O/H Rebuild: Guelph Line N 25 Side Road</t>
  </si>
  <si>
    <t>O/H Conversion: No 1 Side Road W Tremaine</t>
  </si>
  <si>
    <t>O/H Conversion: No 2 Side Road W Tremaine</t>
  </si>
  <si>
    <t>U/G Rebuild: Morobel Drive</t>
  </si>
  <si>
    <t>O/H Conversion: Mill Street</t>
  </si>
  <si>
    <t>Derry Road: Tremaine to Applby Line</t>
  </si>
  <si>
    <t>Derry Road: Appleby Line to Guelph Line</t>
  </si>
  <si>
    <t>Derry Rd: Trafalgar to 8th Line</t>
  </si>
  <si>
    <t>Sixth Line Nass South of 25 Side Rd.</t>
  </si>
  <si>
    <t>Sixth Line Nass South of 20 Side Rd.</t>
  </si>
  <si>
    <t>Miscellaneous Under Threshold</t>
  </si>
  <si>
    <t>O/H Rebuilds -Sub-Total</t>
  </si>
  <si>
    <t>U/G Rebuilds</t>
  </si>
  <si>
    <t>Parkhill Drive - New Service Supply</t>
  </si>
  <si>
    <t>Lawson Rd Service</t>
  </si>
  <si>
    <t>Timberlea Area UG Rebuild</t>
  </si>
  <si>
    <t>Bronte Meadows Primary Rebuild - Phase 1</t>
  </si>
  <si>
    <t>Dorset Park Primary Rebuild</t>
  </si>
  <si>
    <t>Dorset Park &amp; Timberlee Conversion</t>
  </si>
  <si>
    <t>Parkhill Drive - Switch Installation</t>
  </si>
  <si>
    <t>Bronte Meadows Primary Rebuild - Phase 2</t>
  </si>
  <si>
    <t>Amos and Blacklock UG Rebuild</t>
  </si>
  <si>
    <t>SC41 - Replace Elastimold</t>
  </si>
  <si>
    <t>Highside Drive &amp; Ridge Drive</t>
  </si>
  <si>
    <t>Bronte Meadows Conversion - Arena Transformers</t>
  </si>
  <si>
    <t xml:space="preserve">Main and Commercial </t>
  </si>
  <si>
    <t>U/H Rebuilds -Sub-Total</t>
  </si>
  <si>
    <t>Pole Replacements</t>
  </si>
  <si>
    <t>Pole Replacements -Sub-Total</t>
  </si>
  <si>
    <t>Porcelain to Polymer Replacement</t>
  </si>
  <si>
    <t>Pole Reinsulation - from Porcelain to Polymer</t>
  </si>
  <si>
    <t>Poreclain to Polymer Replacement -Sub-Total</t>
  </si>
  <si>
    <t>System Renewal Total</t>
  </si>
  <si>
    <t>27.6 kV Additions</t>
  </si>
  <si>
    <t>Automated three phase switches install: Cambelleville &amp; Guelph Line area</t>
  </si>
  <si>
    <t>WiMax - Automated Switches</t>
  </si>
  <si>
    <t>WiMax 100 Meter Points</t>
  </si>
  <si>
    <t>SCADA-Mates, Install Virelec Controller-20 locations</t>
  </si>
  <si>
    <t xml:space="preserve">Communications Infrastructure </t>
  </si>
  <si>
    <t>Install Fault Indicators with WIMAX</t>
  </si>
  <si>
    <t>Install Automated Switches with WIMAX</t>
  </si>
  <si>
    <t>New Tremaine TS -Feeder Egress to Tremaine Rd</t>
  </si>
  <si>
    <t xml:space="preserve">Sixth Line Pole Line Rebuild - Glenorchy TS Egress </t>
  </si>
  <si>
    <t>Stringing on JSP and lower portion of Sixth Line - Glenorchy TS Egress</t>
  </si>
  <si>
    <t>Tremaine Road from TS to Lower Baseline to Henderson Road</t>
  </si>
  <si>
    <t>Fibre Connection to New Building</t>
  </si>
  <si>
    <t>JSP, extend to Campbelleville (new Tremaine Rd)</t>
  </si>
  <si>
    <t>MS#4 Conversion-rabbit</t>
  </si>
  <si>
    <t>27.6 kV -Sub-Total</t>
  </si>
  <si>
    <t>Substations</t>
  </si>
  <si>
    <t>MS9 Recloser Replacement &amp; Rebuild</t>
  </si>
  <si>
    <t>MS6 Recloser Replacement &amp; Rebuild</t>
  </si>
  <si>
    <t>Substation -Sub-Total</t>
  </si>
  <si>
    <t>System Service Total</t>
  </si>
  <si>
    <t>SCADA</t>
  </si>
  <si>
    <t>GIS</t>
  </si>
  <si>
    <t>Computer Software</t>
  </si>
  <si>
    <t>Computer Hardware</t>
  </si>
  <si>
    <t>Communication Equipment</t>
  </si>
  <si>
    <t>Major Tools</t>
  </si>
  <si>
    <t>Office Furniture and Equipment</t>
  </si>
  <si>
    <t xml:space="preserve">Land Purchaes - Main &amp; 5th </t>
  </si>
  <si>
    <t>Land Purchae - 200 Chisholm</t>
  </si>
  <si>
    <t>Building</t>
  </si>
  <si>
    <t>System Supervisory Equipment</t>
  </si>
  <si>
    <t>Other Tangible Property/Equipment</t>
  </si>
  <si>
    <t>Capital Contribution paid toward Hydro One TS</t>
  </si>
  <si>
    <t>General Plant- Total</t>
  </si>
  <si>
    <t>Capital Contributions</t>
  </si>
  <si>
    <t>Capital Contributions Paid</t>
  </si>
  <si>
    <t>Capital Contributions- Total</t>
  </si>
  <si>
    <r>
      <t xml:space="preserve">Less Renewable Generation Facility Assets and Other Non Rate-Regulated Utility Assets </t>
    </r>
    <r>
      <rPr>
        <b/>
        <i/>
        <sz val="10"/>
        <rFont val="Arial"/>
        <family val="2"/>
      </rPr>
      <t>(input as negative)</t>
    </r>
  </si>
  <si>
    <t>Tools</t>
  </si>
  <si>
    <t>Measurement</t>
  </si>
  <si>
    <t>OH Pole System</t>
  </si>
  <si>
    <t>OH Devices</t>
  </si>
  <si>
    <t>OH Wires</t>
  </si>
  <si>
    <t>Distribution Transformers</t>
  </si>
  <si>
    <t>Switchgear</t>
  </si>
  <si>
    <t>Substation Equipment</t>
  </si>
  <si>
    <t>UG Cable System</t>
  </si>
  <si>
    <t>Duct &amp; Civil</t>
  </si>
  <si>
    <t>Pad Mounted Switchgear</t>
  </si>
  <si>
    <t>Vehicles - Heavy</t>
  </si>
  <si>
    <t>Vehicles - Light</t>
  </si>
  <si>
    <t>Vehicles - Other Mobile Equipment</t>
  </si>
  <si>
    <t>15-25</t>
  </si>
  <si>
    <t>n/a</t>
  </si>
  <si>
    <t>Deferred Revenue</t>
  </si>
  <si>
    <t>Adjustments</t>
  </si>
  <si>
    <t>Primary TR XLPE Cables in Duct</t>
  </si>
  <si>
    <t>Balances in 2013 Opening NBV, should have been fully depreciated, thus, adjust 2013</t>
  </si>
  <si>
    <t xml:space="preserve"> OM&amp;A After Capitalization - </t>
  </si>
  <si>
    <t>Administration</t>
  </si>
  <si>
    <t>Operation Costs</t>
  </si>
  <si>
    <t>Operation - Stores, Fleet</t>
  </si>
  <si>
    <t>Engineering Costs</t>
  </si>
  <si>
    <t>Operation -Fleet</t>
  </si>
  <si>
    <t>Y</t>
  </si>
  <si>
    <t>(Includes the 2013 Ice Storm)</t>
  </si>
  <si>
    <t>(Excludes the 2013 Ice Storm)</t>
  </si>
  <si>
    <t>4082/4084</t>
  </si>
  <si>
    <t>Rent from Electric Property</t>
  </si>
  <si>
    <t>Disposal of Fixed Assets</t>
  </si>
  <si>
    <t>Misc. Non-Operating Income</t>
  </si>
  <si>
    <t>Revenues from Non Utility Operations</t>
  </si>
  <si>
    <t>Expenses from Non Utility Operations</t>
  </si>
  <si>
    <t>Interest and Dividend Income</t>
  </si>
  <si>
    <t>Account 4082/4084 - Revenue from Services - Distribution</t>
  </si>
  <si>
    <t>Account 4210 - Rent from Electric Property</t>
  </si>
  <si>
    <t>Account 4225 - Late Payment Charges</t>
  </si>
  <si>
    <t>Account 4235 - Miscellaneous Service Revenues from Non-Utility Operations</t>
  </si>
  <si>
    <t>Account 4335 - Gain on Disposition of Utility or Other Property</t>
  </si>
  <si>
    <t>Account 4375/4380 - Revenue/Expenses from Non-Rate Regulated Activities</t>
  </si>
  <si>
    <t>Account 4390 - Miscellaneous Non Operating Income</t>
  </si>
  <si>
    <t>Retailer - LDC Consolidated Billing</t>
  </si>
  <si>
    <t>Retailer - Monthly Fixed Charge</t>
  </si>
  <si>
    <t>Retailer - Monthly Variable Charge</t>
  </si>
  <si>
    <t>Retailer - STR Request Fee</t>
  </si>
  <si>
    <t>Retailer - STR Processing Fee</t>
  </si>
  <si>
    <t>Pole Rental - Bell/Rogers/Cogeco/Blink</t>
  </si>
  <si>
    <t>Customer late payment charges</t>
  </si>
  <si>
    <t>Collection Charges</t>
  </si>
  <si>
    <t>Reconnection Charges</t>
  </si>
  <si>
    <t>Occupancy Charges</t>
  </si>
  <si>
    <t>Lawyer's Certificates</t>
  </si>
  <si>
    <t>Off Cycle Meter Reads</t>
  </si>
  <si>
    <t>Interval Meter Reads</t>
  </si>
  <si>
    <t>Truck #8</t>
  </si>
  <si>
    <t>Truck # 30</t>
  </si>
  <si>
    <t>Trailer</t>
  </si>
  <si>
    <t>Truck # 29</t>
  </si>
  <si>
    <t>Mail Machine</t>
  </si>
  <si>
    <t>Truck # 33</t>
  </si>
  <si>
    <t>Truck # 26</t>
  </si>
  <si>
    <t>OPA Programs - Revenue</t>
  </si>
  <si>
    <t>OPA Programs - Expenses</t>
  </si>
  <si>
    <t>Region Water &amp; Sewage Fees</t>
  </si>
  <si>
    <t>Sale of Scrap Metal</t>
  </si>
  <si>
    <t>NSF Charges</t>
  </si>
  <si>
    <t>Interest Income</t>
  </si>
  <si>
    <t>Interest Earned on deferral &amp; variance accts.</t>
  </si>
  <si>
    <t>GS &lt;50 kW</t>
  </si>
  <si>
    <t>General Service &gt; 50 to 999 kW</t>
  </si>
  <si>
    <t>General Service &gt; 1000 to 4999 kW</t>
  </si>
  <si>
    <t>Large User &gt; 4999 kW</t>
  </si>
  <si>
    <t xml:space="preserve">Streetlights </t>
  </si>
  <si>
    <t># of Connections</t>
  </si>
  <si>
    <t>Sentinel Lights</t>
  </si>
  <si>
    <t xml:space="preserve">Unmetered Loads </t>
  </si>
  <si>
    <t>Variance 2012 Actuals to 2011 Actuals</t>
  </si>
  <si>
    <t>2012 Actuals</t>
  </si>
  <si>
    <t>Variance 2013 Actuals to 2012 Actuals</t>
  </si>
  <si>
    <t>Wages, Salaries, Progressions and Benefits</t>
  </si>
  <si>
    <t>Employee Future Benefits</t>
  </si>
  <si>
    <t>Incentive Plan</t>
  </si>
  <si>
    <t>Management Fees</t>
  </si>
  <si>
    <t>Board of Directors Stiipends &amp; Expenses</t>
  </si>
  <si>
    <t xml:space="preserve"> </t>
  </si>
  <si>
    <t>Customer Focus Drivers</t>
  </si>
  <si>
    <t>Service Locates</t>
  </si>
  <si>
    <t>Customer Premise Maintenance</t>
  </si>
  <si>
    <t>Monthly Billing</t>
  </si>
  <si>
    <t>Postage</t>
  </si>
  <si>
    <t>Training Seminars</t>
  </si>
  <si>
    <t>Meter Reading - Trillant/Olameter</t>
  </si>
  <si>
    <t>Bad debts</t>
  </si>
  <si>
    <t>Operational Effectiveness Drivers</t>
  </si>
  <si>
    <t>Meter Maintenance</t>
  </si>
  <si>
    <t>Pole Maintenance</t>
  </si>
  <si>
    <t>Transformer Station - operating &amp; maintenance costs</t>
  </si>
  <si>
    <t>Load Dispatching</t>
  </si>
  <si>
    <t>Tree Trimming</t>
  </si>
  <si>
    <t>Ice Storm 2013</t>
  </si>
  <si>
    <t>Rent at 8069 Lawson</t>
  </si>
  <si>
    <t>Computer Services/Software Maintenance</t>
  </si>
  <si>
    <t>Security Audit</t>
  </si>
  <si>
    <t>Consulting -Financial System Upgrade</t>
  </si>
  <si>
    <t>Maintenance of OH &amp; UG conductors</t>
  </si>
  <si>
    <t>Maintenance of Line Transformers</t>
  </si>
  <si>
    <t>Public Policy Drivers</t>
  </si>
  <si>
    <t>Regulatory costs</t>
  </si>
  <si>
    <t>Other</t>
  </si>
  <si>
    <t>Meter Reading</t>
  </si>
  <si>
    <t>General Administration</t>
  </si>
  <si>
    <t>Building Expenses</t>
  </si>
  <si>
    <t>Transformer Substations</t>
  </si>
  <si>
    <t>Eng &amp; Operations Administration</t>
  </si>
  <si>
    <t>U/G Locates</t>
  </si>
  <si>
    <t>Customer Premise</t>
  </si>
  <si>
    <t>Maintenance O/H Lines</t>
  </si>
  <si>
    <t xml:space="preserve">Maintenance Line Transformers </t>
  </si>
  <si>
    <t>Maintenance U/G Conductors</t>
  </si>
  <si>
    <t>One-Time</t>
  </si>
  <si>
    <t>On-Going</t>
  </si>
  <si>
    <t>2011 OEB Approved</t>
  </si>
  <si>
    <t>FIT Projects</t>
  </si>
  <si>
    <t>Nineth Line Pole Extension</t>
  </si>
  <si>
    <t>Main St. Bronte to Scott, 27.6 kV relocation for ROH</t>
  </si>
  <si>
    <t>Derry Road West of Guelph Line 27.6 Conversion</t>
  </si>
  <si>
    <t>12 Sideroad East of Walkers Line Rebuild 8kV line</t>
  </si>
  <si>
    <t>300 Bronte - convert to 27.6 kV</t>
  </si>
  <si>
    <t>497 Laurier - convert to 27.6kV</t>
  </si>
  <si>
    <t>Halton TS Relocate inline switches</t>
  </si>
  <si>
    <t>Fuse Primary Runoffs</t>
  </si>
  <si>
    <t>Other Operating Income</t>
  </si>
  <si>
    <t>Account 4215 - Other Operating Income</t>
  </si>
  <si>
    <t>SSS Administration Income</t>
  </si>
  <si>
    <t>Milton Hydro Holdings Inc.</t>
  </si>
  <si>
    <t>Administration Fee</t>
  </si>
  <si>
    <t>Cost Based</t>
  </si>
  <si>
    <t>Milton Energy Generation Services</t>
  </si>
  <si>
    <t>Admin Staff</t>
  </si>
  <si>
    <t>Billing Sentinel Rentals</t>
  </si>
  <si>
    <t>Bank Services</t>
  </si>
  <si>
    <t>Sentinel Light Maintenance</t>
  </si>
  <si>
    <t>Management Fee</t>
  </si>
  <si>
    <t>2011 Board Approved</t>
  </si>
  <si>
    <t>2016 TEST</t>
  </si>
  <si>
    <t>9 yrs left</t>
  </si>
  <si>
    <t>19 yrs left</t>
  </si>
  <si>
    <t>14 yrs left</t>
  </si>
  <si>
    <t>4 yrs left</t>
  </si>
  <si>
    <t>not applicable</t>
  </si>
  <si>
    <t>MIFRS no longer allowed to capitalize these cost</t>
  </si>
  <si>
    <t>Total Costs Including  Carrying Charges</t>
  </si>
  <si>
    <t>Water Billing</t>
  </si>
  <si>
    <t>Cost plus Return</t>
  </si>
  <si>
    <t>Audit/Legal</t>
  </si>
  <si>
    <t>Consulting -Safety Team "7"  - Springboard Services</t>
  </si>
  <si>
    <t xml:space="preserve">Impact of Overhead Capitalization Policy Change on OM&amp;A </t>
  </si>
  <si>
    <t>Operations/Maintenance Supervisor</t>
  </si>
  <si>
    <t>Meter Expense</t>
  </si>
  <si>
    <t>Customer Service</t>
  </si>
  <si>
    <t>Billing/Finals/Collections</t>
  </si>
  <si>
    <t>Bad Debt</t>
  </si>
  <si>
    <t>Administration Wages</t>
  </si>
  <si>
    <t>Other Services Purchased</t>
  </si>
  <si>
    <t>Rent</t>
  </si>
  <si>
    <t>Regulatory Expenses</t>
  </si>
  <si>
    <t>Incremental operating expenses associated with other resources allocated to this application. OEB Expert Engineering Consultant -DSP</t>
  </si>
  <si>
    <t>Amortized Over 5 Years</t>
  </si>
  <si>
    <t>Bank Charges</t>
  </si>
  <si>
    <t>Other Tangible Equipment</t>
  </si>
  <si>
    <t>Building maintenance/taxes</t>
  </si>
  <si>
    <t xml:space="preserve">Term Loan </t>
  </si>
  <si>
    <t>TD Bank</t>
  </si>
  <si>
    <t>GS &gt; 50 kW to 999 kW</t>
  </si>
  <si>
    <t>GS &gt; 1,000 kW to 4,999 kW</t>
  </si>
  <si>
    <t>Large User</t>
  </si>
  <si>
    <t>(for 2011-2015 SSS included in a/c 4080)</t>
  </si>
  <si>
    <t>EB-2015-089</t>
  </si>
  <si>
    <t>Connections</t>
  </si>
  <si>
    <t>GS &gt; 50 to 999 kW</t>
  </si>
  <si>
    <t>GS &gt; 1,000 to 4,999 kW</t>
  </si>
  <si>
    <t>GS &gt;50 to 999 kW</t>
  </si>
  <si>
    <t>GS &gt;1,000 to 4,999 kW</t>
  </si>
  <si>
    <t>Sentinel</t>
  </si>
  <si>
    <t>Unmetered &amp; Scattered</t>
  </si>
  <si>
    <t>2011 Approved</t>
  </si>
  <si>
    <t>Depreciation Decreased in 'New' - Componentization/Useful Life Changes; Overhead in OM&amp;A in 'New', in Capital in 'Old'</t>
  </si>
  <si>
    <t xml:space="preserve">Depreciation Decreased in 'New' - Componentization/Useful Life Changes; Overhead in OM&amp;A in 'New', in Capital in 'Old' </t>
  </si>
  <si>
    <t>Overhead Capitalization Difference in OM&amp;A 'New', Capital in 'Old'</t>
  </si>
  <si>
    <t>Impact of Depreciation and Overhead Changes on Rate Base/Return</t>
  </si>
  <si>
    <t>Overhead Capitalization Difference in OM&amp;A in 'New', Capital in 'Old'</t>
  </si>
  <si>
    <t>Depreciation Change</t>
  </si>
  <si>
    <t>Old' requires adding back Overhead Capitalization Difference to Taxable Income, Calculating CCA on Overhead now Capitalized and applying Tax Rate &amp; Tax Credits</t>
  </si>
  <si>
    <t>Consultant Fees related to IFRS Conversion</t>
  </si>
  <si>
    <t>No incremental legal fees were incurred</t>
  </si>
  <si>
    <t>IT Consulting Work related to IFRS Conversion</t>
  </si>
  <si>
    <t>Salaries related to IFRS conversion</t>
  </si>
  <si>
    <t>Training associated staff related to IFRS Conversion</t>
  </si>
  <si>
    <t>Carrying Charges</t>
  </si>
  <si>
    <t>Carrying Charges related to IFRS conversion</t>
  </si>
  <si>
    <t>X</t>
  </si>
  <si>
    <t>Monthly</t>
  </si>
  <si>
    <t>per kWh</t>
  </si>
  <si>
    <t>Group 2 Rate Rider</t>
  </si>
  <si>
    <t>Acct 1576 Rate Rider</t>
  </si>
  <si>
    <t>Rate Rider for Recovery of Ice Storm Cost - effective until April 30, 2016</t>
  </si>
  <si>
    <t>Rate Rider for Recovery of Smart Meter Incremental Revenue Requirement - in effect until next COS</t>
  </si>
  <si>
    <t>Global Adjustment Rate Rider</t>
  </si>
  <si>
    <t>per kW</t>
  </si>
  <si>
    <t>Deferral Variance Group1</t>
  </si>
  <si>
    <t>Deferral/Variance Account Disposition Rate Rider Power</t>
  </si>
  <si>
    <t>Rate Rider for Recovery of Ice Storm - Effective until April 30, 2016</t>
  </si>
  <si>
    <t>Deferral/Variance Account Disposition Rate Rider-Power</t>
  </si>
  <si>
    <t>RESIDENTIAL SERVICE CLASSIFICATION</t>
  </si>
  <si>
    <t>GENERAL SERVICE LESS THAN 50 KW SERVICE CLASSIFICATION</t>
  </si>
  <si>
    <t>GENERAL SERVICE 50 TO 999 KW SERVICE CLASSIFICATION</t>
  </si>
  <si>
    <t>GENERAL SERVICE 1,000 TO 4,999 KW SERVICE CLASSIFICATION</t>
  </si>
  <si>
    <t>LARGE USE SERVICE CLASSIFICATION</t>
  </si>
  <si>
    <t>UNMETERED SCATTERED LOAD SERVICE CLASSIFICATION</t>
  </si>
  <si>
    <t>SENTINEL LIGHTING SERVICE CLASSIFICATION</t>
  </si>
  <si>
    <t>STREET LIGHTING SERVICE CLASSIFICATION</t>
  </si>
  <si>
    <t>microFIT SERVICE CLASSIFICATION</t>
  </si>
  <si>
    <t>Details</t>
  </si>
  <si>
    <t>Draft Final Report</t>
  </si>
  <si>
    <t>Severe wind storm damage trees which fell onto Milton Hydro's distribution O/H lines causing a surge which damage customer owned equipment - customers wanted to be re-imbursed for the damage.</t>
  </si>
  <si>
    <t>Milton Hydro held two sessions - Town Hall meetings with affected customers to explain the situation.  Included Kinectrics to explain the results of their investigation and also MEARIE to explain the Insurance.  Milton Hydro was not liable for the damage and therefore customer's needed to use their home owners insurance.  Milton Hydro offered to pick up damaged appliances and have them recycle in an evironmentally-friendly way,  discussed ways to prevent future damages</t>
  </si>
  <si>
    <t>Customers with their own pole lines (customer owned pole lines) were concerned that Milton Hydro would no longer assist with tree trimming on private property.</t>
  </si>
  <si>
    <t>Milton Hydro held two sessions with a PowerPoint presentation explaining how to distinguish customer owned equipment and what belongs to Milton Hydro.  ESA did a presentation as well. Recommendation to use a tree trimming company and not to try to trim trees themselves.</t>
  </si>
  <si>
    <t>Customers concerned again about trees and tree trimming after the December 2013 Ice Storm.  Milton Hydro initiated this Town Hall meeting.</t>
  </si>
  <si>
    <t>Milton Hydro initiated a Town Hall meeting to review a revised tree timming policy (Filed with interrogatory responses to Milton Hydro's Z-Factor Application)  Explained the work done on substation feeders to minimize the number of customers that may experience an outage in the event of trees coming down during storms.</t>
  </si>
  <si>
    <t>April and June 2012 - Town Hall meeting - for customers in the Rural service area</t>
  </si>
  <si>
    <t>May 29 &amp; 30, 2013 Town Hall meeting - for customers in the Rural service area</t>
  </si>
  <si>
    <t>April 14, 2014  Town Hall meeting - for customers in the Rural service area.</t>
  </si>
  <si>
    <t>Note: Custmers in the Urban service area do not have tree issues.</t>
  </si>
  <si>
    <t xml:space="preserve">Cusomer engagement as set out iin EXHIBIT 1 </t>
  </si>
  <si>
    <t>Please refer to file MILTON_EB-2015-0089_COS_May_1_2016_Tariffs</t>
  </si>
  <si>
    <t>Table 1-19A</t>
  </si>
  <si>
    <t>Table 2-17</t>
  </si>
  <si>
    <t>Table 2-27</t>
  </si>
  <si>
    <t>Table 2-28</t>
  </si>
  <si>
    <t>Table 2-30</t>
  </si>
  <si>
    <t>Table 3-9</t>
  </si>
  <si>
    <t>Table 3-14A</t>
  </si>
  <si>
    <t>Table 3-16</t>
  </si>
  <si>
    <t>Table 4-32</t>
  </si>
  <si>
    <t>Table 4-7</t>
  </si>
  <si>
    <t>Table 4-8</t>
  </si>
  <si>
    <t>Table 4-12</t>
  </si>
  <si>
    <t>Table 4-13</t>
  </si>
  <si>
    <t>Table 4-14</t>
  </si>
  <si>
    <t>Table 4-28</t>
  </si>
  <si>
    <t>Table 4-41</t>
  </si>
  <si>
    <t>Table 4-43</t>
  </si>
  <si>
    <t>Table 4-44</t>
  </si>
  <si>
    <t>Table 4-45</t>
  </si>
  <si>
    <t>Table 4-46</t>
  </si>
  <si>
    <t>Table 4-47</t>
  </si>
  <si>
    <t>Table 7-7</t>
  </si>
  <si>
    <t>Table 8-4</t>
  </si>
  <si>
    <t>Table 8-13</t>
  </si>
  <si>
    <t>Attachment 8-3</t>
  </si>
  <si>
    <t>Table 8-16</t>
  </si>
  <si>
    <t>Table 9-7</t>
  </si>
  <si>
    <t>Table 9-15</t>
  </si>
  <si>
    <t>Table 1-25</t>
  </si>
  <si>
    <t>Table 5-3</t>
  </si>
  <si>
    <t>Table 5-1 &amp; 2</t>
  </si>
  <si>
    <t>3 &amp; 4</t>
  </si>
  <si>
    <t>Revised to Include 2013 CGAAP (for Comparison to 2012 CGAAP)</t>
  </si>
  <si>
    <t>2013 Actual (CGAAP)</t>
  </si>
  <si>
    <t>Variance 2013 Actuals (CGAAP) to 2012 Actuals</t>
  </si>
  <si>
    <t>Compound Annual Growth Rate for all years (2016 Test vs 2011 Actual)</t>
  </si>
  <si>
    <t>(revised)</t>
  </si>
  <si>
    <t>2015 Projected</t>
  </si>
  <si>
    <t>2016 Projected revised</t>
  </si>
  <si>
    <t>TOM: Main St, Bronte to Whitmer</t>
  </si>
  <si>
    <t>Framguard Temp Pole Line Britannia</t>
  </si>
  <si>
    <t>Mill St. Conversion</t>
  </si>
  <si>
    <t>Appendix 2-AB (revised)</t>
  </si>
  <si>
    <t>Appendix 2-EC (revised)</t>
  </si>
  <si>
    <t>Appendix 2-H (revised)</t>
  </si>
  <si>
    <t>Appendix 2-IA (revised)</t>
  </si>
  <si>
    <t>Loss Factors (revised)</t>
  </si>
  <si>
    <t>Debt Instruments (revised)</t>
  </si>
  <si>
    <r>
      <t xml:space="preserve">Recoverable OM&amp;A Cost per Customer and per FTE </t>
    </r>
    <r>
      <rPr>
        <b/>
        <vertAlign val="superscript"/>
        <sz val="14"/>
        <rFont val="Arial"/>
        <family val="2"/>
      </rPr>
      <t>1 (REVISED)</t>
    </r>
  </si>
  <si>
    <t>from Transition to MIFRS (revised)</t>
  </si>
  <si>
    <t>Cost Allocation (revised)</t>
  </si>
  <si>
    <t>Capital Structure and Cost of Capital (revised)</t>
  </si>
  <si>
    <t>Revenue Reconciliation(revised)</t>
  </si>
  <si>
    <t>Projected</t>
  </si>
  <si>
    <t>as Filed</t>
  </si>
  <si>
    <t>Dec 18, 2015</t>
  </si>
  <si>
    <t>IRR</t>
  </si>
  <si>
    <t>(revised Decision)</t>
  </si>
  <si>
    <t>Decision</t>
  </si>
  <si>
    <t>August 1, 2016</t>
  </si>
  <si>
    <t>"August 2, 2016</t>
  </si>
  <si>
    <t>Recoverable OM&amp;A Cost Driver Table (REVISED - NOT CHANGED FOR DECISION)</t>
  </si>
  <si>
    <t>OM&amp;A Programs Table (REVISED NOT CHANGED FOR DECISION)</t>
  </si>
  <si>
    <t>(revisedDecision)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</si>
</sst>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4">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0.0%"/>
    <numFmt numFmtId="166" formatCode="_-&quot;$&quot;* #,##0_-;\-&quot;$&quot;* #,##0_-;_-&quot;$&quot;* &quot;-&quot;??_-;_-@_-"/>
    <numFmt numFmtId="167" formatCode="_-* #,##0_-;\-* #,##0_-;_-* &quot;-&quot;??_-;_-@_-"/>
    <numFmt numFmtId="168" formatCode="_-&quot;$&quot;* #,##0.0000_-;\-&quot;$&quot;* #,##0.0000_-;_-&quot;$&quot;* &quot;-&quot;??_-;_-@_-"/>
    <numFmt numFmtId="169" formatCode="[$-1009]mmmm\ d\,\ yyyy;@"/>
    <numFmt numFmtId="170" formatCode="0_ ;\-0\ "/>
    <numFmt numFmtId="171" formatCode="[$-1009]d\-mmm\-yy;@"/>
    <numFmt numFmtId="172" formatCode="\(#\)"/>
    <numFmt numFmtId="173" formatCode="&quot;$&quot;#,##0_);[Red]\(&quot;$&quot;#,##0\);&quot;$&quot;\ \-"/>
    <numFmt numFmtId="174" formatCode="#,##0_ ;\-#,##0\ "/>
    <numFmt numFmtId="175" formatCode="0.000"/>
    <numFmt numFmtId="176" formatCode="&quot;$&quot;#,##0"/>
    <numFmt numFmtId="177" formatCode="&quot;$&quot;#,##0.0000_);[Red]\(&quot;$&quot;#,##0.0000\)"/>
    <numFmt numFmtId="178" formatCode="&quot;$&quot;#,##0.00"/>
    <numFmt numFmtId="179" formatCode="#,##0.0000;[Red]\(#,##0.0000\)"/>
    <numFmt numFmtId="180" formatCode="#,##0.00;[Red]\(#,##0.00\)"/>
    <numFmt numFmtId="181" formatCode="[$-409]mmmm\ d\,\ yyyy;@"/>
    <numFmt numFmtId="182" formatCode="0.00;\(0.00\)"/>
    <numFmt numFmtId="183" formatCode="0.0000;\(0.0000\)"/>
    <numFmt numFmtId="184" formatCode="#,##0.0000"/>
    <numFmt numFmtId="185" formatCode="#,##0.00_ ;\-#,##0.00\ "/>
    <numFmt numFmtId="186" formatCode="0.00%;\(0.00\)%"/>
    <numFmt numFmtId="187" formatCode="#,##0.00000"/>
    <numFmt numFmtId="188" formatCode="#,##0.00_ ;\(#,##0.00\)"/>
    <numFmt numFmtId="189" formatCode="0%;\(0%\)"/>
    <numFmt numFmtId="190" formatCode="0.0000"/>
    <numFmt numFmtId="191" formatCode="_(* #,##0.0_);_(* \(#,##0.0\);_(* &quot;-&quot;??_);_(@_)"/>
    <numFmt numFmtId="192" formatCode="#,##0.0"/>
    <numFmt numFmtId="193" formatCode="mm/dd/yyyy"/>
    <numFmt numFmtId="194" formatCode="0\-0"/>
    <numFmt numFmtId="195" formatCode="##\-#"/>
    <numFmt numFmtId="196" formatCode="_(* #,##0_);_(* \(#,##0\);_(* &quot;-&quot;??_);_(@_)"/>
    <numFmt numFmtId="197" formatCode="&quot;£ &quot;#,##0.00;[Red]\-&quot;£ &quot;#,##0.00"/>
    <numFmt numFmtId="198" formatCode="mmmm\ d"/>
    <numFmt numFmtId="199" formatCode="_-&quot;$&quot;* #,##0.0_-;\-&quot;$&quot;* #,##0.0_-;_-&quot;$&quot;* &quot;-&quot;??_-;_-@_-"/>
    <numFmt numFmtId="200" formatCode="_-* #,##0.000000000_-;\-* #,##0.000000000_-;_-* &quot;-&quot;??_-;_-@_-"/>
    <numFmt numFmtId="201" formatCode="_(&quot;$&quot;* #,##0_);_(&quot;$&quot;* \(#,##0\);_(&quot;$&quot;* &quot;-&quot;??_);_(@_)"/>
    <numFmt numFmtId="202" formatCode="_-* #,##0.0_-;\-* #,##0.0_-;_-* &quot;-&quot;??_-;_-@_-"/>
  </numFmts>
  <fonts count="14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8"/>
      <name val="Arial"/>
      <family val="2"/>
    </font>
    <font>
      <b/>
      <sz val="10"/>
      <name val="Arial"/>
      <family val="2"/>
    </font>
    <font>
      <b/>
      <u/>
      <sz val="11"/>
      <name val="Arial"/>
      <family val="2"/>
    </font>
    <font>
      <b/>
      <sz val="12"/>
      <name val="Arial"/>
      <family val="2"/>
    </font>
    <font>
      <b/>
      <u/>
      <sz val="10"/>
      <name val="Arial"/>
      <family val="2"/>
    </font>
    <font>
      <b/>
      <sz val="14"/>
      <name val="Arial"/>
      <family val="2"/>
    </font>
    <font>
      <b/>
      <vertAlign val="superscript"/>
      <sz val="10"/>
      <name val="Arial"/>
      <family val="2"/>
    </font>
    <font>
      <sz val="10"/>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6"/>
      <color indexed="12"/>
      <name val="Algerian"/>
      <family val="5"/>
    </font>
    <font>
      <sz val="14"/>
      <name val="Arial"/>
      <family val="2"/>
    </font>
    <font>
      <i/>
      <sz val="10"/>
      <name val="Arial"/>
      <family val="2"/>
    </font>
    <font>
      <b/>
      <i/>
      <sz val="10"/>
      <name val="Arial"/>
      <family val="2"/>
    </font>
    <font>
      <sz val="10"/>
      <color indexed="10"/>
      <name val="Arial"/>
      <family val="2"/>
    </font>
    <font>
      <b/>
      <u/>
      <sz val="10"/>
      <color indexed="12"/>
      <name val="Arial"/>
      <family val="2"/>
    </font>
    <font>
      <u/>
      <sz val="10"/>
      <name val="Arial"/>
      <family val="2"/>
    </font>
    <font>
      <b/>
      <sz val="10"/>
      <name val="Arial"/>
      <family val="2"/>
    </font>
    <font>
      <sz val="10"/>
      <name val="Arial"/>
      <family val="2"/>
    </font>
    <font>
      <b/>
      <sz val="11"/>
      <name val="Arial"/>
      <family val="2"/>
    </font>
    <font>
      <vertAlign val="superscript"/>
      <sz val="10"/>
      <name val="Arial"/>
      <family val="2"/>
    </font>
    <font>
      <b/>
      <sz val="10"/>
      <color indexed="10"/>
      <name val="Arial"/>
      <family val="2"/>
    </font>
    <font>
      <b/>
      <u/>
      <sz val="14"/>
      <name val="Arial"/>
      <family val="2"/>
    </font>
    <font>
      <b/>
      <i/>
      <vertAlign val="superscript"/>
      <sz val="10"/>
      <name val="Arial"/>
      <family val="2"/>
    </font>
    <font>
      <b/>
      <u/>
      <sz val="14"/>
      <color indexed="10"/>
      <name val="Arial"/>
      <family val="2"/>
    </font>
    <font>
      <strike/>
      <sz val="10"/>
      <name val="Arial"/>
      <family val="2"/>
    </font>
    <font>
      <sz val="10"/>
      <color indexed="8"/>
      <name val="Arial"/>
      <family val="2"/>
    </font>
    <font>
      <sz val="10"/>
      <color rgb="FF000000"/>
      <name val="Arial"/>
      <family val="2"/>
    </font>
    <font>
      <b/>
      <sz val="11"/>
      <color theme="1"/>
      <name val="Arial"/>
      <family val="2"/>
    </font>
    <font>
      <sz val="20"/>
      <name val="Arial"/>
      <family val="2"/>
    </font>
    <font>
      <b/>
      <sz val="10"/>
      <color indexed="8"/>
      <name val="Arial"/>
      <family val="2"/>
    </font>
    <font>
      <sz val="10"/>
      <color indexed="8"/>
      <name val="Calibri"/>
      <family val="2"/>
    </font>
    <font>
      <sz val="10"/>
      <color indexed="55"/>
      <name val="Arial"/>
      <family val="2"/>
    </font>
    <font>
      <sz val="9"/>
      <name val="Arial"/>
      <family val="2"/>
    </font>
    <font>
      <b/>
      <sz val="9"/>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trike/>
      <sz val="10"/>
      <name val="Arial"/>
      <family val="2"/>
    </font>
    <font>
      <sz val="9"/>
      <color theme="1"/>
      <name val="Arial"/>
      <family val="2"/>
    </font>
    <font>
      <b/>
      <sz val="9"/>
      <color theme="1"/>
      <name val="Arial"/>
      <family val="2"/>
    </font>
    <font>
      <b/>
      <sz val="14"/>
      <color rgb="FFFF0000"/>
      <name val="Arial"/>
      <family val="2"/>
    </font>
    <font>
      <b/>
      <sz val="10"/>
      <color rgb="FFFF0000"/>
      <name val="Arial"/>
      <family val="2"/>
    </font>
    <font>
      <b/>
      <i/>
      <sz val="9"/>
      <color rgb="FFFF0000"/>
      <name val="Arial"/>
      <family val="2"/>
    </font>
    <font>
      <b/>
      <sz val="10"/>
      <color indexed="81"/>
      <name val="Arial"/>
      <family val="2"/>
    </font>
    <font>
      <sz val="10"/>
      <color rgb="FFFF0000"/>
      <name val="Arial"/>
      <family val="2"/>
    </font>
    <font>
      <sz val="14"/>
      <color indexed="10"/>
      <name val="Arial"/>
      <family val="2"/>
    </font>
    <font>
      <b/>
      <sz val="8"/>
      <color indexed="81"/>
      <name val="Tahoma"/>
      <family val="2"/>
    </font>
    <font>
      <b/>
      <sz val="10"/>
      <color theme="3"/>
      <name val="Arial"/>
      <family val="2"/>
    </font>
    <font>
      <b/>
      <i/>
      <sz val="11"/>
      <color theme="1"/>
      <name val="Calibri"/>
      <family val="2"/>
      <scheme val="minor"/>
    </font>
    <font>
      <i/>
      <sz val="11"/>
      <color theme="1"/>
      <name val="Calibri"/>
      <family val="2"/>
      <scheme val="minor"/>
    </font>
    <font>
      <sz val="11"/>
      <color indexed="8"/>
      <name val="Arial"/>
      <family val="2"/>
    </font>
    <font>
      <b/>
      <sz val="11"/>
      <color indexed="8"/>
      <name val="Calibri"/>
      <family val="1"/>
      <charset val="204"/>
    </font>
    <font>
      <sz val="10"/>
      <name val="Calibri"/>
      <family val="2"/>
      <scheme val="minor"/>
    </font>
    <font>
      <sz val="11"/>
      <name val="Calibri"/>
      <family val="2"/>
      <scheme val="minor"/>
    </font>
    <font>
      <b/>
      <i/>
      <sz val="9"/>
      <name val="Arial"/>
      <family val="2"/>
    </font>
    <font>
      <sz val="11"/>
      <color theme="1"/>
      <name val="Arial"/>
      <family val="2"/>
    </font>
    <font>
      <sz val="9"/>
      <color indexed="8"/>
      <name val="Arial"/>
      <family val="2"/>
    </font>
    <font>
      <sz val="10"/>
      <name val="Symbol"/>
      <family val="1"/>
      <charset val="2"/>
    </font>
    <font>
      <sz val="10"/>
      <name val="Times New Roman"/>
      <family val="1"/>
    </font>
    <font>
      <b/>
      <u/>
      <sz val="10"/>
      <color indexed="8"/>
      <name val="Arial"/>
      <family val="2"/>
    </font>
    <font>
      <vertAlign val="superscript"/>
      <sz val="10"/>
      <color indexed="8"/>
      <name val="Arial"/>
      <family val="2"/>
    </font>
    <font>
      <sz val="12"/>
      <name val="Arial"/>
      <family val="2"/>
    </font>
    <font>
      <sz val="12"/>
      <name val="Symbol"/>
      <family val="1"/>
      <charset val="2"/>
    </font>
    <font>
      <i/>
      <sz val="12"/>
      <name val="Arial"/>
      <family val="2"/>
    </font>
    <font>
      <b/>
      <u/>
      <sz val="12"/>
      <name val="Arial"/>
      <family val="2"/>
    </font>
    <font>
      <i/>
      <u/>
      <sz val="12"/>
      <name val="Arial"/>
      <family val="2"/>
    </font>
    <font>
      <sz val="10"/>
      <name val="Calibri"/>
      <family val="2"/>
    </font>
    <font>
      <u/>
      <sz val="12"/>
      <color indexed="12"/>
      <name val="Arial"/>
      <family val="2"/>
    </font>
    <font>
      <i/>
      <sz val="9"/>
      <name val="Arial"/>
      <family val="2"/>
    </font>
    <font>
      <sz val="10"/>
      <color indexed="12"/>
      <name val="Arial"/>
      <family val="2"/>
    </font>
    <font>
      <i/>
      <sz val="12"/>
      <color theme="1"/>
      <name val="Calibri"/>
      <family val="2"/>
      <scheme val="minor"/>
    </font>
    <font>
      <b/>
      <sz val="14"/>
      <color theme="1"/>
      <name val="Calibri"/>
      <family val="2"/>
      <scheme val="minor"/>
    </font>
    <font>
      <sz val="10"/>
      <color theme="3" tint="0.39997558519241921"/>
      <name val="Arial"/>
      <family val="2"/>
    </font>
    <font>
      <b/>
      <sz val="14"/>
      <color theme="1"/>
      <name val="Arial"/>
      <family val="2"/>
    </font>
    <font>
      <b/>
      <sz val="10"/>
      <color theme="1"/>
      <name val="Arial"/>
      <family val="2"/>
    </font>
    <font>
      <sz val="8"/>
      <color theme="1"/>
      <name val="Arial"/>
      <family val="2"/>
    </font>
    <font>
      <b/>
      <sz val="8"/>
      <name val="Arial"/>
      <family val="2"/>
    </font>
    <font>
      <b/>
      <sz val="16"/>
      <name val="Arial"/>
      <family val="2"/>
    </font>
    <font>
      <b/>
      <sz val="18"/>
      <color theme="1"/>
      <name val="Arial"/>
      <family val="2"/>
    </font>
    <font>
      <b/>
      <sz val="12"/>
      <color theme="1"/>
      <name val="Arial"/>
      <family val="2"/>
    </font>
    <font>
      <b/>
      <sz val="8"/>
      <color theme="1"/>
      <name val="Arial"/>
      <family val="2"/>
    </font>
    <font>
      <b/>
      <u/>
      <sz val="11"/>
      <color theme="1"/>
      <name val="Calibri"/>
      <family val="2"/>
      <scheme val="minor"/>
    </font>
    <font>
      <b/>
      <sz val="10"/>
      <color indexed="9"/>
      <name val="Arial"/>
      <family val="2"/>
    </font>
    <font>
      <sz val="10"/>
      <color theme="1"/>
      <name val="Arial"/>
      <family val="2"/>
    </font>
    <font>
      <b/>
      <sz val="10"/>
      <color theme="5"/>
      <name val="Arial"/>
      <family val="2"/>
    </font>
    <font>
      <b/>
      <vertAlign val="superscript"/>
      <sz val="14"/>
      <name val="Arial"/>
      <family val="2"/>
    </font>
    <font>
      <b/>
      <i/>
      <sz val="14"/>
      <color theme="1"/>
      <name val="Calibri"/>
      <family val="2"/>
      <scheme val="minor"/>
    </font>
    <font>
      <b/>
      <sz val="11"/>
      <name val="Calibri"/>
      <family val="2"/>
      <scheme val="minor"/>
    </font>
    <font>
      <sz val="8"/>
      <color rgb="FF000000"/>
      <name val="Arial"/>
      <family val="2"/>
    </font>
    <font>
      <sz val="10"/>
      <color rgb="FF00B050"/>
      <name val="Arial"/>
      <family val="2"/>
    </font>
    <font>
      <sz val="11"/>
      <name val="Arial"/>
      <family val="2"/>
    </font>
    <font>
      <sz val="11"/>
      <color rgb="FF00B0F0"/>
      <name val="Calibri"/>
      <family val="2"/>
      <scheme val="minor"/>
    </font>
    <font>
      <sz val="9"/>
      <color indexed="81"/>
      <name val="Tahoma"/>
      <family val="2"/>
    </font>
    <font>
      <b/>
      <sz val="9"/>
      <color indexed="81"/>
      <name val="Tahoma"/>
      <family val="2"/>
    </font>
    <font>
      <b/>
      <sz val="10"/>
      <color rgb="FF000000"/>
      <name val="Arial"/>
      <family val="2"/>
    </font>
    <font>
      <b/>
      <i/>
      <sz val="14"/>
      <name val="Arial"/>
      <family val="2"/>
    </font>
    <font>
      <i/>
      <sz val="10"/>
      <color rgb="FFFF0000"/>
      <name val="Arial"/>
      <family val="2"/>
    </font>
    <font>
      <b/>
      <i/>
      <sz val="9"/>
      <color theme="1"/>
      <name val="Arial"/>
      <family val="2"/>
    </font>
  </fonts>
  <fills count="8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theme="4" tint="0.79998168889431442"/>
        <bgColor indexed="64"/>
      </patternFill>
    </fill>
    <fill>
      <patternFill patternType="solid">
        <fgColor theme="6" tint="0.79998168889431442"/>
        <bgColor indexed="64"/>
      </patternFill>
    </fill>
    <fill>
      <patternFill patternType="lightDown">
        <bgColor indexed="5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lightDown">
        <bgColor theme="0" tint="-0.249977111117893"/>
      </patternFill>
    </fill>
    <fill>
      <patternFill patternType="lightDown">
        <bgColor theme="0" tint="-0.34998626667073579"/>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FF99"/>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indexed="26"/>
        <bgColor indexed="64"/>
      </patternFill>
    </fill>
    <fill>
      <patternFill patternType="solid">
        <fgColor theme="1"/>
        <bgColor indexed="64"/>
      </patternFill>
    </fill>
    <fill>
      <patternFill patternType="lightUp">
        <bgColor auto="1"/>
      </patternFill>
    </fill>
    <fill>
      <patternFill patternType="solid">
        <fgColor theme="8" tint="0.79998168889431442"/>
        <bgColor indexed="64"/>
      </patternFill>
    </fill>
    <fill>
      <patternFill patternType="mediumGray">
        <bgColor theme="0"/>
      </patternFill>
    </fill>
    <fill>
      <patternFill patternType="solid">
        <fgColor theme="0" tint="-0.14999847407452621"/>
        <bgColor indexed="64"/>
      </patternFill>
    </fill>
    <fill>
      <patternFill patternType="solid">
        <fgColor rgb="FFEBF1DE"/>
        <bgColor rgb="FF000000"/>
      </patternFill>
    </fill>
    <fill>
      <patternFill patternType="solid">
        <fgColor rgb="FFEBF1DE"/>
        <bgColor indexed="64"/>
      </patternFill>
    </fill>
    <fill>
      <patternFill patternType="solid">
        <fgColor rgb="FFCCFFFF"/>
        <bgColor indexed="64"/>
      </patternFill>
    </fill>
    <fill>
      <patternFill patternType="solid">
        <fgColor rgb="FFFF6600"/>
        <bgColor indexed="64"/>
      </patternFill>
    </fill>
  </fills>
  <borders count="19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double">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34998626667073579"/>
      </left>
      <right/>
      <top style="thick">
        <color theme="0" tint="-0.34998626667073579"/>
      </top>
      <bottom style="thick">
        <color theme="0" tint="-4.9989318521683403E-2"/>
      </bottom>
      <diagonal/>
    </border>
    <border>
      <left/>
      <right/>
      <top style="thick">
        <color theme="0" tint="-0.34998626667073579"/>
      </top>
      <bottom style="thick">
        <color theme="0" tint="-4.9989318521683403E-2"/>
      </bottom>
      <diagonal/>
    </border>
    <border>
      <left/>
      <right style="thick">
        <color theme="0" tint="-4.9989318521683403E-2"/>
      </right>
      <top style="thick">
        <color theme="0" tint="-0.34998626667073579"/>
      </top>
      <bottom style="thick">
        <color theme="0" tint="-4.9989318521683403E-2"/>
      </bottom>
      <diagonal/>
    </border>
    <border>
      <left/>
      <right/>
      <top/>
      <bottom style="thin">
        <color theme="0"/>
      </bottom>
      <diagonal/>
    </border>
    <border>
      <left style="thin">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top style="thin">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top style="thin">
        <color theme="0"/>
      </top>
      <bottom style="thin">
        <color theme="0"/>
      </bottom>
      <diagonal/>
    </border>
    <border>
      <left/>
      <right style="double">
        <color indexed="64"/>
      </right>
      <top style="thin">
        <color theme="0"/>
      </top>
      <bottom/>
      <diagonal/>
    </border>
    <border>
      <left/>
      <right/>
      <top style="thin">
        <color theme="0"/>
      </top>
      <bottom/>
      <diagonal/>
    </border>
    <border>
      <left style="medium">
        <color indexed="64"/>
      </left>
      <right style="medium">
        <color indexed="64"/>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diagonal/>
    </border>
    <border>
      <left style="thick">
        <color indexed="64"/>
      </left>
      <right/>
      <top style="medium">
        <color indexed="64"/>
      </top>
      <bottom style="medium">
        <color indexed="64"/>
      </bottom>
      <diagonal/>
    </border>
    <border>
      <left/>
      <right style="thick">
        <color indexed="64"/>
      </right>
      <top style="medium">
        <color indexed="64"/>
      </top>
      <bottom style="thin">
        <color indexed="64"/>
      </bottom>
      <diagonal/>
    </border>
    <border>
      <left/>
      <right/>
      <top/>
      <bottom style="thick">
        <color indexed="64"/>
      </bottom>
      <diagonal/>
    </border>
    <border>
      <left style="medium">
        <color indexed="64"/>
      </left>
      <right style="thick">
        <color indexed="64"/>
      </right>
      <top/>
      <bottom style="medium">
        <color indexed="64"/>
      </bottom>
      <diagonal/>
    </border>
    <border>
      <left style="thick">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double">
        <color indexed="64"/>
      </bottom>
      <diagonal/>
    </border>
    <border>
      <left/>
      <right style="medium">
        <color indexed="64"/>
      </right>
      <top style="medium">
        <color indexed="64"/>
      </top>
      <bottom style="double">
        <color indexed="64"/>
      </bottom>
      <diagonal/>
    </border>
    <border>
      <left style="medium">
        <color indexed="64"/>
      </left>
      <right style="thick">
        <color indexed="64"/>
      </right>
      <top style="medium">
        <color indexed="64"/>
      </top>
      <bottom style="double">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thick">
        <color theme="0"/>
      </left>
      <right/>
      <top/>
      <bottom/>
      <diagonal/>
    </border>
    <border>
      <left/>
      <right/>
      <top style="thick">
        <color theme="0"/>
      </top>
      <bottom/>
      <diagonal/>
    </border>
    <border>
      <left style="thick">
        <color theme="0"/>
      </left>
      <right/>
      <top style="thick">
        <color theme="0"/>
      </top>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bottom/>
      <diagonal/>
    </border>
    <border>
      <left/>
      <right/>
      <top/>
      <bottom style="thin">
        <color indexed="9"/>
      </bottom>
      <diagonal/>
    </border>
    <border>
      <left style="thin">
        <color theme="0"/>
      </left>
      <right/>
      <top/>
      <bottom style="thin">
        <color theme="0"/>
      </bottom>
      <diagonal/>
    </border>
    <border>
      <left style="thin">
        <color theme="0"/>
      </left>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ck">
        <color theme="0" tint="-0.34998626667073579"/>
      </right>
      <top/>
      <bottom/>
      <diagonal/>
    </border>
    <border>
      <left/>
      <right style="thin">
        <color theme="0"/>
      </right>
      <top/>
      <bottom/>
      <diagonal/>
    </border>
    <border>
      <left style="thick">
        <color theme="0"/>
      </left>
      <right/>
      <top/>
      <bottom style="thick">
        <color theme="0"/>
      </bottom>
      <diagonal/>
    </border>
    <border>
      <left style="medium">
        <color indexed="9"/>
      </left>
      <right style="medium">
        <color indexed="9"/>
      </right>
      <top/>
      <bottom/>
      <diagonal/>
    </border>
    <border>
      <left style="medium">
        <color indexed="9"/>
      </left>
      <right style="medium">
        <color indexed="9"/>
      </right>
      <top/>
      <bottom style="thin">
        <color indexed="9"/>
      </bottom>
      <diagonal/>
    </border>
    <border>
      <left/>
      <right style="thick">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ck">
        <color theme="0"/>
      </bottom>
      <diagonal/>
    </border>
    <border>
      <left/>
      <right/>
      <top style="thin">
        <color theme="0"/>
      </top>
      <bottom style="thick">
        <color theme="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indexed="64"/>
      </left>
      <right style="medium">
        <color indexed="64"/>
      </right>
      <top style="double">
        <color indexed="64"/>
      </top>
      <bottom style="thick">
        <color indexed="64"/>
      </bottom>
      <diagonal/>
    </border>
    <border>
      <left style="thin">
        <color rgb="FF000000"/>
      </left>
      <right/>
      <top style="thin">
        <color rgb="FF000000"/>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thick">
        <color theme="0" tint="-0.34998626667073579"/>
      </left>
      <right style="medium">
        <color theme="0" tint="-4.9989318521683403E-2"/>
      </right>
      <top style="thick">
        <color theme="0" tint="-0.34998626667073579"/>
      </top>
      <bottom style="medium">
        <color theme="0" tint="-4.9989318521683403E-2"/>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top style="medium">
        <color indexed="64"/>
      </top>
      <bottom style="medium">
        <color indexed="64"/>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style="thin">
        <color indexed="64"/>
      </right>
      <top style="double">
        <color indexed="64"/>
      </top>
      <bottom style="thin">
        <color indexed="64"/>
      </bottom>
      <diagonal/>
    </border>
  </borders>
  <cellStyleXfs count="171">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27" fillId="3" borderId="0" applyNumberFormat="0" applyBorder="0" applyAlignment="0" applyProtection="0"/>
    <xf numFmtId="0" fontId="28" fillId="20" borderId="1" applyNumberFormat="0" applyAlignment="0" applyProtection="0"/>
    <xf numFmtId="0" fontId="29" fillId="21" borderId="2" applyNumberFormat="0" applyAlignment="0" applyProtection="0"/>
    <xf numFmtId="43" fontId="15" fillId="0" borderId="0" applyFont="0" applyFill="0" applyBorder="0" applyAlignment="0" applyProtection="0"/>
    <xf numFmtId="44" fontId="15" fillId="0" borderId="0" applyFont="0" applyFill="0" applyBorder="0" applyAlignment="0" applyProtection="0"/>
    <xf numFmtId="0" fontId="30" fillId="0" borderId="0" applyNumberFormat="0" applyFill="0" applyBorder="0" applyAlignment="0" applyProtection="0"/>
    <xf numFmtId="0" fontId="31" fillId="4" borderId="0" applyNumberFormat="0" applyBorder="0" applyAlignment="0" applyProtection="0"/>
    <xf numFmtId="0" fontId="32" fillId="0" borderId="3" applyNumberFormat="0" applyFill="0" applyAlignment="0" applyProtection="0"/>
    <xf numFmtId="0" fontId="33" fillId="0" borderId="4" applyNumberFormat="0" applyFill="0" applyAlignment="0" applyProtection="0"/>
    <xf numFmtId="0" fontId="34" fillId="0" borderId="5" applyNumberFormat="0" applyFill="0" applyAlignment="0" applyProtection="0"/>
    <xf numFmtId="0" fontId="34" fillId="0" borderId="0" applyNumberFormat="0" applyFill="0" applyBorder="0" applyAlignment="0" applyProtection="0"/>
    <xf numFmtId="0" fontId="16" fillId="0" borderId="0" applyNumberFormat="0" applyFill="0" applyBorder="0" applyAlignment="0" applyProtection="0">
      <alignment vertical="top"/>
      <protection locked="0"/>
    </xf>
    <xf numFmtId="0" fontId="35" fillId="7" borderId="1" applyNumberFormat="0" applyAlignment="0" applyProtection="0"/>
    <xf numFmtId="0" fontId="36" fillId="0" borderId="6" applyNumberFormat="0" applyFill="0" applyAlignment="0" applyProtection="0"/>
    <xf numFmtId="0" fontId="37" fillId="22" borderId="0" applyNumberFormat="0" applyBorder="0" applyAlignment="0" applyProtection="0"/>
    <xf numFmtId="0" fontId="38" fillId="23" borderId="7" applyNumberFormat="0" applyFont="0" applyAlignment="0" applyProtection="0"/>
    <xf numFmtId="0" fontId="39" fillId="20" borderId="8" applyNumberFormat="0" applyAlignment="0" applyProtection="0"/>
    <xf numFmtId="9" fontId="15" fillId="0" borderId="0" applyFont="0" applyFill="0" applyBorder="0" applyAlignment="0" applyProtection="0"/>
    <xf numFmtId="0" fontId="40" fillId="0" borderId="0" applyNumberFormat="0" applyFill="0" applyBorder="0" applyAlignment="0" applyProtection="0"/>
    <xf numFmtId="0" fontId="41" fillId="0" borderId="9" applyNumberFormat="0" applyFill="0" applyAlignment="0" applyProtection="0"/>
    <xf numFmtId="0" fontId="42" fillId="0" borderId="0" applyNumberFormat="0" applyFill="0" applyBorder="0" applyAlignment="0" applyProtection="0"/>
    <xf numFmtId="0" fontId="15" fillId="0" borderId="0"/>
    <xf numFmtId="0" fontId="25" fillId="0" borderId="0"/>
    <xf numFmtId="0" fontId="68" fillId="0" borderId="0" applyNumberFormat="0" applyFill="0" applyBorder="0" applyAlignment="0" applyProtection="0"/>
    <xf numFmtId="0" fontId="70" fillId="0" borderId="113" applyNumberFormat="0" applyFill="0" applyAlignment="0" applyProtection="0"/>
    <xf numFmtId="0" fontId="69" fillId="0" borderId="112" applyNumberFormat="0" applyFill="0" applyAlignment="0" applyProtection="0"/>
    <xf numFmtId="0" fontId="14" fillId="0" borderId="0"/>
    <xf numFmtId="0" fontId="71" fillId="0" borderId="114" applyNumberFormat="0" applyFill="0" applyAlignment="0" applyProtection="0"/>
    <xf numFmtId="0" fontId="71" fillId="0" borderId="0" applyNumberFormat="0" applyFill="0" applyBorder="0" applyAlignment="0" applyProtection="0"/>
    <xf numFmtId="0" fontId="72" fillId="31" borderId="0" applyNumberFormat="0" applyBorder="0" applyAlignment="0" applyProtection="0"/>
    <xf numFmtId="0" fontId="73" fillId="32" borderId="0" applyNumberFormat="0" applyBorder="0" applyAlignment="0" applyProtection="0"/>
    <xf numFmtId="0" fontId="74" fillId="33" borderId="0" applyNumberFormat="0" applyBorder="0" applyAlignment="0" applyProtection="0"/>
    <xf numFmtId="0" fontId="75" fillId="34" borderId="115" applyNumberFormat="0" applyAlignment="0" applyProtection="0"/>
    <xf numFmtId="0" fontId="76" fillId="35" borderId="116" applyNumberFormat="0" applyAlignment="0" applyProtection="0"/>
    <xf numFmtId="0" fontId="77" fillId="35" borderId="115" applyNumberFormat="0" applyAlignment="0" applyProtection="0"/>
    <xf numFmtId="0" fontId="78" fillId="0" borderId="117" applyNumberFormat="0" applyFill="0" applyAlignment="0" applyProtection="0"/>
    <xf numFmtId="0" fontId="79" fillId="36" borderId="118" applyNumberFormat="0" applyAlignment="0" applyProtection="0"/>
    <xf numFmtId="0" fontId="80" fillId="0" borderId="0" applyNumberFormat="0" applyFill="0" applyBorder="0" applyAlignment="0" applyProtection="0"/>
    <xf numFmtId="0" fontId="14" fillId="37" borderId="119" applyNumberFormat="0" applyFont="0" applyAlignment="0" applyProtection="0"/>
    <xf numFmtId="0" fontId="81" fillId="0" borderId="0" applyNumberFormat="0" applyFill="0" applyBorder="0" applyAlignment="0" applyProtection="0"/>
    <xf numFmtId="0" fontId="82" fillId="0" borderId="120" applyNumberFormat="0" applyFill="0" applyAlignment="0" applyProtection="0"/>
    <xf numFmtId="0" fontId="83"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83" fillId="41" borderId="0" applyNumberFormat="0" applyBorder="0" applyAlignment="0" applyProtection="0"/>
    <xf numFmtId="0" fontId="83"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83" fillId="45" borderId="0" applyNumberFormat="0" applyBorder="0" applyAlignment="0" applyProtection="0"/>
    <xf numFmtId="0" fontId="83" fillId="46" borderId="0" applyNumberFormat="0" applyBorder="0" applyAlignment="0" applyProtection="0"/>
    <xf numFmtId="0" fontId="14" fillId="47" borderId="0" applyNumberFormat="0" applyBorder="0" applyAlignment="0" applyProtection="0"/>
    <xf numFmtId="0" fontId="14" fillId="48" borderId="0" applyNumberFormat="0" applyBorder="0" applyAlignment="0" applyProtection="0"/>
    <xf numFmtId="0" fontId="83" fillId="49" borderId="0" applyNumberFormat="0" applyBorder="0" applyAlignment="0" applyProtection="0"/>
    <xf numFmtId="0" fontId="83" fillId="50" borderId="0" applyNumberFormat="0" applyBorder="0" applyAlignment="0" applyProtection="0"/>
    <xf numFmtId="0" fontId="14" fillId="51" borderId="0" applyNumberFormat="0" applyBorder="0" applyAlignment="0" applyProtection="0"/>
    <xf numFmtId="0" fontId="14" fillId="52" borderId="0" applyNumberFormat="0" applyBorder="0" applyAlignment="0" applyProtection="0"/>
    <xf numFmtId="0" fontId="83" fillId="53" borderId="0" applyNumberFormat="0" applyBorder="0" applyAlignment="0" applyProtection="0"/>
    <xf numFmtId="0" fontId="83" fillId="54" borderId="0" applyNumberFormat="0" applyBorder="0" applyAlignment="0" applyProtection="0"/>
    <xf numFmtId="0" fontId="14" fillId="55" borderId="0" applyNumberFormat="0" applyBorder="0" applyAlignment="0" applyProtection="0"/>
    <xf numFmtId="0" fontId="14" fillId="56" borderId="0" applyNumberFormat="0" applyBorder="0" applyAlignment="0" applyProtection="0"/>
    <xf numFmtId="0" fontId="83" fillId="57" borderId="0" applyNumberFormat="0" applyBorder="0" applyAlignment="0" applyProtection="0"/>
    <xf numFmtId="0" fontId="83" fillId="58"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83" fillId="61" borderId="0" applyNumberFormat="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1" fillId="0" borderId="0"/>
    <xf numFmtId="0" fontId="15" fillId="0" borderId="0"/>
    <xf numFmtId="0" fontId="15" fillId="0" borderId="0"/>
    <xf numFmtId="44" fontId="15" fillId="0" borderId="0" applyFont="0" applyFill="0" applyBorder="0" applyAlignment="0" applyProtection="0"/>
    <xf numFmtId="9" fontId="11" fillId="0" borderId="0" applyFont="0" applyFill="0" applyBorder="0" applyAlignment="0" applyProtection="0"/>
    <xf numFmtId="0" fontId="25" fillId="0" borderId="0"/>
    <xf numFmtId="0" fontId="15" fillId="0" borderId="0"/>
    <xf numFmtId="44" fontId="11" fillId="0" borderId="0" applyFont="0" applyFill="0" applyBorder="0" applyAlignment="0" applyProtection="0"/>
    <xf numFmtId="43" fontId="11" fillId="0" borderId="0" applyFont="0" applyFill="0" applyBorder="0" applyAlignment="0" applyProtection="0"/>
    <xf numFmtId="0" fontId="25" fillId="0" borderId="0"/>
    <xf numFmtId="191" fontId="15" fillId="0" borderId="0"/>
    <xf numFmtId="192" fontId="15" fillId="0" borderId="0"/>
    <xf numFmtId="191" fontId="15" fillId="0" borderId="0"/>
    <xf numFmtId="191" fontId="15" fillId="0" borderId="0"/>
    <xf numFmtId="191" fontId="15" fillId="0" borderId="0"/>
    <xf numFmtId="191" fontId="15" fillId="0" borderId="0"/>
    <xf numFmtId="193" fontId="15" fillId="0" borderId="0"/>
    <xf numFmtId="194" fontId="15" fillId="0" borderId="0"/>
    <xf numFmtId="193" fontId="15" fillId="0" borderId="0"/>
    <xf numFmtId="3" fontId="15" fillId="0" borderId="0" applyFont="0" applyFill="0" applyBorder="0" applyAlignment="0" applyProtection="0"/>
    <xf numFmtId="164" fontId="15" fillId="0" borderId="0" applyFont="0" applyFill="0" applyBorder="0" applyAlignment="0" applyProtection="0"/>
    <xf numFmtId="14" fontId="15" fillId="0" borderId="0" applyFont="0" applyFill="0" applyBorder="0" applyAlignment="0" applyProtection="0"/>
    <xf numFmtId="2" fontId="15" fillId="0" borderId="0" applyFont="0" applyFill="0" applyBorder="0" applyAlignment="0" applyProtection="0"/>
    <xf numFmtId="38" fontId="17" fillId="27" borderId="0" applyNumberFormat="0" applyBorder="0" applyAlignment="0" applyProtection="0"/>
    <xf numFmtId="10" fontId="17" fillId="75" borderId="10" applyNumberFormat="0" applyBorder="0" applyAlignment="0" applyProtection="0"/>
    <xf numFmtId="195" fontId="15" fillId="0" borderId="0"/>
    <xf numFmtId="196" fontId="15" fillId="0" borderId="0"/>
    <xf numFmtId="195" fontId="15" fillId="0" borderId="0"/>
    <xf numFmtId="195" fontId="15" fillId="0" borderId="0"/>
    <xf numFmtId="195" fontId="15" fillId="0" borderId="0"/>
    <xf numFmtId="195" fontId="15" fillId="0" borderId="0"/>
    <xf numFmtId="197" fontId="15" fillId="0" borderId="0"/>
    <xf numFmtId="10" fontId="15"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23" borderId="7" applyNumberFormat="0" applyFont="0" applyAlignment="0" applyProtection="0"/>
    <xf numFmtId="0" fontId="3" fillId="0" borderId="0"/>
    <xf numFmtId="0" fontId="3" fillId="37" borderId="119" applyNumberFormat="0" applyFont="0" applyAlignment="0" applyProtection="0"/>
    <xf numFmtId="0" fontId="15" fillId="0" borderId="0"/>
    <xf numFmtId="0" fontId="3" fillId="39" borderId="0" applyNumberFormat="0" applyBorder="0" applyAlignment="0" applyProtection="0"/>
    <xf numFmtId="0" fontId="3" fillId="40"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51" borderId="0" applyNumberFormat="0" applyBorder="0" applyAlignment="0" applyProtection="0"/>
    <xf numFmtId="0" fontId="3" fillId="52"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cellStyleXfs>
  <cellXfs count="2582">
    <xf numFmtId="0" fontId="0" fillId="0" borderId="0" xfId="0"/>
    <xf numFmtId="0" fontId="0" fillId="0" borderId="0" xfId="0" applyProtection="1"/>
    <xf numFmtId="0" fontId="0" fillId="0" borderId="0" xfId="0" applyFill="1" applyBorder="1"/>
    <xf numFmtId="0" fontId="18" fillId="0" borderId="0" xfId="0" applyFont="1"/>
    <xf numFmtId="0" fontId="0" fillId="0" borderId="0" xfId="0" applyAlignment="1" applyProtection="1">
      <alignment vertical="center"/>
    </xf>
    <xf numFmtId="0" fontId="0" fillId="0" borderId="0" xfId="0" applyFill="1" applyAlignment="1" applyProtection="1">
      <alignment vertical="center"/>
    </xf>
    <xf numFmtId="0" fontId="21" fillId="0" borderId="0" xfId="0" applyFont="1"/>
    <xf numFmtId="0" fontId="0" fillId="0" borderId="44" xfId="0" applyBorder="1"/>
    <xf numFmtId="0" fontId="18" fillId="0" borderId="0" xfId="0" applyFont="1" applyAlignment="1">
      <alignment vertical="top"/>
    </xf>
    <xf numFmtId="0" fontId="0" fillId="0" borderId="0" xfId="0" applyAlignment="1">
      <alignment wrapText="1"/>
    </xf>
    <xf numFmtId="0" fontId="38" fillId="0" borderId="0" xfId="0" applyFont="1"/>
    <xf numFmtId="0" fontId="18" fillId="0" borderId="0" xfId="0" applyFont="1" applyAlignment="1">
      <alignment horizontal="center"/>
    </xf>
    <xf numFmtId="0" fontId="48" fillId="0" borderId="0" xfId="36" quotePrefix="1" applyFont="1" applyAlignment="1" applyProtection="1">
      <alignment horizontal="center"/>
    </xf>
    <xf numFmtId="0" fontId="15" fillId="0" borderId="0" xfId="0" applyFont="1"/>
    <xf numFmtId="0" fontId="38" fillId="0" borderId="0" xfId="0" applyFont="1" applyProtection="1"/>
    <xf numFmtId="0" fontId="55" fillId="0" borderId="0" xfId="0" applyFont="1"/>
    <xf numFmtId="0" fontId="60" fillId="0" borderId="0" xfId="0" applyFont="1" applyFill="1" applyBorder="1" applyAlignment="1">
      <alignment vertical="top"/>
    </xf>
    <xf numFmtId="0" fontId="0" fillId="29" borderId="44" xfId="0" applyFill="1" applyBorder="1"/>
    <xf numFmtId="0" fontId="0" fillId="28" borderId="44" xfId="0" applyFill="1" applyBorder="1"/>
    <xf numFmtId="0" fontId="0" fillId="0" borderId="0" xfId="0" applyFill="1" applyBorder="1" applyAlignment="1">
      <alignment wrapText="1"/>
    </xf>
    <xf numFmtId="0" fontId="61" fillId="0" borderId="0" xfId="0" applyFont="1" applyAlignment="1" applyProtection="1">
      <alignment horizontal="right" vertical="center"/>
    </xf>
    <xf numFmtId="0" fontId="38" fillId="0" borderId="0" xfId="0" applyFont="1" applyAlignment="1" applyProtection="1">
      <alignment horizontal="right" vertical="center"/>
    </xf>
    <xf numFmtId="0" fontId="61" fillId="0" borderId="0" xfId="0" applyFont="1" applyAlignment="1" applyProtection="1">
      <alignment horizontal="right" vertical="center" indent="1"/>
    </xf>
    <xf numFmtId="0" fontId="38" fillId="0" borderId="0" xfId="0" applyFont="1" applyAlignment="1">
      <alignment horizontal="right" indent="1"/>
    </xf>
    <xf numFmtId="0" fontId="62" fillId="0" borderId="0" xfId="0" applyFont="1" applyAlignment="1">
      <alignment horizontal="left" vertical="top" indent="1"/>
    </xf>
    <xf numFmtId="0" fontId="58" fillId="0" borderId="0" xfId="0" applyFont="1"/>
    <xf numFmtId="0" fontId="84" fillId="0" borderId="0" xfId="0" applyFont="1"/>
    <xf numFmtId="0" fontId="18" fillId="0" borderId="0" xfId="0" applyFont="1" applyAlignment="1"/>
    <xf numFmtId="0" fontId="16" fillId="0" borderId="0" xfId="36" applyAlignment="1" applyProtection="1"/>
    <xf numFmtId="0" fontId="46" fillId="0" borderId="0" xfId="0" applyFont="1" applyFill="1" applyBorder="1"/>
    <xf numFmtId="0" fontId="15" fillId="0" borderId="0" xfId="36" applyFont="1" applyAlignment="1" applyProtection="1"/>
    <xf numFmtId="0" fontId="15" fillId="0" borderId="0" xfId="46" applyProtection="1"/>
    <xf numFmtId="0" fontId="18" fillId="0" borderId="0" xfId="46" applyFont="1" applyProtection="1"/>
    <xf numFmtId="172" fontId="15" fillId="0" borderId="0" xfId="46" applyNumberFormat="1" applyFill="1" applyBorder="1" applyProtection="1">
      <protection locked="0"/>
    </xf>
    <xf numFmtId="172" fontId="15" fillId="0" borderId="0" xfId="46" quotePrefix="1" applyNumberFormat="1" applyFill="1" applyBorder="1" applyProtection="1">
      <protection locked="0"/>
    </xf>
    <xf numFmtId="172" fontId="15" fillId="29" borderId="0" xfId="46" applyNumberFormat="1" applyFill="1" applyBorder="1" applyProtection="1">
      <protection locked="0"/>
    </xf>
    <xf numFmtId="172" fontId="15" fillId="29" borderId="0" xfId="46" applyNumberFormat="1" applyFill="1" applyAlignment="1" applyProtection="1">
      <alignment horizontal="center" vertical="center"/>
      <protection locked="0"/>
    </xf>
    <xf numFmtId="0" fontId="94" fillId="0" borderId="0" xfId="0" applyFont="1"/>
    <xf numFmtId="0" fontId="61" fillId="0" borderId="0" xfId="0" applyFont="1" applyAlignment="1" applyProtection="1">
      <alignment horizontal="center" vertical="center" wrapText="1"/>
    </xf>
    <xf numFmtId="0" fontId="61" fillId="0" borderId="0" xfId="0" applyFont="1" applyAlignment="1" applyProtection="1">
      <alignment horizontal="right" vertical="center" wrapText="1" indent="1"/>
    </xf>
    <xf numFmtId="0" fontId="61" fillId="0" borderId="0" xfId="0" applyFont="1" applyAlignment="1" applyProtection="1">
      <alignment horizontal="right" vertical="center" wrapText="1" indent="1"/>
    </xf>
    <xf numFmtId="0" fontId="45" fillId="0" borderId="0" xfId="0" applyFont="1" applyFill="1"/>
    <xf numFmtId="0" fontId="0" fillId="29" borderId="97" xfId="0" applyNumberFormat="1" applyFill="1" applyBorder="1" applyAlignment="1" applyProtection="1">
      <alignment vertical="center"/>
      <protection locked="0"/>
    </xf>
    <xf numFmtId="0" fontId="0" fillId="29" borderId="98" xfId="0" applyNumberFormat="1" applyFill="1" applyBorder="1" applyAlignment="1" applyProtection="1">
      <alignment vertical="center"/>
      <protection locked="0"/>
    </xf>
    <xf numFmtId="0" fontId="61" fillId="0" borderId="0" xfId="0" applyFont="1" applyAlignment="1" applyProtection="1">
      <alignment horizontal="right" vertical="center" wrapText="1" indent="1"/>
    </xf>
    <xf numFmtId="0" fontId="0" fillId="67" borderId="0" xfId="0" applyFont="1" applyFill="1" applyBorder="1" applyAlignment="1" applyProtection="1">
      <alignment horizontal="left"/>
      <protection locked="0"/>
    </xf>
    <xf numFmtId="0" fontId="121" fillId="67" borderId="0" xfId="0" applyFont="1" applyFill="1" applyBorder="1" applyAlignment="1" applyProtection="1">
      <alignment horizontal="left" vertical="top"/>
      <protection locked="0"/>
    </xf>
    <xf numFmtId="179" fontId="0" fillId="67" borderId="0" xfId="0" applyNumberFormat="1" applyFont="1" applyFill="1" applyBorder="1" applyAlignment="1" applyProtection="1">
      <alignment horizontal="left"/>
      <protection locked="0"/>
    </xf>
    <xf numFmtId="0" fontId="15" fillId="0" borderId="0" xfId="99" applyProtection="1">
      <protection locked="0"/>
    </xf>
    <xf numFmtId="15" fontId="18" fillId="0" borderId="0" xfId="99" applyNumberFormat="1" applyFont="1" applyProtection="1">
      <protection locked="0"/>
    </xf>
    <xf numFmtId="0" fontId="15" fillId="0" borderId="0" xfId="99" applyAlignment="1" applyProtection="1">
      <alignment horizontal="left" indent="2"/>
      <protection locked="0"/>
    </xf>
    <xf numFmtId="15" fontId="123" fillId="0" borderId="0" xfId="99" applyNumberFormat="1" applyFont="1" applyProtection="1">
      <protection locked="0"/>
    </xf>
    <xf numFmtId="0" fontId="17" fillId="0" borderId="0" xfId="99" applyFont="1" applyProtection="1">
      <protection locked="0"/>
    </xf>
    <xf numFmtId="0" fontId="17" fillId="0" borderId="0" xfId="99" applyFont="1" applyAlignment="1" applyProtection="1">
      <alignment horizontal="left" indent="2"/>
      <protection locked="0"/>
    </xf>
    <xf numFmtId="179" fontId="122" fillId="29" borderId="102" xfId="0" applyNumberFormat="1" applyFont="1" applyFill="1" applyBorder="1" applyAlignment="1" applyProtection="1">
      <alignment horizontal="right"/>
      <protection locked="0"/>
    </xf>
    <xf numFmtId="179" fontId="122" fillId="29" borderId="127" xfId="0" applyNumberFormat="1" applyFont="1" applyFill="1" applyBorder="1" applyAlignment="1" applyProtection="1">
      <alignment horizontal="right"/>
      <protection locked="0"/>
    </xf>
    <xf numFmtId="179" fontId="122" fillId="29" borderId="129" xfId="0" applyNumberFormat="1" applyFont="1" applyFill="1" applyBorder="1" applyAlignment="1" applyProtection="1">
      <alignment horizontal="right"/>
      <protection locked="0"/>
    </xf>
    <xf numFmtId="0" fontId="15" fillId="67" borderId="0" xfId="102" applyFill="1" applyProtection="1">
      <protection locked="0"/>
    </xf>
    <xf numFmtId="0" fontId="15" fillId="67" borderId="0" xfId="102" applyFill="1" applyAlignment="1" applyProtection="1">
      <alignment wrapText="1"/>
      <protection locked="0"/>
    </xf>
    <xf numFmtId="0" fontId="18" fillId="67" borderId="0" xfId="102" applyFont="1" applyFill="1" applyProtection="1">
      <protection locked="0"/>
    </xf>
    <xf numFmtId="190" fontId="18" fillId="67" borderId="0" xfId="102" applyNumberFormat="1" applyFont="1" applyFill="1" applyProtection="1">
      <protection locked="0"/>
    </xf>
    <xf numFmtId="0" fontId="0" fillId="0" borderId="0" xfId="0" applyProtection="1">
      <protection locked="0"/>
    </xf>
    <xf numFmtId="0" fontId="0" fillId="0" borderId="0" xfId="0" applyAlignment="1" applyProtection="1">
      <alignment vertical="top"/>
      <protection locked="0"/>
    </xf>
    <xf numFmtId="15" fontId="17" fillId="29" borderId="127" xfId="99" applyNumberFormat="1" applyFont="1" applyFill="1" applyBorder="1" applyAlignment="1" applyProtection="1">
      <alignment horizontal="left" vertical="top" wrapText="1"/>
      <protection locked="0"/>
    </xf>
    <xf numFmtId="0" fontId="0" fillId="0" borderId="0" xfId="0" applyAlignment="1" applyProtection="1">
      <alignment horizontal="right"/>
      <protection locked="0"/>
    </xf>
    <xf numFmtId="179" fontId="17" fillId="74" borderId="155" xfId="0" applyNumberFormat="1" applyFont="1" applyFill="1" applyBorder="1" applyAlignment="1" applyProtection="1">
      <alignment horizontal="right" vertical="top"/>
      <protection locked="0"/>
    </xf>
    <xf numFmtId="179" fontId="17" fillId="74" borderId="157" xfId="0" applyNumberFormat="1" applyFont="1" applyFill="1" applyBorder="1" applyAlignment="1" applyProtection="1">
      <alignment horizontal="right" vertical="top"/>
      <protection locked="0"/>
    </xf>
    <xf numFmtId="180" fontId="17" fillId="74" borderId="159" xfId="0" applyNumberFormat="1" applyFont="1" applyFill="1" applyBorder="1" applyAlignment="1" applyProtection="1">
      <alignment horizontal="right" vertical="top"/>
      <protection locked="0"/>
    </xf>
    <xf numFmtId="0" fontId="15" fillId="67" borderId="0" xfId="0" applyFont="1" applyFill="1" applyBorder="1" applyAlignment="1" applyProtection="1">
      <alignment horizontal="left"/>
      <protection locked="0"/>
    </xf>
    <xf numFmtId="0" fontId="0" fillId="0" borderId="0" xfId="0" applyFill="1" applyBorder="1" applyAlignment="1" applyProtection="1">
      <alignment horizontal="left" vertical="top" wrapText="1"/>
      <protection locked="0"/>
    </xf>
    <xf numFmtId="0" fontId="0" fillId="0" borderId="156" xfId="0" applyFill="1" applyBorder="1" applyAlignment="1" applyProtection="1">
      <alignment horizontal="left" vertical="top" wrapText="1"/>
      <protection locked="0"/>
    </xf>
    <xf numFmtId="0" fontId="0" fillId="0" borderId="158" xfId="0" applyFill="1" applyBorder="1" applyAlignment="1" applyProtection="1">
      <alignment horizontal="left" vertical="top" wrapText="1"/>
      <protection locked="0"/>
    </xf>
    <xf numFmtId="0" fontId="0" fillId="0" borderId="0" xfId="0" applyFont="1" applyFill="1" applyBorder="1" applyAlignment="1" applyProtection="1">
      <alignment horizontal="left"/>
      <protection locked="0"/>
    </xf>
    <xf numFmtId="0" fontId="122" fillId="0" borderId="0" xfId="0" applyFont="1" applyFill="1" applyBorder="1" applyAlignment="1" applyProtection="1">
      <alignment horizontal="left" vertical="top"/>
      <protection locked="0"/>
    </xf>
    <xf numFmtId="0" fontId="122" fillId="0" borderId="0" xfId="0" applyFont="1" applyFill="1" applyAlignment="1" applyProtection="1">
      <alignment horizontal="left" vertical="top"/>
      <protection locked="0"/>
    </xf>
    <xf numFmtId="179" fontId="0" fillId="67" borderId="0" xfId="0" applyNumberFormat="1" applyFont="1" applyFill="1" applyBorder="1" applyAlignment="1" applyProtection="1">
      <alignment horizontal="right"/>
      <protection locked="0"/>
    </xf>
    <xf numFmtId="0" fontId="0" fillId="67" borderId="0" xfId="0" applyFont="1" applyFill="1" applyBorder="1" applyAlignment="1" applyProtection="1">
      <alignment horizontal="center"/>
      <protection locked="0"/>
    </xf>
    <xf numFmtId="0" fontId="17" fillId="73" borderId="155" xfId="0" applyFont="1" applyFill="1" applyBorder="1" applyAlignment="1" applyProtection="1">
      <alignment horizontal="left" vertical="top"/>
      <protection locked="0"/>
    </xf>
    <xf numFmtId="0" fontId="17" fillId="73" borderId="157" xfId="0" applyFont="1" applyFill="1" applyBorder="1" applyAlignment="1" applyProtection="1">
      <alignment horizontal="left" vertical="top"/>
      <protection locked="0"/>
    </xf>
    <xf numFmtId="0" fontId="17" fillId="73" borderId="159" xfId="0" applyFont="1" applyFill="1" applyBorder="1" applyAlignment="1" applyProtection="1">
      <alignment horizontal="left" vertical="top"/>
      <protection locked="0"/>
    </xf>
    <xf numFmtId="15" fontId="17" fillId="0" borderId="0" xfId="99" applyNumberFormat="1" applyFont="1" applyFill="1" applyAlignment="1" applyProtection="1">
      <alignment horizontal="left" vertical="top" indent="2"/>
      <protection locked="0"/>
    </xf>
    <xf numFmtId="182" fontId="17" fillId="29" borderId="161" xfId="99" applyNumberFormat="1" applyFont="1" applyFill="1" applyBorder="1" applyAlignment="1" applyProtection="1">
      <alignment horizontal="right" vertical="center" indent="2"/>
      <protection locked="0"/>
    </xf>
    <xf numFmtId="183" fontId="17" fillId="29" borderId="161" xfId="99" applyNumberFormat="1" applyFont="1" applyFill="1" applyBorder="1" applyAlignment="1" applyProtection="1">
      <alignment horizontal="right" vertical="center" indent="2"/>
      <protection locked="0"/>
    </xf>
    <xf numFmtId="182" fontId="17" fillId="29" borderId="0" xfId="99" applyNumberFormat="1" applyFont="1" applyFill="1" applyAlignment="1" applyProtection="1">
      <alignment horizontal="right" vertical="center" indent="2"/>
      <protection locked="0"/>
    </xf>
    <xf numFmtId="2" fontId="0" fillId="0" borderId="0" xfId="0" applyNumberFormat="1" applyAlignment="1" applyProtection="1">
      <alignment horizontal="right" vertical="center"/>
      <protection locked="0"/>
    </xf>
    <xf numFmtId="15" fontId="17" fillId="0" borderId="0" xfId="99" applyNumberFormat="1" applyFont="1" applyFill="1" applyAlignment="1" applyProtection="1">
      <alignment horizontal="left" vertical="top" wrapText="1"/>
      <protection locked="0"/>
    </xf>
    <xf numFmtId="0" fontId="17" fillId="0" borderId="0" xfId="99" applyFont="1" applyFill="1" applyAlignment="1" applyProtection="1">
      <alignment horizontal="left" vertical="top"/>
      <protection locked="0"/>
    </xf>
    <xf numFmtId="182" fontId="17" fillId="0" borderId="0" xfId="99" applyNumberFormat="1" applyFont="1" applyFill="1" applyAlignment="1" applyProtection="1">
      <alignment horizontal="right" vertical="top"/>
      <protection locked="0"/>
    </xf>
    <xf numFmtId="0" fontId="17" fillId="0" borderId="0" xfId="0" applyFont="1" applyProtection="1">
      <protection locked="0"/>
    </xf>
    <xf numFmtId="15" fontId="17" fillId="0" borderId="0" xfId="99" applyNumberFormat="1" applyFont="1" applyFill="1" applyAlignment="1" applyProtection="1">
      <alignment horizontal="left" vertical="top" wrapText="1" indent="5"/>
      <protection locked="0"/>
    </xf>
    <xf numFmtId="15" fontId="17" fillId="0" borderId="0" xfId="99" applyNumberFormat="1" applyFont="1" applyFill="1" applyAlignment="1" applyProtection="1">
      <alignment horizontal="left" vertical="top" wrapText="1" indent="2"/>
      <protection locked="0"/>
    </xf>
    <xf numFmtId="0" fontId="17" fillId="0" borderId="0" xfId="99" applyFont="1" applyFill="1" applyAlignment="1" applyProtection="1">
      <alignment horizontal="right" vertical="top"/>
      <protection locked="0"/>
    </xf>
    <xf numFmtId="0" fontId="0" fillId="28" borderId="0" xfId="0" applyFill="1" applyBorder="1" applyAlignment="1" applyProtection="1">
      <alignment horizontal="center" vertical="center"/>
      <protection locked="0"/>
    </xf>
    <xf numFmtId="0" fontId="0" fillId="67" borderId="0" xfId="0" applyFill="1"/>
    <xf numFmtId="0" fontId="122" fillId="73" borderId="168" xfId="0" applyFont="1" applyFill="1" applyBorder="1" applyAlignment="1" applyProtection="1">
      <alignment horizontal="left" vertical="top"/>
      <protection locked="0"/>
    </xf>
    <xf numFmtId="179" fontId="122" fillId="74" borderId="168" xfId="0" applyNumberFormat="1" applyFont="1" applyFill="1" applyBorder="1" applyAlignment="1" applyProtection="1">
      <alignment horizontal="right" vertical="top"/>
      <protection locked="0"/>
    </xf>
    <xf numFmtId="181" fontId="17" fillId="29" borderId="170" xfId="99" applyNumberFormat="1" applyFont="1" applyFill="1" applyBorder="1" applyAlignment="1" applyProtection="1">
      <alignment horizontal="left" vertical="center"/>
      <protection locked="0"/>
    </xf>
    <xf numFmtId="181" fontId="17" fillId="29" borderId="169" xfId="99" applyNumberFormat="1" applyFont="1" applyFill="1" applyBorder="1" applyAlignment="1" applyProtection="1">
      <alignment horizontal="left" vertical="center"/>
      <protection locked="0"/>
    </xf>
    <xf numFmtId="0" fontId="122" fillId="67" borderId="160" xfId="0" applyFont="1" applyFill="1" applyBorder="1" applyAlignment="1" applyProtection="1">
      <alignment vertical="top"/>
      <protection locked="0"/>
    </xf>
    <xf numFmtId="0" fontId="122" fillId="67" borderId="155" xfId="0" applyFont="1" applyFill="1" applyBorder="1" applyAlignment="1" applyProtection="1">
      <alignment vertical="top"/>
      <protection locked="0"/>
    </xf>
    <xf numFmtId="0" fontId="120" fillId="0" borderId="0" xfId="0" applyFont="1" applyAlignment="1" applyProtection="1">
      <alignment vertical="center" wrapText="1"/>
      <protection locked="0"/>
    </xf>
    <xf numFmtId="179" fontId="0" fillId="0" borderId="0" xfId="0" applyNumberFormat="1" applyFill="1" applyBorder="1" applyAlignment="1" applyProtection="1">
      <alignment horizontal="left" vertical="top" wrapText="1"/>
      <protection locked="0"/>
    </xf>
    <xf numFmtId="179" fontId="0" fillId="0" borderId="156" xfId="0" applyNumberFormat="1" applyFill="1" applyBorder="1" applyAlignment="1" applyProtection="1">
      <alignment horizontal="left" vertical="top" wrapText="1"/>
      <protection locked="0"/>
    </xf>
    <xf numFmtId="179" fontId="0" fillId="0" borderId="158" xfId="0" applyNumberFormat="1" applyFill="1" applyBorder="1" applyAlignment="1" applyProtection="1">
      <alignment horizontal="left" vertical="top" wrapText="1"/>
      <protection locked="0"/>
    </xf>
    <xf numFmtId="179" fontId="0" fillId="0" borderId="0" xfId="0" applyNumberFormat="1" applyFont="1" applyFill="1" applyBorder="1" applyAlignment="1" applyProtection="1">
      <alignment horizontal="left"/>
      <protection locked="0"/>
    </xf>
    <xf numFmtId="179" fontId="122" fillId="0" borderId="0" xfId="0" applyNumberFormat="1" applyFont="1" applyFill="1" applyBorder="1" applyAlignment="1" applyProtection="1">
      <alignment horizontal="left" vertical="top"/>
      <protection locked="0"/>
    </xf>
    <xf numFmtId="179" fontId="0" fillId="0" borderId="0" xfId="0" applyNumberFormat="1" applyAlignment="1" applyProtection="1">
      <alignment horizontal="right"/>
      <protection locked="0"/>
    </xf>
    <xf numFmtId="179" fontId="17" fillId="29" borderId="161" xfId="99" applyNumberFormat="1" applyFont="1" applyFill="1" applyBorder="1" applyAlignment="1" applyProtection="1">
      <alignment horizontal="right" vertical="center" indent="2"/>
      <protection locked="0"/>
    </xf>
    <xf numFmtId="179" fontId="17" fillId="0" borderId="0" xfId="99" applyNumberFormat="1" applyFont="1" applyFill="1" applyAlignment="1" applyProtection="1">
      <alignment horizontal="left" vertical="top" indent="2"/>
      <protection locked="0"/>
    </xf>
    <xf numFmtId="179" fontId="17" fillId="29" borderId="0" xfId="99" applyNumberFormat="1" applyFont="1" applyFill="1" applyAlignment="1" applyProtection="1">
      <alignment horizontal="right" vertical="center" indent="2"/>
      <protection locked="0"/>
    </xf>
    <xf numFmtId="179" fontId="0" fillId="0" borderId="0" xfId="0" applyNumberFormat="1" applyProtection="1">
      <protection locked="0"/>
    </xf>
    <xf numFmtId="179" fontId="0" fillId="0" borderId="0" xfId="0" applyNumberFormat="1" applyAlignment="1" applyProtection="1">
      <alignment vertical="top"/>
      <protection locked="0"/>
    </xf>
    <xf numFmtId="179" fontId="15" fillId="0" borderId="0" xfId="99" applyNumberFormat="1" applyAlignment="1" applyProtection="1">
      <alignment horizontal="left" indent="2"/>
      <protection locked="0"/>
    </xf>
    <xf numFmtId="179" fontId="0" fillId="0" borderId="0" xfId="0" applyNumberFormat="1" applyAlignment="1" applyProtection="1">
      <alignment horizontal="right" vertical="center"/>
      <protection locked="0"/>
    </xf>
    <xf numFmtId="179" fontId="17" fillId="0" borderId="0" xfId="99" applyNumberFormat="1" applyFont="1" applyAlignment="1" applyProtection="1">
      <alignment horizontal="left" indent="2"/>
      <protection locked="0"/>
    </xf>
    <xf numFmtId="179" fontId="17" fillId="29" borderId="127" xfId="99" applyNumberFormat="1" applyFont="1" applyFill="1" applyBorder="1" applyAlignment="1" applyProtection="1">
      <alignment horizontal="left" vertical="top" wrapText="1"/>
      <protection locked="0"/>
    </xf>
    <xf numFmtId="180" fontId="17" fillId="0" borderId="0" xfId="99" applyNumberFormat="1" applyFont="1" applyFill="1" applyAlignment="1" applyProtection="1">
      <alignment horizontal="right" vertical="top"/>
      <protection locked="0"/>
    </xf>
    <xf numFmtId="179" fontId="17" fillId="0" borderId="0" xfId="99" applyNumberFormat="1" applyFont="1" applyFill="1" applyAlignment="1" applyProtection="1">
      <alignment horizontal="left" vertical="top" wrapText="1"/>
      <protection locked="0"/>
    </xf>
    <xf numFmtId="179" fontId="122" fillId="67" borderId="155" xfId="0" applyNumberFormat="1" applyFont="1" applyFill="1" applyBorder="1" applyAlignment="1" applyProtection="1">
      <alignment vertical="top"/>
      <protection locked="0"/>
    </xf>
    <xf numFmtId="179" fontId="122" fillId="67" borderId="160" xfId="0" applyNumberFormat="1" applyFont="1" applyFill="1" applyBorder="1" applyAlignment="1" applyProtection="1">
      <alignment vertical="top"/>
      <protection locked="0"/>
    </xf>
    <xf numFmtId="179" fontId="17" fillId="0" borderId="0" xfId="99" applyNumberFormat="1" applyFont="1" applyFill="1" applyAlignment="1" applyProtection="1">
      <alignment horizontal="right" vertical="top"/>
      <protection locked="0"/>
    </xf>
    <xf numFmtId="179" fontId="17" fillId="0" borderId="0" xfId="0" applyNumberFormat="1" applyFont="1" applyProtection="1">
      <protection locked="0"/>
    </xf>
    <xf numFmtId="179" fontId="17" fillId="0" borderId="0" xfId="99" applyNumberFormat="1" applyFont="1" applyFill="1" applyAlignment="1" applyProtection="1">
      <alignment horizontal="left" vertical="top" wrapText="1" indent="5"/>
      <protection locked="0"/>
    </xf>
    <xf numFmtId="179" fontId="17" fillId="0" borderId="0" xfId="99" applyNumberFormat="1" applyFont="1" applyFill="1" applyAlignment="1" applyProtection="1">
      <alignment horizontal="left" vertical="top" wrapText="1" indent="2"/>
      <protection locked="0"/>
    </xf>
    <xf numFmtId="179" fontId="120" fillId="0" borderId="0" xfId="0" applyNumberFormat="1" applyFont="1" applyAlignment="1" applyProtection="1">
      <alignment vertical="center" wrapText="1"/>
      <protection locked="0"/>
    </xf>
    <xf numFmtId="179" fontId="15" fillId="67" borderId="0" xfId="0" applyNumberFormat="1" applyFont="1" applyFill="1" applyBorder="1" applyAlignment="1" applyProtection="1">
      <alignment horizontal="left"/>
      <protection locked="0"/>
    </xf>
    <xf numFmtId="198" fontId="52" fillId="0" borderId="0" xfId="0" applyNumberFormat="1" applyFont="1" applyAlignment="1">
      <alignment horizontal="center" vertical="center"/>
    </xf>
    <xf numFmtId="0" fontId="52" fillId="28" borderId="181" xfId="0" applyNumberFormat="1" applyFont="1" applyFill="1" applyBorder="1" applyAlignment="1" applyProtection="1">
      <alignment horizontal="center" vertical="center"/>
      <protection locked="0"/>
    </xf>
    <xf numFmtId="0" fontId="0" fillId="28" borderId="0" xfId="0" applyNumberFormat="1" applyFill="1" applyBorder="1" applyAlignment="1" applyProtection="1">
      <alignment horizontal="center" vertical="center"/>
      <protection locked="0"/>
    </xf>
    <xf numFmtId="0" fontId="15" fillId="0" borderId="0" xfId="0" applyFont="1" applyAlignment="1">
      <alignment vertical="center"/>
    </xf>
    <xf numFmtId="0" fontId="0" fillId="0" borderId="0" xfId="0" applyAlignment="1">
      <alignment vertical="center"/>
    </xf>
    <xf numFmtId="0" fontId="43" fillId="25" borderId="0" xfId="46" applyFont="1" applyFill="1" applyAlignment="1" applyProtection="1">
      <alignment vertical="top" wrapText="1"/>
    </xf>
    <xf numFmtId="0" fontId="17" fillId="0" borderId="0" xfId="46" applyFont="1" applyAlignment="1" applyProtection="1">
      <alignment horizontal="right" vertical="top"/>
    </xf>
    <xf numFmtId="0" fontId="15" fillId="25" borderId="0" xfId="46" applyFill="1" applyBorder="1" applyProtection="1"/>
    <xf numFmtId="0" fontId="15" fillId="25" borderId="0" xfId="46" applyFill="1" applyBorder="1" applyProtection="1">
      <protection locked="0"/>
    </xf>
    <xf numFmtId="0" fontId="44" fillId="25" borderId="0" xfId="46" applyFont="1" applyFill="1" applyBorder="1" applyAlignment="1" applyProtection="1"/>
    <xf numFmtId="0" fontId="17" fillId="29" borderId="102" xfId="46" applyFont="1" applyFill="1" applyBorder="1" applyAlignment="1" applyProtection="1">
      <alignment horizontal="right" vertical="top"/>
      <protection locked="0"/>
    </xf>
    <xf numFmtId="0" fontId="15" fillId="25" borderId="0" xfId="46" applyFill="1" applyBorder="1" applyAlignment="1" applyProtection="1">
      <alignment horizontal="left" indent="1"/>
    </xf>
    <xf numFmtId="0" fontId="20" fillId="25" borderId="0" xfId="46" applyFont="1" applyFill="1" applyBorder="1" applyAlignment="1" applyProtection="1"/>
    <xf numFmtId="0" fontId="17" fillId="29" borderId="0" xfId="46" applyFont="1" applyFill="1" applyAlignment="1" applyProtection="1">
      <alignment horizontal="right" vertical="top"/>
      <protection locked="0"/>
    </xf>
    <xf numFmtId="0" fontId="15" fillId="0" borderId="0" xfId="46" applyProtection="1">
      <protection locked="0"/>
    </xf>
    <xf numFmtId="0" fontId="22" fillId="0" borderId="0" xfId="46" applyFont="1" applyAlignment="1" applyProtection="1"/>
    <xf numFmtId="0" fontId="15" fillId="70" borderId="10" xfId="46" applyFill="1" applyBorder="1" applyProtection="1"/>
    <xf numFmtId="0" fontId="15" fillId="0" borderId="0" xfId="46" applyFont="1" applyProtection="1"/>
    <xf numFmtId="0" fontId="20" fillId="0" borderId="0" xfId="46" applyFont="1" applyProtection="1"/>
    <xf numFmtId="0" fontId="18" fillId="0" borderId="10" xfId="46" applyFont="1" applyBorder="1" applyAlignment="1" applyProtection="1">
      <alignment horizontal="center" vertical="center"/>
    </xf>
    <xf numFmtId="0" fontId="18" fillId="0" borderId="10" xfId="46" applyFont="1" applyBorder="1" applyAlignment="1" applyProtection="1">
      <alignment horizontal="center" vertical="center" wrapText="1"/>
    </xf>
    <xf numFmtId="0" fontId="18" fillId="28" borderId="10" xfId="46" applyFont="1" applyFill="1" applyBorder="1" applyAlignment="1" applyProtection="1">
      <alignment horizontal="center" vertical="center"/>
      <protection locked="0"/>
    </xf>
    <xf numFmtId="0" fontId="15" fillId="28" borderId="10" xfId="46" applyFill="1" applyBorder="1" applyAlignment="1" applyProtection="1">
      <alignment horizontal="center" vertical="center"/>
      <protection locked="0"/>
    </xf>
    <xf numFmtId="0" fontId="15" fillId="29" borderId="10" xfId="46" applyFill="1" applyBorder="1" applyAlignment="1" applyProtection="1">
      <alignment horizontal="center" vertical="center"/>
      <protection locked="0"/>
    </xf>
    <xf numFmtId="167" fontId="0" fillId="0" borderId="10" xfId="28" applyNumberFormat="1" applyFont="1" applyBorder="1" applyAlignment="1" applyProtection="1">
      <alignment horizontal="center" vertical="center"/>
      <protection locked="0"/>
    </xf>
    <xf numFmtId="0" fontId="18" fillId="66" borderId="10" xfId="46" applyFont="1" applyFill="1" applyBorder="1" applyAlignment="1" applyProtection="1">
      <alignment horizontal="center" vertical="center"/>
    </xf>
    <xf numFmtId="0" fontId="15" fillId="0" borderId="10" xfId="46" applyBorder="1" applyAlignment="1" applyProtection="1">
      <alignment horizontal="center" vertical="center"/>
    </xf>
    <xf numFmtId="44" fontId="0" fillId="0" borderId="10" xfId="29" applyFont="1" applyBorder="1" applyAlignment="1" applyProtection="1">
      <alignment horizontal="center" vertical="center"/>
    </xf>
    <xf numFmtId="165" fontId="0" fillId="0" borderId="10" xfId="42" applyNumberFormat="1" applyFont="1" applyBorder="1" applyAlignment="1" applyProtection="1">
      <alignment horizontal="center" vertical="center"/>
    </xf>
    <xf numFmtId="0" fontId="15" fillId="76" borderId="0" xfId="46" applyFill="1" applyProtection="1">
      <protection locked="0"/>
    </xf>
    <xf numFmtId="0" fontId="16" fillId="0" borderId="0" xfId="36" applyAlignment="1" applyProtection="1">
      <alignment horizontal="left" vertical="top"/>
    </xf>
    <xf numFmtId="0" fontId="16" fillId="67" borderId="0" xfId="36" applyFill="1" applyAlignment="1" applyProtection="1">
      <alignment horizontal="left" vertical="top"/>
    </xf>
    <xf numFmtId="0" fontId="15" fillId="0" borderId="0" xfId="46" applyFont="1" applyProtection="1">
      <protection locked="0"/>
    </xf>
    <xf numFmtId="0" fontId="18" fillId="0" borderId="0" xfId="46" applyFont="1" applyAlignment="1" applyProtection="1">
      <protection locked="0"/>
    </xf>
    <xf numFmtId="0" fontId="18" fillId="0" borderId="17" xfId="46" applyFont="1" applyBorder="1" applyAlignment="1" applyProtection="1">
      <alignment horizontal="center"/>
      <protection locked="0"/>
    </xf>
    <xf numFmtId="0" fontId="18" fillId="0" borderId="15" xfId="46" applyFont="1" applyBorder="1" applyAlignment="1" applyProtection="1">
      <alignment horizontal="center"/>
      <protection locked="0"/>
    </xf>
    <xf numFmtId="0" fontId="18" fillId="0" borderId="18" xfId="46" applyFont="1" applyBorder="1" applyAlignment="1" applyProtection="1">
      <alignment horizontal="center"/>
      <protection locked="0"/>
    </xf>
    <xf numFmtId="0" fontId="18" fillId="0" borderId="19" xfId="46" quotePrefix="1" applyFont="1" applyBorder="1" applyAlignment="1" applyProtection="1">
      <alignment horizontal="center"/>
      <protection locked="0"/>
    </xf>
    <xf numFmtId="0" fontId="18" fillId="0" borderId="16" xfId="46" quotePrefix="1" applyFont="1" applyBorder="1" applyAlignment="1" applyProtection="1">
      <alignment horizontal="center"/>
      <protection locked="0"/>
    </xf>
    <xf numFmtId="0" fontId="15" fillId="0" borderId="0" xfId="46" applyAlignment="1" applyProtection="1">
      <alignment vertical="top"/>
      <protection locked="0"/>
    </xf>
    <xf numFmtId="0" fontId="15" fillId="28" borderId="0" xfId="46" applyFill="1" applyAlignment="1" applyProtection="1">
      <alignment vertical="top"/>
      <protection locked="0"/>
    </xf>
    <xf numFmtId="168" fontId="0" fillId="29" borderId="11" xfId="29" applyNumberFormat="1" applyFont="1" applyFill="1" applyBorder="1" applyAlignment="1" applyProtection="1">
      <alignment vertical="top"/>
      <protection locked="0"/>
    </xf>
    <xf numFmtId="0" fontId="15" fillId="0" borderId="11" xfId="46" applyFill="1" applyBorder="1" applyAlignment="1" applyProtection="1">
      <alignment vertical="center"/>
      <protection locked="0"/>
    </xf>
    <xf numFmtId="44" fontId="0" fillId="0" borderId="15" xfId="29" applyFont="1" applyBorder="1" applyAlignment="1" applyProtection="1">
      <alignment vertical="center"/>
      <protection locked="0"/>
    </xf>
    <xf numFmtId="168" fontId="0" fillId="29" borderId="11" xfId="29" applyNumberFormat="1" applyFont="1" applyFill="1" applyBorder="1" applyAlignment="1" applyProtection="1">
      <alignment vertical="center"/>
      <protection locked="0"/>
    </xf>
    <xf numFmtId="0" fontId="15" fillId="0" borderId="15" xfId="46" applyFill="1" applyBorder="1" applyAlignment="1" applyProtection="1">
      <alignment vertical="center"/>
      <protection locked="0"/>
    </xf>
    <xf numFmtId="44" fontId="15" fillId="0" borderId="11" xfId="46" applyNumberFormat="1" applyBorder="1" applyAlignment="1" applyProtection="1">
      <alignment vertical="center"/>
      <protection locked="0"/>
    </xf>
    <xf numFmtId="10" fontId="0" fillId="0" borderId="15" xfId="42" applyNumberFormat="1" applyFont="1" applyBorder="1" applyAlignment="1" applyProtection="1">
      <alignment vertical="center"/>
      <protection locked="0"/>
    </xf>
    <xf numFmtId="0" fontId="15" fillId="29" borderId="0" xfId="46" applyFill="1" applyAlignment="1" applyProtection="1">
      <alignment vertical="top"/>
      <protection locked="0"/>
    </xf>
    <xf numFmtId="0" fontId="18" fillId="66" borderId="75" xfId="46" applyFont="1" applyFill="1" applyBorder="1" applyAlignment="1" applyProtection="1">
      <alignment vertical="top"/>
      <protection locked="0"/>
    </xf>
    <xf numFmtId="0" fontId="15" fillId="66" borderId="13" xfId="46" applyFill="1" applyBorder="1" applyAlignment="1" applyProtection="1">
      <alignment vertical="top"/>
      <protection locked="0"/>
    </xf>
    <xf numFmtId="168" fontId="0" fillId="66" borderId="10" xfId="29" applyNumberFormat="1" applyFont="1" applyFill="1" applyBorder="1" applyAlignment="1" applyProtection="1">
      <alignment vertical="top"/>
      <protection locked="0"/>
    </xf>
    <xf numFmtId="0" fontId="15" fillId="66" borderId="10" xfId="46" applyFill="1" applyBorder="1" applyAlignment="1" applyProtection="1">
      <alignment vertical="center"/>
      <protection locked="0"/>
    </xf>
    <xf numFmtId="44" fontId="0" fillId="66" borderId="33" xfId="29" applyFont="1" applyFill="1" applyBorder="1" applyAlignment="1" applyProtection="1">
      <alignment vertical="center"/>
      <protection locked="0"/>
    </xf>
    <xf numFmtId="168" fontId="0" fillId="66" borderId="10" xfId="29" applyNumberFormat="1" applyFont="1" applyFill="1" applyBorder="1" applyAlignment="1" applyProtection="1">
      <alignment vertical="center"/>
      <protection locked="0"/>
    </xf>
    <xf numFmtId="0" fontId="15" fillId="66" borderId="33" xfId="46" applyFill="1" applyBorder="1" applyAlignment="1" applyProtection="1">
      <alignment vertical="center"/>
      <protection locked="0"/>
    </xf>
    <xf numFmtId="44" fontId="18" fillId="66" borderId="10" xfId="46" applyNumberFormat="1" applyFont="1" applyFill="1" applyBorder="1" applyAlignment="1" applyProtection="1">
      <alignment vertical="center"/>
      <protection locked="0"/>
    </xf>
    <xf numFmtId="10" fontId="18" fillId="66" borderId="33" xfId="42" applyNumberFormat="1" applyFont="1" applyFill="1" applyBorder="1" applyAlignment="1" applyProtection="1">
      <alignment vertical="center"/>
      <protection locked="0"/>
    </xf>
    <xf numFmtId="0" fontId="15" fillId="29" borderId="0" xfId="46" applyFont="1" applyFill="1" applyAlignment="1" applyProtection="1">
      <alignment vertical="top" wrapText="1"/>
      <protection locked="0"/>
    </xf>
    <xf numFmtId="0" fontId="15" fillId="0" borderId="0" xfId="46" applyFont="1" applyAlignment="1" applyProtection="1">
      <alignment vertical="top"/>
      <protection locked="0"/>
    </xf>
    <xf numFmtId="168" fontId="0" fillId="67" borderId="11" xfId="29" applyNumberFormat="1" applyFont="1" applyFill="1" applyBorder="1" applyAlignment="1" applyProtection="1">
      <alignment vertical="top"/>
      <protection locked="0"/>
    </xf>
    <xf numFmtId="168" fontId="0" fillId="67" borderId="11" xfId="29" applyNumberFormat="1" applyFont="1" applyFill="1" applyBorder="1" applyAlignment="1" applyProtection="1">
      <alignment vertical="center"/>
      <protection locked="0"/>
    </xf>
    <xf numFmtId="0" fontId="18" fillId="66" borderId="75" xfId="46" applyFont="1" applyFill="1" applyBorder="1" applyAlignment="1" applyProtection="1">
      <alignment vertical="top" wrapText="1"/>
      <protection locked="0"/>
    </xf>
    <xf numFmtId="0" fontId="15" fillId="66" borderId="13" xfId="46" applyFill="1" applyBorder="1" applyProtection="1">
      <protection locked="0"/>
    </xf>
    <xf numFmtId="0" fontId="15" fillId="66" borderId="10" xfId="46" applyFill="1" applyBorder="1" applyProtection="1">
      <protection locked="0"/>
    </xf>
    <xf numFmtId="44" fontId="18" fillId="66" borderId="33" xfId="46" applyNumberFormat="1" applyFont="1" applyFill="1" applyBorder="1" applyAlignment="1" applyProtection="1">
      <alignment vertical="center"/>
      <protection locked="0"/>
    </xf>
    <xf numFmtId="0" fontId="15" fillId="0" borderId="0" xfId="46" applyAlignment="1" applyProtection="1">
      <alignment vertical="center"/>
      <protection locked="0"/>
    </xf>
    <xf numFmtId="0" fontId="15" fillId="28" borderId="0" xfId="46" applyFill="1" applyAlignment="1" applyProtection="1">
      <alignment vertical="center"/>
      <protection locked="0"/>
    </xf>
    <xf numFmtId="0" fontId="15" fillId="0" borderId="0" xfId="46" applyAlignment="1" applyProtection="1">
      <alignment vertical="center" wrapText="1"/>
      <protection locked="0"/>
    </xf>
    <xf numFmtId="0" fontId="15" fillId="66" borderId="10" xfId="46" applyFill="1" applyBorder="1" applyAlignment="1" applyProtection="1">
      <alignment vertical="top"/>
      <protection locked="0"/>
    </xf>
    <xf numFmtId="0" fontId="18" fillId="66" borderId="10" xfId="46" applyFont="1" applyFill="1" applyBorder="1" applyAlignment="1" applyProtection="1">
      <alignment vertical="center"/>
      <protection locked="0"/>
    </xf>
    <xf numFmtId="0" fontId="18" fillId="66" borderId="33" xfId="46" applyFont="1" applyFill="1" applyBorder="1" applyAlignment="1" applyProtection="1">
      <alignment vertical="center"/>
      <protection locked="0"/>
    </xf>
    <xf numFmtId="0" fontId="15" fillId="0" borderId="0" xfId="46" applyAlignment="1" applyProtection="1">
      <alignment vertical="top" wrapText="1"/>
      <protection locked="0"/>
    </xf>
    <xf numFmtId="168" fontId="15" fillId="29" borderId="11" xfId="29" applyNumberFormat="1" applyFill="1" applyBorder="1" applyAlignment="1" applyProtection="1">
      <alignment vertical="top"/>
      <protection locked="0"/>
    </xf>
    <xf numFmtId="44" fontId="15" fillId="0" borderId="15" xfId="29" applyBorder="1" applyAlignment="1" applyProtection="1">
      <alignment vertical="center"/>
      <protection locked="0"/>
    </xf>
    <xf numFmtId="168" fontId="15" fillId="29" borderId="11" xfId="29" applyNumberFormat="1" applyFill="1" applyBorder="1" applyAlignment="1" applyProtection="1">
      <alignment vertical="center"/>
      <protection locked="0"/>
    </xf>
    <xf numFmtId="44" fontId="15" fillId="80" borderId="11" xfId="46" applyNumberFormat="1" applyFill="1" applyBorder="1" applyAlignment="1" applyProtection="1">
      <alignment vertical="center"/>
      <protection locked="0"/>
    </xf>
    <xf numFmtId="168" fontId="15" fillId="0" borderId="11" xfId="29" applyNumberFormat="1" applyFill="1" applyBorder="1" applyAlignment="1" applyProtection="1">
      <alignment vertical="top"/>
      <protection locked="0"/>
    </xf>
    <xf numFmtId="0" fontId="15" fillId="64" borderId="88" xfId="46" applyFont="1" applyFill="1" applyBorder="1" applyProtection="1">
      <protection locked="0"/>
    </xf>
    <xf numFmtId="0" fontId="15" fillId="64" borderId="65" xfId="46" applyFill="1" applyBorder="1" applyAlignment="1" applyProtection="1">
      <alignment vertical="top"/>
      <protection locked="0"/>
    </xf>
    <xf numFmtId="168" fontId="15" fillId="64" borderId="23" xfId="29" applyNumberFormat="1" applyFill="1" applyBorder="1" applyAlignment="1" applyProtection="1">
      <alignment vertical="top"/>
      <protection locked="0"/>
    </xf>
    <xf numFmtId="0" fontId="15" fillId="64" borderId="21" xfId="46" applyFill="1" applyBorder="1" applyAlignment="1" applyProtection="1">
      <alignment vertical="center"/>
      <protection locked="0"/>
    </xf>
    <xf numFmtId="44" fontId="15" fillId="64" borderId="65" xfId="29" applyFill="1" applyBorder="1" applyAlignment="1" applyProtection="1">
      <alignment vertical="center"/>
      <protection locked="0"/>
    </xf>
    <xf numFmtId="0" fontId="15" fillId="64" borderId="23" xfId="46" applyFill="1" applyBorder="1" applyAlignment="1" applyProtection="1">
      <alignment vertical="center"/>
      <protection locked="0"/>
    </xf>
    <xf numFmtId="44" fontId="15" fillId="64" borderId="23" xfId="46" applyNumberFormat="1" applyFill="1" applyBorder="1" applyAlignment="1" applyProtection="1">
      <alignment vertical="center"/>
      <protection locked="0"/>
    </xf>
    <xf numFmtId="10" fontId="15" fillId="64" borderId="22" xfId="42" applyNumberFormat="1" applyFill="1" applyBorder="1" applyAlignment="1" applyProtection="1">
      <alignment vertical="center"/>
      <protection locked="0"/>
    </xf>
    <xf numFmtId="0" fontId="18" fillId="0" borderId="0" xfId="46" applyFont="1" applyFill="1" applyAlignment="1" applyProtection="1">
      <alignment vertical="top"/>
      <protection locked="0"/>
    </xf>
    <xf numFmtId="9" fontId="15" fillId="0" borderId="11" xfId="46" applyNumberFormat="1" applyFill="1" applyBorder="1" applyAlignment="1" applyProtection="1">
      <alignment vertical="top"/>
      <protection locked="0"/>
    </xf>
    <xf numFmtId="9" fontId="15" fillId="0" borderId="0" xfId="46" applyNumberFormat="1" applyFill="1" applyBorder="1" applyAlignment="1" applyProtection="1">
      <alignment vertical="center"/>
      <protection locked="0"/>
    </xf>
    <xf numFmtId="44" fontId="18" fillId="0" borderId="111" xfId="46" applyNumberFormat="1" applyFont="1" applyFill="1" applyBorder="1" applyAlignment="1" applyProtection="1">
      <alignment vertical="center"/>
      <protection locked="0"/>
    </xf>
    <xf numFmtId="9" fontId="18" fillId="0" borderId="11" xfId="46" applyNumberFormat="1" applyFont="1" applyFill="1" applyBorder="1" applyAlignment="1" applyProtection="1">
      <alignment vertical="center"/>
      <protection locked="0"/>
    </xf>
    <xf numFmtId="44" fontId="18" fillId="0" borderId="11" xfId="46" applyNumberFormat="1" applyFont="1" applyFill="1" applyBorder="1" applyAlignment="1" applyProtection="1">
      <alignment vertical="center"/>
      <protection locked="0"/>
    </xf>
    <xf numFmtId="10" fontId="18" fillId="0" borderId="15" xfId="42" applyNumberFormat="1" applyFont="1" applyFill="1" applyBorder="1" applyAlignment="1" applyProtection="1">
      <alignment vertical="center"/>
      <protection locked="0"/>
    </xf>
    <xf numFmtId="0" fontId="15" fillId="0" borderId="0" xfId="46" applyFont="1" applyFill="1" applyAlignment="1" applyProtection="1">
      <alignment horizontal="left" vertical="top" indent="1"/>
      <protection locked="0"/>
    </xf>
    <xf numFmtId="0" fontId="15" fillId="0" borderId="0" xfId="46" applyFill="1" applyBorder="1" applyAlignment="1" applyProtection="1">
      <alignment vertical="center"/>
      <protection locked="0"/>
    </xf>
    <xf numFmtId="44" fontId="15" fillId="0" borderId="111" xfId="46" applyNumberFormat="1" applyFont="1" applyFill="1" applyBorder="1" applyAlignment="1" applyProtection="1">
      <alignment vertical="center"/>
      <protection locked="0"/>
    </xf>
    <xf numFmtId="9" fontId="15" fillId="0" borderId="11" xfId="46" applyNumberFormat="1" applyFont="1" applyFill="1" applyBorder="1" applyAlignment="1" applyProtection="1">
      <alignment vertical="center"/>
      <protection locked="0"/>
    </xf>
    <xf numFmtId="0" fontId="15" fillId="0" borderId="11" xfId="46" applyFont="1" applyFill="1" applyBorder="1" applyAlignment="1" applyProtection="1">
      <alignment vertical="center"/>
      <protection locked="0"/>
    </xf>
    <xf numFmtId="44" fontId="15" fillId="0" borderId="11" xfId="46" applyNumberFormat="1" applyFont="1" applyFill="1" applyBorder="1" applyAlignment="1" applyProtection="1">
      <alignment vertical="center"/>
      <protection locked="0"/>
    </xf>
    <xf numFmtId="10" fontId="15" fillId="0" borderId="15" xfId="42" applyNumberFormat="1" applyFont="1" applyFill="1" applyBorder="1" applyAlignment="1" applyProtection="1">
      <alignment vertical="center"/>
      <protection locked="0"/>
    </xf>
    <xf numFmtId="0" fontId="18" fillId="0" borderId="0" xfId="46" applyFont="1" applyAlignment="1" applyProtection="1">
      <alignment horizontal="left" vertical="top" wrapText="1" indent="1"/>
      <protection locked="0"/>
    </xf>
    <xf numFmtId="0" fontId="15" fillId="0" borderId="11" xfId="46" applyFill="1" applyBorder="1" applyAlignment="1" applyProtection="1">
      <alignment vertical="top"/>
      <protection locked="0"/>
    </xf>
    <xf numFmtId="44" fontId="91" fillId="0" borderId="111" xfId="46" applyNumberFormat="1" applyFont="1" applyFill="1" applyBorder="1" applyAlignment="1" applyProtection="1">
      <alignment vertical="center"/>
      <protection locked="0"/>
    </xf>
    <xf numFmtId="10" fontId="15" fillId="80" borderId="15" xfId="42" applyNumberFormat="1" applyFill="1" applyBorder="1" applyAlignment="1" applyProtection="1">
      <alignment vertical="center"/>
      <protection locked="0"/>
    </xf>
    <xf numFmtId="0" fontId="15" fillId="65" borderId="19" xfId="46" applyFill="1" applyBorder="1" applyAlignment="1" applyProtection="1">
      <alignment vertical="top"/>
      <protection locked="0"/>
    </xf>
    <xf numFmtId="0" fontId="15" fillId="65" borderId="12" xfId="46" applyFill="1" applyBorder="1" applyAlignment="1" applyProtection="1">
      <alignment vertical="center"/>
      <protection locked="0"/>
    </xf>
    <xf numFmtId="44" fontId="18" fillId="65" borderId="77" xfId="46" applyNumberFormat="1" applyFont="1" applyFill="1" applyBorder="1" applyAlignment="1" applyProtection="1">
      <alignment vertical="center"/>
      <protection locked="0"/>
    </xf>
    <xf numFmtId="0" fontId="18" fillId="65" borderId="19" xfId="46" applyFont="1" applyFill="1" applyBorder="1" applyAlignment="1" applyProtection="1">
      <alignment vertical="center"/>
      <protection locked="0"/>
    </xf>
    <xf numFmtId="44" fontId="18" fillId="65" borderId="19" xfId="46" applyNumberFormat="1" applyFont="1" applyFill="1" applyBorder="1" applyAlignment="1" applyProtection="1">
      <alignment vertical="center"/>
      <protection locked="0"/>
    </xf>
    <xf numFmtId="10" fontId="18" fillId="65" borderId="16" xfId="42" applyNumberFormat="1" applyFont="1" applyFill="1" applyBorder="1" applyAlignment="1" applyProtection="1">
      <alignment vertical="center"/>
      <protection locked="0"/>
    </xf>
    <xf numFmtId="9" fontId="15" fillId="0" borderId="11" xfId="46" applyNumberFormat="1" applyFont="1" applyFill="1" applyBorder="1" applyAlignment="1" applyProtection="1">
      <alignment vertical="top"/>
      <protection locked="0"/>
    </xf>
    <xf numFmtId="0" fontId="15" fillId="65" borderId="11" xfId="46" applyFill="1" applyBorder="1" applyAlignment="1" applyProtection="1">
      <alignment vertical="top"/>
      <protection locked="0"/>
    </xf>
    <xf numFmtId="0" fontId="15" fillId="65" borderId="0" xfId="46" applyFill="1" applyBorder="1" applyAlignment="1" applyProtection="1">
      <alignment vertical="center"/>
      <protection locked="0"/>
    </xf>
    <xf numFmtId="44" fontId="18" fillId="65" borderId="111" xfId="46" applyNumberFormat="1" applyFont="1" applyFill="1" applyBorder="1" applyAlignment="1" applyProtection="1">
      <alignment vertical="center"/>
      <protection locked="0"/>
    </xf>
    <xf numFmtId="0" fontId="18" fillId="65" borderId="11" xfId="46" applyFont="1" applyFill="1" applyBorder="1" applyAlignment="1" applyProtection="1">
      <alignment vertical="center"/>
      <protection locked="0"/>
    </xf>
    <xf numFmtId="44" fontId="18" fillId="65" borderId="11" xfId="46" applyNumberFormat="1" applyFont="1" applyFill="1" applyBorder="1" applyAlignment="1" applyProtection="1">
      <alignment vertical="center"/>
      <protection locked="0"/>
    </xf>
    <xf numFmtId="10" fontId="18" fillId="65" borderId="15" xfId="42" applyNumberFormat="1" applyFont="1" applyFill="1" applyBorder="1" applyAlignment="1" applyProtection="1">
      <alignment vertical="center"/>
      <protection locked="0"/>
    </xf>
    <xf numFmtId="168" fontId="15" fillId="64" borderId="21" xfId="29" applyNumberFormat="1" applyFill="1" applyBorder="1" applyAlignment="1" applyProtection="1">
      <alignment vertical="top"/>
      <protection locked="0"/>
    </xf>
    <xf numFmtId="0" fontId="15" fillId="64" borderId="65" xfId="46" applyFill="1" applyBorder="1" applyAlignment="1" applyProtection="1">
      <alignment vertical="center"/>
      <protection locked="0"/>
    </xf>
    <xf numFmtId="44" fontId="15" fillId="64" borderId="189" xfId="29" applyFill="1" applyBorder="1" applyAlignment="1" applyProtection="1">
      <alignment vertical="center"/>
      <protection locked="0"/>
    </xf>
    <xf numFmtId="44" fontId="15" fillId="64" borderId="21" xfId="46" applyNumberFormat="1" applyFill="1" applyBorder="1" applyAlignment="1" applyProtection="1">
      <alignment vertical="center"/>
      <protection locked="0"/>
    </xf>
    <xf numFmtId="0" fontId="16" fillId="0" borderId="0" xfId="36" applyFill="1" applyBorder="1" applyAlignment="1" applyProtection="1"/>
    <xf numFmtId="167" fontId="15" fillId="0" borderId="11" xfId="28" applyNumberFormat="1" applyFill="1" applyBorder="1" applyAlignment="1" applyProtection="1">
      <alignment vertical="center"/>
      <protection locked="0"/>
    </xf>
    <xf numFmtId="167" fontId="15" fillId="70" borderId="11" xfId="28" applyNumberFormat="1" applyFill="1" applyBorder="1" applyAlignment="1" applyProtection="1">
      <alignment vertical="center"/>
      <protection locked="0"/>
    </xf>
    <xf numFmtId="167" fontId="15" fillId="67" borderId="11" xfId="28" applyNumberFormat="1" applyFont="1" applyFill="1" applyBorder="1" applyAlignment="1" applyProtection="1">
      <alignment vertical="center"/>
      <protection locked="0"/>
    </xf>
    <xf numFmtId="167" fontId="15" fillId="67" borderId="11" xfId="28" applyNumberFormat="1" applyFill="1" applyBorder="1" applyAlignment="1" applyProtection="1">
      <alignment vertical="center"/>
      <protection locked="0"/>
    </xf>
    <xf numFmtId="0" fontId="18" fillId="0" borderId="0" xfId="0" applyFont="1" applyProtection="1">
      <protection locked="0"/>
    </xf>
    <xf numFmtId="0" fontId="17" fillId="0" borderId="0" xfId="0" applyFont="1" applyAlignment="1" applyProtection="1">
      <alignment horizontal="right" vertical="top"/>
      <protection locked="0"/>
    </xf>
    <xf numFmtId="0" fontId="17" fillId="29" borderId="102" xfId="0" applyFont="1" applyFill="1" applyBorder="1" applyAlignment="1" applyProtection="1">
      <alignment horizontal="right" vertical="top"/>
      <protection locked="0"/>
    </xf>
    <xf numFmtId="0" fontId="17" fillId="29" borderId="0" xfId="0" applyFont="1" applyFill="1" applyAlignment="1" applyProtection="1">
      <alignment horizontal="right" vertical="top"/>
      <protection locked="0"/>
    </xf>
    <xf numFmtId="0" fontId="22" fillId="0" borderId="0" xfId="0" applyFont="1" applyAlignment="1" applyProtection="1">
      <protection locked="0"/>
    </xf>
    <xf numFmtId="0" fontId="18" fillId="0" borderId="50" xfId="0" applyFont="1" applyFill="1" applyBorder="1" applyProtection="1">
      <protection locked="0"/>
    </xf>
    <xf numFmtId="0" fontId="18" fillId="0" borderId="24" xfId="0" applyFont="1" applyFill="1" applyBorder="1" applyAlignment="1" applyProtection="1">
      <alignment horizontal="center" vertical="center" wrapText="1"/>
      <protection locked="0"/>
    </xf>
    <xf numFmtId="0" fontId="18" fillId="28" borderId="19" xfId="0" applyFont="1" applyFill="1" applyBorder="1" applyAlignment="1" applyProtection="1">
      <alignment horizontal="center"/>
      <protection locked="0"/>
    </xf>
    <xf numFmtId="0" fontId="18" fillId="0" borderId="33" xfId="0" applyFont="1" applyFill="1" applyBorder="1" applyProtection="1">
      <protection locked="0"/>
    </xf>
    <xf numFmtId="3" fontId="0" fillId="0" borderId="10" xfId="0" applyNumberFormat="1" applyFill="1" applyBorder="1" applyProtection="1">
      <protection locked="0"/>
    </xf>
    <xf numFmtId="3" fontId="18" fillId="0" borderId="57" xfId="0" applyNumberFormat="1" applyFont="1" applyFill="1" applyBorder="1" applyProtection="1">
      <protection locked="0"/>
    </xf>
    <xf numFmtId="0" fontId="46" fillId="0" borderId="0" xfId="0" applyFont="1" applyAlignment="1" applyProtection="1">
      <alignment horizontal="left" vertical="top"/>
      <protection locked="0"/>
    </xf>
    <xf numFmtId="0" fontId="15" fillId="0" borderId="0" xfId="0" applyFont="1" applyProtection="1">
      <protection locked="0"/>
    </xf>
    <xf numFmtId="0" fontId="111" fillId="0" borderId="0" xfId="0" applyFont="1" applyAlignment="1" applyProtection="1">
      <alignment vertical="center"/>
      <protection locked="0"/>
    </xf>
    <xf numFmtId="0" fontId="20" fillId="0" borderId="0" xfId="0" applyFont="1" applyAlignment="1" applyProtection="1">
      <alignment vertical="center"/>
      <protection locked="0"/>
    </xf>
    <xf numFmtId="0" fontId="0" fillId="0" borderId="0" xfId="0" applyAlignment="1" applyProtection="1">
      <protection locked="0"/>
    </xf>
    <xf numFmtId="0" fontId="108" fillId="0" borderId="0" xfId="0" applyFont="1" applyAlignment="1" applyProtection="1">
      <alignment vertical="center"/>
      <protection locked="0"/>
    </xf>
    <xf numFmtId="0" fontId="112" fillId="0" borderId="0" xfId="0" applyFont="1" applyAlignment="1" applyProtection="1">
      <alignment vertical="center"/>
      <protection locked="0"/>
    </xf>
    <xf numFmtId="0" fontId="113" fillId="0" borderId="0" xfId="0" applyFont="1" applyAlignment="1" applyProtection="1">
      <alignment horizontal="left" indent="4"/>
      <protection locked="0"/>
    </xf>
    <xf numFmtId="0" fontId="108" fillId="0" borderId="0" xfId="0" applyFont="1" applyAlignment="1" applyProtection="1">
      <alignment horizontal="left" vertical="center" indent="1"/>
      <protection locked="0"/>
    </xf>
    <xf numFmtId="0" fontId="114" fillId="0" borderId="0" xfId="36" applyFont="1" applyAlignment="1" applyProtection="1">
      <alignment horizontal="left" vertical="center" indent="1"/>
      <protection locked="0"/>
    </xf>
    <xf numFmtId="0" fontId="108" fillId="0" borderId="0" xfId="0" applyFont="1" applyProtection="1">
      <protection locked="0"/>
    </xf>
    <xf numFmtId="0" fontId="110" fillId="0" borderId="0" xfId="0" applyFont="1" applyAlignment="1" applyProtection="1">
      <alignment vertical="center"/>
      <protection locked="0"/>
    </xf>
    <xf numFmtId="0" fontId="16" fillId="0" borderId="0" xfId="36" applyAlignment="1" applyProtection="1">
      <alignment horizontal="left" vertical="center" indent="4"/>
      <protection locked="0"/>
    </xf>
    <xf numFmtId="0" fontId="109" fillId="0" borderId="0" xfId="0" applyFont="1" applyAlignment="1" applyProtection="1">
      <alignment horizontal="left" vertical="center" indent="4"/>
      <protection locked="0"/>
    </xf>
    <xf numFmtId="0" fontId="110" fillId="0" borderId="0" xfId="0" applyFont="1" applyAlignment="1" applyProtection="1">
      <alignment horizontal="left" vertical="center" indent="1"/>
      <protection locked="0"/>
    </xf>
    <xf numFmtId="0" fontId="16" fillId="0" borderId="0" xfId="36" applyAlignment="1" applyProtection="1">
      <alignment horizontal="left" vertical="center" indent="1"/>
      <protection locked="0"/>
    </xf>
    <xf numFmtId="0" fontId="108" fillId="0" borderId="0" xfId="0" applyFont="1" applyAlignment="1" applyProtection="1">
      <alignment horizontal="left" vertical="center" indent="4"/>
      <protection locked="0"/>
    </xf>
    <xf numFmtId="0" fontId="113" fillId="0" borderId="0" xfId="0" applyFont="1" applyAlignment="1" applyProtection="1">
      <alignment vertical="center"/>
      <protection locked="0"/>
    </xf>
    <xf numFmtId="0" fontId="18" fillId="0" borderId="0" xfId="0" applyFont="1" applyAlignment="1" applyProtection="1">
      <alignment horizontal="right" vertical="center"/>
      <protection locked="0"/>
    </xf>
    <xf numFmtId="0" fontId="117" fillId="0" borderId="0" xfId="0" applyFont="1" applyAlignment="1" applyProtection="1">
      <alignment horizontal="center" vertical="center"/>
      <protection locked="0"/>
    </xf>
    <xf numFmtId="0" fontId="15" fillId="0" borderId="0" xfId="0" applyFont="1" applyFill="1" applyProtection="1">
      <protection locked="0"/>
    </xf>
    <xf numFmtId="0" fontId="67" fillId="0" borderId="31" xfId="0" applyFont="1" applyFill="1" applyBorder="1" applyAlignment="1" applyProtection="1">
      <alignment horizontal="center" vertical="center" wrapText="1"/>
      <protection locked="0"/>
    </xf>
    <xf numFmtId="0" fontId="67" fillId="0" borderId="44" xfId="0" applyFont="1" applyFill="1" applyBorder="1" applyAlignment="1" applyProtection="1">
      <alignment horizontal="center" vertical="center" wrapText="1"/>
      <protection locked="0"/>
    </xf>
    <xf numFmtId="0" fontId="20" fillId="0" borderId="145" xfId="0" applyFont="1" applyFill="1" applyBorder="1" applyAlignment="1" applyProtection="1">
      <alignment horizontal="right" vertical="center" wrapText="1" indent="1"/>
      <protection locked="0"/>
    </xf>
    <xf numFmtId="41" fontId="15" fillId="29" borderId="31" xfId="0" applyNumberFormat="1" applyFont="1" applyFill="1" applyBorder="1" applyAlignment="1" applyProtection="1">
      <alignment horizontal="center" vertical="center" wrapText="1"/>
      <protection locked="0"/>
    </xf>
    <xf numFmtId="165" fontId="15" fillId="0" borderId="31" xfId="0" applyNumberFormat="1" applyFont="1" applyFill="1" applyBorder="1" applyAlignment="1" applyProtection="1">
      <alignment horizontal="center" vertical="center" wrapText="1"/>
      <protection locked="0"/>
    </xf>
    <xf numFmtId="41" fontId="15" fillId="29" borderId="44" xfId="0" applyNumberFormat="1" applyFont="1" applyFill="1" applyBorder="1" applyAlignment="1" applyProtection="1">
      <alignment horizontal="center" vertical="center" wrapText="1"/>
      <protection locked="0"/>
    </xf>
    <xf numFmtId="41" fontId="15" fillId="29" borderId="147" xfId="0" applyNumberFormat="1" applyFont="1" applyFill="1" applyBorder="1" applyAlignment="1" applyProtection="1">
      <alignment horizontal="center" vertical="center" wrapText="1"/>
      <protection locked="0"/>
    </xf>
    <xf numFmtId="41" fontId="15" fillId="29" borderId="41" xfId="0" applyNumberFormat="1" applyFont="1" applyFill="1" applyBorder="1" applyAlignment="1" applyProtection="1">
      <alignment horizontal="center" vertical="center" wrapText="1"/>
      <protection locked="0"/>
    </xf>
    <xf numFmtId="0" fontId="20" fillId="0" borderId="148" xfId="0" applyFont="1" applyFill="1" applyBorder="1" applyAlignment="1" applyProtection="1">
      <alignment horizontal="right" vertical="center" wrapText="1" indent="1"/>
      <protection locked="0"/>
    </xf>
    <xf numFmtId="41" fontId="15" fillId="0" borderId="56" xfId="0" applyNumberFormat="1" applyFont="1" applyFill="1" applyBorder="1" applyAlignment="1" applyProtection="1">
      <alignment horizontal="center" vertical="center" wrapText="1"/>
      <protection locked="0"/>
    </xf>
    <xf numFmtId="165" fontId="15" fillId="0" borderId="29" xfId="0" applyNumberFormat="1" applyFont="1" applyFill="1" applyBorder="1" applyAlignment="1" applyProtection="1">
      <alignment horizontal="center" vertical="center" wrapText="1"/>
      <protection locked="0"/>
    </xf>
    <xf numFmtId="41" fontId="15" fillId="0" borderId="149" xfId="0" applyNumberFormat="1" applyFont="1" applyFill="1" applyBorder="1" applyAlignment="1" applyProtection="1">
      <alignment horizontal="center" vertical="center" wrapText="1"/>
      <protection locked="0"/>
    </xf>
    <xf numFmtId="41" fontId="15" fillId="0" borderId="150" xfId="0" applyNumberFormat="1" applyFont="1" applyFill="1" applyBorder="1" applyAlignment="1" applyProtection="1">
      <alignment horizontal="center" vertical="center" wrapText="1"/>
      <protection locked="0"/>
    </xf>
    <xf numFmtId="0" fontId="20" fillId="0" borderId="151" xfId="0" applyFont="1" applyFill="1" applyBorder="1" applyAlignment="1" applyProtection="1">
      <alignment horizontal="right" vertical="center" wrapText="1" indent="1"/>
      <protection locked="0"/>
    </xf>
    <xf numFmtId="165" fontId="15" fillId="0" borderId="177" xfId="0" applyNumberFormat="1" applyFont="1" applyFill="1" applyBorder="1" applyAlignment="1" applyProtection="1">
      <alignment horizontal="center" vertical="center" wrapText="1"/>
      <protection locked="0"/>
    </xf>
    <xf numFmtId="0" fontId="82" fillId="0" borderId="0" xfId="0" applyFont="1" applyProtection="1">
      <protection locked="0"/>
    </xf>
    <xf numFmtId="0" fontId="0" fillId="0" borderId="0" xfId="0" applyBorder="1" applyProtection="1">
      <protection locked="0"/>
    </xf>
    <xf numFmtId="0" fontId="0" fillId="29" borderId="44" xfId="0" applyFill="1" applyBorder="1" applyProtection="1">
      <protection locked="0"/>
    </xf>
    <xf numFmtId="0" fontId="0" fillId="0" borderId="0" xfId="0" applyFill="1" applyBorder="1" applyProtection="1">
      <protection locked="0"/>
    </xf>
    <xf numFmtId="0" fontId="18" fillId="0" borderId="0" xfId="46" applyFont="1" applyAlignment="1" applyProtection="1">
      <alignment horizontal="right"/>
      <protection locked="0"/>
    </xf>
    <xf numFmtId="0" fontId="17" fillId="0" borderId="0" xfId="46" applyFont="1" applyAlignment="1" applyProtection="1">
      <alignment vertical="top"/>
      <protection locked="0"/>
    </xf>
    <xf numFmtId="0" fontId="17" fillId="29" borderId="0" xfId="46" applyFont="1" applyFill="1" applyBorder="1" applyAlignment="1" applyProtection="1">
      <alignment vertical="top"/>
      <protection locked="0"/>
    </xf>
    <xf numFmtId="0" fontId="17" fillId="29" borderId="0" xfId="46" applyFont="1" applyFill="1" applyAlignment="1" applyProtection="1">
      <alignment vertical="top"/>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center" vertical="center" wrapText="1"/>
      <protection locked="0"/>
    </xf>
    <xf numFmtId="0" fontId="0" fillId="29" borderId="10" xfId="0" applyFill="1" applyBorder="1" applyAlignment="1" applyProtection="1">
      <alignment horizontal="left" vertical="top" wrapText="1"/>
      <protection locked="0"/>
    </xf>
    <xf numFmtId="0" fontId="15" fillId="29" borderId="10" xfId="0" applyFont="1" applyFill="1" applyBorder="1" applyAlignment="1" applyProtection="1">
      <alignment horizontal="left" vertical="top" wrapText="1"/>
      <protection locked="0"/>
    </xf>
    <xf numFmtId="0" fontId="108" fillId="29" borderId="10" xfId="0" applyFont="1" applyFill="1" applyBorder="1" applyAlignment="1" applyProtection="1">
      <alignment horizontal="left" vertical="top" wrapText="1"/>
      <protection locked="0"/>
    </xf>
    <xf numFmtId="0" fontId="15" fillId="0" borderId="0" xfId="46" applyFont="1" applyAlignment="1" applyProtection="1">
      <alignment horizontal="left" vertical="center" indent="2"/>
      <protection locked="0"/>
    </xf>
    <xf numFmtId="0" fontId="18" fillId="71" borderId="42" xfId="46" applyFont="1" applyFill="1" applyBorder="1" applyAlignment="1" applyProtection="1">
      <alignment wrapText="1"/>
      <protection locked="0"/>
    </xf>
    <xf numFmtId="0" fontId="18" fillId="71" borderId="71" xfId="0" applyFont="1" applyFill="1" applyBorder="1" applyProtection="1">
      <protection locked="0"/>
    </xf>
    <xf numFmtId="0" fontId="18" fillId="71" borderId="45" xfId="0" applyFont="1" applyFill="1" applyBorder="1" applyProtection="1">
      <protection locked="0"/>
    </xf>
    <xf numFmtId="0" fontId="15" fillId="0" borderId="42" xfId="46" applyBorder="1" applyAlignment="1" applyProtection="1">
      <alignment horizontal="center"/>
      <protection locked="0"/>
    </xf>
    <xf numFmtId="0" fontId="15" fillId="0" borderId="179" xfId="46" applyBorder="1" applyAlignment="1" applyProtection="1">
      <alignment horizontal="center"/>
      <protection locked="0"/>
    </xf>
    <xf numFmtId="0" fontId="18" fillId="71" borderId="0" xfId="0" applyFont="1" applyFill="1" applyBorder="1" applyProtection="1">
      <protection locked="0"/>
    </xf>
    <xf numFmtId="0" fontId="18" fillId="71" borderId="29" xfId="0" applyFont="1" applyFill="1" applyBorder="1" applyProtection="1">
      <protection locked="0"/>
    </xf>
    <xf numFmtId="0" fontId="137" fillId="0" borderId="130" xfId="31" applyFont="1" applyFill="1" applyBorder="1" applyAlignment="1" applyProtection="1">
      <alignment horizontal="center"/>
      <protection locked="0"/>
    </xf>
    <xf numFmtId="0" fontId="31" fillId="4" borderId="130" xfId="31" applyBorder="1" applyAlignment="1" applyProtection="1">
      <alignment horizontal="center"/>
      <protection locked="0"/>
    </xf>
    <xf numFmtId="0" fontId="15" fillId="0" borderId="130" xfId="46" applyBorder="1" applyAlignment="1" applyProtection="1">
      <alignment horizontal="center"/>
      <protection locked="0"/>
    </xf>
    <xf numFmtId="0" fontId="31" fillId="4" borderId="51" xfId="31" applyBorder="1" applyAlignment="1" applyProtection="1">
      <alignment horizontal="center"/>
      <protection locked="0"/>
    </xf>
    <xf numFmtId="0" fontId="15" fillId="0" borderId="51" xfId="46" applyBorder="1" applyAlignment="1" applyProtection="1">
      <alignment horizontal="center"/>
      <protection locked="0"/>
    </xf>
    <xf numFmtId="0" fontId="18" fillId="71" borderId="30" xfId="0" applyFont="1" applyFill="1" applyBorder="1" applyAlignment="1" applyProtection="1">
      <alignment horizontal="right"/>
      <protection locked="0"/>
    </xf>
    <xf numFmtId="0" fontId="18" fillId="71" borderId="31" xfId="0" applyFont="1" applyFill="1" applyBorder="1" applyProtection="1">
      <protection locked="0"/>
    </xf>
    <xf numFmtId="0" fontId="15" fillId="0" borderId="104" xfId="46" applyBorder="1" applyAlignment="1" applyProtection="1">
      <alignment horizontal="center"/>
      <protection locked="0"/>
    </xf>
    <xf numFmtId="0" fontId="15" fillId="0" borderId="82" xfId="46" applyBorder="1" applyAlignment="1" applyProtection="1">
      <alignment horizontal="center"/>
      <protection locked="0"/>
    </xf>
    <xf numFmtId="0" fontId="15" fillId="0" borderId="0" xfId="46" applyFont="1" applyAlignment="1" applyProtection="1">
      <alignment horizontal="left"/>
      <protection locked="0"/>
    </xf>
    <xf numFmtId="0" fontId="46" fillId="0" borderId="0" xfId="46" applyFont="1" applyProtection="1">
      <protection locked="0"/>
    </xf>
    <xf numFmtId="0" fontId="104" fillId="0" borderId="0" xfId="46" applyFont="1" applyAlignment="1" applyProtection="1">
      <alignment horizontal="left" vertical="center" indent="4"/>
      <protection locked="0"/>
    </xf>
    <xf numFmtId="0" fontId="15" fillId="0" borderId="0" xfId="46" applyFont="1" applyAlignment="1" applyProtection="1">
      <alignment vertical="center"/>
      <protection locked="0"/>
    </xf>
    <xf numFmtId="0" fontId="21" fillId="0" borderId="0" xfId="46" applyFont="1" applyProtection="1">
      <protection locked="0"/>
    </xf>
    <xf numFmtId="0" fontId="18" fillId="0" borderId="0" xfId="46" applyFont="1" applyProtection="1">
      <protection locked="0"/>
    </xf>
    <xf numFmtId="0" fontId="21" fillId="0" borderId="0" xfId="46" applyFont="1" applyFill="1" applyProtection="1">
      <protection locked="0"/>
    </xf>
    <xf numFmtId="0" fontId="18" fillId="0" borderId="0" xfId="46" applyFont="1" applyFill="1" applyProtection="1">
      <protection locked="0"/>
    </xf>
    <xf numFmtId="0" fontId="15" fillId="0" borderId="0" xfId="46" applyFill="1" applyProtection="1">
      <protection locked="0"/>
    </xf>
    <xf numFmtId="0" fontId="15" fillId="0" borderId="0" xfId="46" applyFont="1" applyFill="1" applyProtection="1">
      <protection locked="0"/>
    </xf>
    <xf numFmtId="0" fontId="15" fillId="0" borderId="0" xfId="46" applyFont="1" applyFill="1" applyAlignment="1" applyProtection="1">
      <alignment horizontal="left" vertical="center" indent="2"/>
      <protection locked="0"/>
    </xf>
    <xf numFmtId="0" fontId="18" fillId="0" borderId="0" xfId="46" applyFont="1" applyFill="1" applyAlignment="1" applyProtection="1">
      <alignment horizontal="left"/>
      <protection locked="0"/>
    </xf>
    <xf numFmtId="0" fontId="15" fillId="0" borderId="0" xfId="46" applyFont="1" applyFill="1" applyAlignment="1" applyProtection="1">
      <alignment vertical="center" wrapText="1"/>
      <protection locked="0"/>
    </xf>
    <xf numFmtId="0" fontId="15" fillId="0" borderId="0" xfId="46" applyBorder="1" applyProtection="1">
      <protection locked="0"/>
    </xf>
    <xf numFmtId="0" fontId="52" fillId="29" borderId="0" xfId="46" applyFont="1" applyFill="1" applyAlignment="1" applyProtection="1">
      <protection locked="0"/>
    </xf>
    <xf numFmtId="0" fontId="19" fillId="0" borderId="0" xfId="46" applyFont="1" applyAlignment="1" applyProtection="1">
      <alignment horizontal="center"/>
      <protection locked="0"/>
    </xf>
    <xf numFmtId="0" fontId="15" fillId="25" borderId="75" xfId="46" applyFill="1" applyBorder="1" applyProtection="1">
      <protection locked="0"/>
    </xf>
    <xf numFmtId="0" fontId="18" fillId="25" borderId="13" xfId="46" applyFont="1" applyFill="1" applyBorder="1" applyAlignment="1" applyProtection="1">
      <protection locked="0"/>
    </xf>
    <xf numFmtId="0" fontId="18" fillId="25" borderId="33" xfId="46" applyFont="1" applyFill="1" applyBorder="1" applyAlignment="1" applyProtection="1">
      <protection locked="0"/>
    </xf>
    <xf numFmtId="0" fontId="18" fillId="25" borderId="10" xfId="46" applyFont="1" applyFill="1" applyBorder="1" applyAlignment="1" applyProtection="1">
      <alignment horizontal="center" wrapText="1"/>
      <protection locked="0"/>
    </xf>
    <xf numFmtId="0" fontId="18" fillId="25" borderId="10" xfId="46" applyFont="1" applyFill="1" applyBorder="1" applyProtection="1">
      <protection locked="0"/>
    </xf>
    <xf numFmtId="0" fontId="18" fillId="25" borderId="10" xfId="46" applyFont="1" applyFill="1" applyBorder="1" applyAlignment="1" applyProtection="1">
      <alignment horizontal="center"/>
      <protection locked="0"/>
    </xf>
    <xf numFmtId="0" fontId="15" fillId="25" borderId="11" xfId="46" applyFill="1" applyBorder="1" applyProtection="1">
      <protection locked="0"/>
    </xf>
    <xf numFmtId="0" fontId="18" fillId="25" borderId="16" xfId="46" applyFont="1" applyFill="1" applyBorder="1" applyAlignment="1" applyProtection="1">
      <alignment horizontal="center" wrapText="1"/>
      <protection locked="0"/>
    </xf>
    <xf numFmtId="0" fontId="18" fillId="25" borderId="19" xfId="46" applyFont="1" applyFill="1" applyBorder="1" applyAlignment="1" applyProtection="1">
      <alignment horizontal="center"/>
      <protection locked="0"/>
    </xf>
    <xf numFmtId="0" fontId="18" fillId="25" borderId="19" xfId="46" applyFont="1" applyFill="1" applyBorder="1" applyAlignment="1" applyProtection="1">
      <alignment horizontal="center" wrapText="1"/>
      <protection locked="0"/>
    </xf>
    <xf numFmtId="0" fontId="15" fillId="0" borderId="10" xfId="46" applyFont="1" applyBorder="1" applyAlignment="1" applyProtection="1">
      <alignment vertical="center" wrapText="1"/>
      <protection locked="0"/>
    </xf>
    <xf numFmtId="166" fontId="0" fillId="29" borderId="10" xfId="29" applyNumberFormat="1" applyFont="1" applyFill="1" applyBorder="1" applyProtection="1">
      <protection locked="0"/>
    </xf>
    <xf numFmtId="166" fontId="0" fillId="0" borderId="10" xfId="29" applyNumberFormat="1" applyFont="1" applyBorder="1" applyProtection="1">
      <protection locked="0"/>
    </xf>
    <xf numFmtId="0" fontId="15" fillId="0" borderId="11" xfId="46" applyBorder="1" applyProtection="1">
      <protection locked="0"/>
    </xf>
    <xf numFmtId="166" fontId="0" fillId="29" borderId="33" xfId="29" applyNumberFormat="1" applyFont="1" applyFill="1" applyBorder="1" applyProtection="1">
      <protection locked="0"/>
    </xf>
    <xf numFmtId="166" fontId="15" fillId="0" borderId="10" xfId="46" applyNumberFormat="1" applyBorder="1" applyProtection="1">
      <protection locked="0"/>
    </xf>
    <xf numFmtId="0" fontId="15" fillId="0" borderId="10" xfId="46" applyFill="1" applyBorder="1" applyAlignment="1" applyProtection="1">
      <alignment horizontal="center" vertical="center"/>
      <protection locked="0"/>
    </xf>
    <xf numFmtId="0" fontId="15" fillId="0" borderId="10" xfId="46" applyFill="1" applyBorder="1" applyAlignment="1" applyProtection="1">
      <alignment vertical="center" wrapText="1"/>
      <protection locked="0"/>
    </xf>
    <xf numFmtId="0" fontId="15" fillId="0" borderId="10" xfId="46" applyBorder="1" applyAlignment="1" applyProtection="1">
      <alignment vertical="center" wrapText="1"/>
      <protection locked="0"/>
    </xf>
    <xf numFmtId="0" fontId="15" fillId="0" borderId="10" xfId="46" applyFont="1" applyFill="1" applyBorder="1" applyAlignment="1" applyProtection="1">
      <alignment horizontal="center" vertical="center"/>
      <protection locked="0"/>
    </xf>
    <xf numFmtId="166" fontId="0" fillId="29" borderId="0" xfId="29" applyNumberFormat="1" applyFont="1" applyFill="1" applyProtection="1">
      <protection locked="0"/>
    </xf>
    <xf numFmtId="0" fontId="15" fillId="29" borderId="10" xfId="46" applyFont="1" applyFill="1" applyBorder="1" applyAlignment="1" applyProtection="1">
      <alignment horizontal="center" vertical="center"/>
      <protection locked="0"/>
    </xf>
    <xf numFmtId="0" fontId="15" fillId="0" borderId="10" xfId="46" applyFont="1" applyFill="1" applyBorder="1" applyAlignment="1" applyProtection="1">
      <alignment vertical="center" wrapText="1"/>
      <protection locked="0"/>
    </xf>
    <xf numFmtId="0" fontId="15" fillId="0" borderId="10" xfId="46" applyFont="1" applyBorder="1" applyAlignment="1" applyProtection="1">
      <alignment horizontal="center" vertical="center"/>
      <protection locked="0"/>
    </xf>
    <xf numFmtId="0" fontId="15" fillId="29" borderId="0" xfId="46" applyFill="1" applyAlignment="1" applyProtection="1">
      <alignment horizontal="center"/>
      <protection locked="0"/>
    </xf>
    <xf numFmtId="0" fontId="15" fillId="0" borderId="10" xfId="46" applyBorder="1" applyAlignment="1" applyProtection="1">
      <alignment horizontal="center"/>
      <protection locked="0"/>
    </xf>
    <xf numFmtId="0" fontId="15" fillId="0" borderId="10" xfId="46" applyBorder="1" applyProtection="1">
      <protection locked="0"/>
    </xf>
    <xf numFmtId="0" fontId="15" fillId="29" borderId="10" xfId="46" applyFill="1" applyBorder="1" applyProtection="1">
      <protection locked="0"/>
    </xf>
    <xf numFmtId="0" fontId="18" fillId="0" borderId="10" xfId="46" applyFont="1" applyBorder="1" applyProtection="1">
      <protection locked="0"/>
    </xf>
    <xf numFmtId="166" fontId="18" fillId="0" borderId="10" xfId="46" applyNumberFormat="1" applyFont="1" applyBorder="1" applyProtection="1">
      <protection locked="0"/>
    </xf>
    <xf numFmtId="0" fontId="18" fillId="0" borderId="10" xfId="46" applyFont="1" applyBorder="1" applyAlignment="1" applyProtection="1">
      <alignment vertical="center" wrapText="1"/>
      <protection locked="0"/>
    </xf>
    <xf numFmtId="0" fontId="46" fillId="0" borderId="10" xfId="46" applyFont="1" applyBorder="1" applyAlignment="1" applyProtection="1">
      <alignment vertical="top" wrapText="1"/>
      <protection locked="0"/>
    </xf>
    <xf numFmtId="0" fontId="15" fillId="0" borderId="0" xfId="46" applyFill="1" applyBorder="1" applyProtection="1">
      <protection locked="0"/>
    </xf>
    <xf numFmtId="166" fontId="0" fillId="0" borderId="0" xfId="29" applyNumberFormat="1" applyFont="1" applyFill="1" applyBorder="1" applyProtection="1">
      <protection locked="0"/>
    </xf>
    <xf numFmtId="166" fontId="15" fillId="0" borderId="0" xfId="46" applyNumberFormat="1" applyFill="1" applyBorder="1" applyProtection="1">
      <protection locked="0"/>
    </xf>
    <xf numFmtId="0" fontId="15" fillId="0" borderId="0" xfId="46" applyFont="1" applyAlignment="1" applyProtection="1">
      <protection locked="0"/>
    </xf>
    <xf numFmtId="166" fontId="0" fillId="29" borderId="102" xfId="29" applyNumberFormat="1" applyFont="1" applyFill="1" applyBorder="1" applyProtection="1">
      <protection locked="0"/>
    </xf>
    <xf numFmtId="0" fontId="18" fillId="0" borderId="0" xfId="46" applyFont="1" applyFill="1" applyBorder="1" applyAlignment="1" applyProtection="1">
      <protection locked="0"/>
    </xf>
    <xf numFmtId="166" fontId="0" fillId="0" borderId="13" xfId="29" applyNumberFormat="1" applyFont="1" applyBorder="1" applyProtection="1">
      <protection locked="0"/>
    </xf>
    <xf numFmtId="15" fontId="15" fillId="0" borderId="0" xfId="46" applyNumberFormat="1" applyProtection="1">
      <protection locked="0"/>
    </xf>
    <xf numFmtId="0" fontId="46" fillId="0" borderId="0" xfId="46" applyFont="1" applyAlignment="1" applyProtection="1">
      <alignment horizontal="center"/>
      <protection locked="0"/>
    </xf>
    <xf numFmtId="0" fontId="15" fillId="0" borderId="0" xfId="46" applyAlignment="1" applyProtection="1">
      <alignment horizontal="left"/>
      <protection locked="0"/>
    </xf>
    <xf numFmtId="176" fontId="15" fillId="0" borderId="0" xfId="46" applyNumberFormat="1" applyProtection="1">
      <protection locked="0"/>
    </xf>
    <xf numFmtId="176" fontId="15" fillId="0" borderId="0" xfId="46" applyNumberFormat="1" applyFill="1" applyProtection="1">
      <protection locked="0"/>
    </xf>
    <xf numFmtId="3" fontId="18" fillId="0" borderId="0" xfId="46" applyNumberFormat="1" applyFont="1" applyFill="1" applyProtection="1">
      <protection locked="0"/>
    </xf>
    <xf numFmtId="176" fontId="18" fillId="0" borderId="0" xfId="46" applyNumberFormat="1" applyFont="1" applyProtection="1">
      <protection locked="0"/>
    </xf>
    <xf numFmtId="176" fontId="17" fillId="29" borderId="102" xfId="46" applyNumberFormat="1" applyFont="1" applyFill="1" applyBorder="1" applyAlignment="1" applyProtection="1">
      <alignment horizontal="right" vertical="top"/>
      <protection locked="0"/>
    </xf>
    <xf numFmtId="176" fontId="17" fillId="29" borderId="0" xfId="46" applyNumberFormat="1" applyFont="1" applyFill="1" applyAlignment="1" applyProtection="1">
      <alignment horizontal="right" vertical="top"/>
      <protection locked="0"/>
    </xf>
    <xf numFmtId="176" fontId="17" fillId="0" borderId="0" xfId="46" applyNumberFormat="1" applyFont="1" applyAlignment="1" applyProtection="1">
      <alignment horizontal="right" vertical="top"/>
      <protection locked="0"/>
    </xf>
    <xf numFmtId="169" fontId="15" fillId="0" borderId="0" xfId="46" applyNumberFormat="1" applyFill="1" applyProtection="1">
      <protection locked="0"/>
    </xf>
    <xf numFmtId="176" fontId="18" fillId="0" borderId="0" xfId="46" applyNumberFormat="1" applyFont="1" applyAlignment="1" applyProtection="1">
      <alignment vertical="center"/>
      <protection locked="0"/>
    </xf>
    <xf numFmtId="176" fontId="20" fillId="0" borderId="0" xfId="46" applyNumberFormat="1" applyFont="1" applyAlignment="1" applyProtection="1">
      <alignment horizontal="center"/>
      <protection locked="0"/>
    </xf>
    <xf numFmtId="0" fontId="20" fillId="0" borderId="0" xfId="46" applyFont="1" applyAlignment="1" applyProtection="1">
      <alignment horizontal="center" vertical="center"/>
      <protection locked="0"/>
    </xf>
    <xf numFmtId="0" fontId="20" fillId="0" borderId="0" xfId="46" applyFont="1" applyAlignment="1" applyProtection="1">
      <alignment horizontal="left"/>
      <protection locked="0"/>
    </xf>
    <xf numFmtId="3" fontId="22" fillId="0" borderId="0" xfId="46" applyNumberFormat="1" applyFont="1" applyAlignment="1" applyProtection="1">
      <alignment horizontal="center"/>
      <protection locked="0"/>
    </xf>
    <xf numFmtId="176" fontId="22" fillId="0" borderId="0" xfId="46" applyNumberFormat="1" applyFont="1" applyAlignment="1" applyProtection="1">
      <alignment horizontal="center"/>
      <protection locked="0"/>
    </xf>
    <xf numFmtId="3" fontId="15" fillId="0" borderId="0" xfId="46" applyNumberFormat="1" applyProtection="1">
      <protection locked="0"/>
    </xf>
    <xf numFmtId="176" fontId="18" fillId="25" borderId="73" xfId="46" applyNumberFormat="1" applyFont="1" applyFill="1" applyBorder="1" applyAlignment="1" applyProtection="1">
      <alignment horizontal="center" vertical="center" wrapText="1"/>
      <protection locked="0"/>
    </xf>
    <xf numFmtId="3" fontId="18" fillId="25" borderId="73" xfId="46" applyNumberFormat="1" applyFont="1" applyFill="1" applyBorder="1" applyAlignment="1" applyProtection="1">
      <alignment horizontal="center" vertical="center" wrapText="1"/>
      <protection locked="0"/>
    </xf>
    <xf numFmtId="0" fontId="18" fillId="25" borderId="73" xfId="46" applyFont="1" applyFill="1" applyBorder="1" applyAlignment="1" applyProtection="1">
      <alignment horizontal="center" vertical="center" wrapText="1"/>
      <protection locked="0"/>
    </xf>
    <xf numFmtId="176" fontId="18" fillId="25" borderId="74" xfId="46" applyNumberFormat="1" applyFont="1" applyFill="1" applyBorder="1" applyAlignment="1" applyProtection="1">
      <alignment horizontal="center" vertical="center" wrapText="1"/>
      <protection locked="0"/>
    </xf>
    <xf numFmtId="176" fontId="18" fillId="25" borderId="19" xfId="46" quotePrefix="1" applyNumberFormat="1" applyFont="1" applyFill="1" applyBorder="1" applyAlignment="1" applyProtection="1">
      <alignment horizontal="center"/>
      <protection locked="0"/>
    </xf>
    <xf numFmtId="176" fontId="18" fillId="25" borderId="19" xfId="46" quotePrefix="1" applyNumberFormat="1" applyFont="1" applyFill="1" applyBorder="1" applyAlignment="1" applyProtection="1">
      <alignment horizontal="center" wrapText="1"/>
      <protection locked="0"/>
    </xf>
    <xf numFmtId="3" fontId="18" fillId="25" borderId="19" xfId="46" quotePrefix="1" applyNumberFormat="1" applyFont="1" applyFill="1" applyBorder="1" applyAlignment="1" applyProtection="1">
      <alignment horizontal="center"/>
      <protection locked="0"/>
    </xf>
    <xf numFmtId="0" fontId="18" fillId="25" borderId="19" xfId="46" quotePrefix="1" applyFont="1" applyFill="1" applyBorder="1" applyAlignment="1" applyProtection="1">
      <alignment horizontal="center"/>
      <protection locked="0"/>
    </xf>
    <xf numFmtId="176" fontId="18" fillId="25" borderId="64" xfId="46" quotePrefix="1" applyNumberFormat="1" applyFont="1" applyFill="1" applyBorder="1" applyAlignment="1" applyProtection="1">
      <alignment horizontal="center"/>
      <protection locked="0"/>
    </xf>
    <xf numFmtId="43" fontId="15" fillId="29" borderId="10" xfId="28" applyFill="1" applyBorder="1" applyProtection="1">
      <protection locked="0"/>
    </xf>
    <xf numFmtId="10" fontId="15" fillId="0" borderId="10" xfId="29" applyNumberFormat="1" applyBorder="1" applyProtection="1">
      <protection locked="0"/>
    </xf>
    <xf numFmtId="10" fontId="15" fillId="0" borderId="10" xfId="42" applyNumberFormat="1" applyBorder="1" applyProtection="1">
      <protection locked="0"/>
    </xf>
    <xf numFmtId="0" fontId="15" fillId="0" borderId="27" xfId="46" applyFill="1" applyBorder="1" applyAlignment="1" applyProtection="1">
      <alignment horizontal="center" vertical="center"/>
      <protection locked="0"/>
    </xf>
    <xf numFmtId="0" fontId="15" fillId="0" borderId="27" xfId="46" applyFont="1" applyBorder="1" applyAlignment="1" applyProtection="1">
      <alignment horizontal="center" vertical="center"/>
      <protection locked="0"/>
    </xf>
    <xf numFmtId="0" fontId="15" fillId="0" borderId="27" xfId="46" applyFont="1" applyFill="1" applyBorder="1" applyAlignment="1" applyProtection="1">
      <alignment horizontal="center" vertical="center"/>
      <protection locked="0"/>
    </xf>
    <xf numFmtId="0" fontId="15" fillId="0" borderId="10" xfId="46" applyFont="1" applyFill="1" applyBorder="1" applyAlignment="1" applyProtection="1">
      <alignment vertical="center"/>
      <protection locked="0"/>
    </xf>
    <xf numFmtId="166" fontId="0" fillId="29" borderId="36" xfId="29" applyNumberFormat="1" applyFont="1" applyFill="1" applyBorder="1" applyProtection="1">
      <protection locked="0"/>
    </xf>
    <xf numFmtId="166" fontId="0" fillId="0" borderId="36" xfId="29" applyNumberFormat="1" applyFont="1" applyBorder="1" applyProtection="1">
      <protection locked="0"/>
    </xf>
    <xf numFmtId="43" fontId="15" fillId="29" borderId="36" xfId="28" applyFill="1" applyBorder="1" applyProtection="1">
      <protection locked="0"/>
    </xf>
    <xf numFmtId="10" fontId="15" fillId="0" borderId="36" xfId="42" applyNumberFormat="1" applyBorder="1" applyProtection="1">
      <protection locked="0"/>
    </xf>
    <xf numFmtId="0" fontId="15" fillId="0" borderId="38" xfId="46" applyFont="1" applyBorder="1" applyAlignment="1" applyProtection="1">
      <alignment horizontal="center"/>
      <protection locked="0"/>
    </xf>
    <xf numFmtId="0" fontId="18" fillId="0" borderId="34" xfId="46" applyFont="1" applyBorder="1" applyProtection="1">
      <protection locked="0"/>
    </xf>
    <xf numFmtId="166" fontId="18" fillId="0" borderId="34" xfId="46" applyNumberFormat="1" applyFont="1" applyBorder="1" applyProtection="1">
      <protection locked="0"/>
    </xf>
    <xf numFmtId="166" fontId="0" fillId="0" borderId="34" xfId="29" applyNumberFormat="1" applyFont="1" applyBorder="1" applyProtection="1">
      <protection locked="0"/>
    </xf>
    <xf numFmtId="3" fontId="15" fillId="0" borderId="34" xfId="42" applyNumberFormat="1" applyBorder="1" applyProtection="1">
      <protection locked="0"/>
    </xf>
    <xf numFmtId="44" fontId="15" fillId="0" borderId="34" xfId="29" applyBorder="1" applyProtection="1">
      <protection locked="0"/>
    </xf>
    <xf numFmtId="166" fontId="0" fillId="29" borderId="34" xfId="29" applyNumberFormat="1" applyFont="1" applyFill="1" applyBorder="1" applyProtection="1">
      <protection locked="0"/>
    </xf>
    <xf numFmtId="176" fontId="15" fillId="0" borderId="0" xfId="46" applyNumberFormat="1" applyFont="1" applyProtection="1">
      <protection locked="0"/>
    </xf>
    <xf numFmtId="3" fontId="15" fillId="0" borderId="0" xfId="46" applyNumberFormat="1" applyFont="1" applyProtection="1">
      <protection locked="0"/>
    </xf>
    <xf numFmtId="0" fontId="15" fillId="0" borderId="0" xfId="46" applyAlignment="1" applyProtection="1">
      <alignment horizontal="center" vertical="top"/>
      <protection locked="0"/>
    </xf>
    <xf numFmtId="0" fontId="18" fillId="0" borderId="0" xfId="46" applyFont="1" applyAlignment="1" applyProtection="1">
      <alignment vertical="top" wrapText="1"/>
      <protection locked="0"/>
    </xf>
    <xf numFmtId="176" fontId="18" fillId="0" borderId="0" xfId="46" applyNumberFormat="1" applyFont="1" applyAlignment="1" applyProtection="1">
      <alignment vertical="top" wrapText="1"/>
      <protection locked="0"/>
    </xf>
    <xf numFmtId="3" fontId="18" fillId="0" borderId="0" xfId="46" applyNumberFormat="1" applyFont="1" applyAlignment="1" applyProtection="1">
      <alignment vertical="top" wrapText="1"/>
      <protection locked="0"/>
    </xf>
    <xf numFmtId="0" fontId="20" fillId="0" borderId="0" xfId="46" applyFont="1" applyAlignment="1" applyProtection="1">
      <alignment horizontal="center"/>
      <protection locked="0"/>
    </xf>
    <xf numFmtId="0" fontId="20" fillId="0" borderId="0" xfId="46" applyFont="1" applyAlignment="1" applyProtection="1">
      <protection locked="0"/>
    </xf>
    <xf numFmtId="0" fontId="18" fillId="25" borderId="103" xfId="46" applyFont="1" applyFill="1" applyBorder="1" applyAlignment="1" applyProtection="1">
      <alignment horizontal="center" vertical="center" wrapText="1"/>
      <protection locked="0"/>
    </xf>
    <xf numFmtId="0" fontId="18" fillId="25" borderId="74" xfId="46" applyFont="1" applyFill="1" applyBorder="1" applyAlignment="1" applyProtection="1">
      <alignment horizontal="center" vertical="center" wrapText="1"/>
      <protection locked="0"/>
    </xf>
    <xf numFmtId="0" fontId="18" fillId="25" borderId="34" xfId="46" quotePrefix="1" applyFont="1" applyFill="1" applyBorder="1" applyAlignment="1" applyProtection="1">
      <alignment horizontal="center"/>
      <protection locked="0"/>
    </xf>
    <xf numFmtId="0" fontId="18" fillId="25" borderId="34" xfId="46" applyFont="1" applyFill="1" applyBorder="1" applyAlignment="1" applyProtection="1">
      <alignment horizontal="center" wrapText="1"/>
      <protection locked="0"/>
    </xf>
    <xf numFmtId="0" fontId="18" fillId="25" borderId="78" xfId="46" applyFont="1" applyFill="1" applyBorder="1" applyAlignment="1" applyProtection="1">
      <alignment horizontal="center"/>
      <protection locked="0"/>
    </xf>
    <xf numFmtId="0" fontId="18" fillId="25" borderId="35" xfId="46" quotePrefix="1" applyFont="1" applyFill="1" applyBorder="1" applyAlignment="1" applyProtection="1">
      <alignment horizontal="center"/>
      <protection locked="0"/>
    </xf>
    <xf numFmtId="0" fontId="18" fillId="25" borderId="35" xfId="46" applyFont="1" applyFill="1" applyBorder="1" applyAlignment="1" applyProtection="1">
      <alignment horizontal="center"/>
      <protection locked="0"/>
    </xf>
    <xf numFmtId="0" fontId="15" fillId="0" borderId="19" xfId="46" applyFont="1" applyBorder="1" applyAlignment="1" applyProtection="1">
      <alignment vertical="center" wrapText="1"/>
      <protection locked="0"/>
    </xf>
    <xf numFmtId="10" fontId="15" fillId="0" borderId="19" xfId="42" applyNumberFormat="1" applyBorder="1" applyProtection="1">
      <protection locked="0"/>
    </xf>
    <xf numFmtId="166" fontId="18" fillId="0" borderId="36" xfId="46" applyNumberFormat="1" applyFont="1" applyBorder="1" applyProtection="1">
      <protection locked="0"/>
    </xf>
    <xf numFmtId="166" fontId="18" fillId="0" borderId="57" xfId="46" applyNumberFormat="1" applyFont="1" applyBorder="1" applyProtection="1">
      <protection locked="0"/>
    </xf>
    <xf numFmtId="43" fontId="15" fillId="0" borderId="57" xfId="28" applyBorder="1" applyProtection="1">
      <protection locked="0"/>
    </xf>
    <xf numFmtId="10" fontId="15" fillId="0" borderId="57" xfId="42" applyNumberFormat="1" applyBorder="1" applyProtection="1">
      <protection locked="0"/>
    </xf>
    <xf numFmtId="0" fontId="15" fillId="0" borderId="0" xfId="46" applyFont="1" applyBorder="1" applyAlignment="1" applyProtection="1">
      <alignment horizontal="center"/>
      <protection locked="0"/>
    </xf>
    <xf numFmtId="0" fontId="18" fillId="0" borderId="0" xfId="46" applyFont="1" applyBorder="1" applyProtection="1">
      <protection locked="0"/>
    </xf>
    <xf numFmtId="166" fontId="18" fillId="0" borderId="0" xfId="46" applyNumberFormat="1" applyFont="1" applyBorder="1" applyProtection="1">
      <protection locked="0"/>
    </xf>
    <xf numFmtId="43" fontId="15" fillId="0" borderId="0" xfId="28" applyBorder="1" applyProtection="1">
      <protection locked="0"/>
    </xf>
    <xf numFmtId="10" fontId="15" fillId="0" borderId="0" xfId="42" applyNumberFormat="1" applyBorder="1" applyProtection="1">
      <protection locked="0"/>
    </xf>
    <xf numFmtId="0" fontId="15" fillId="0" borderId="0" xfId="46" applyAlignment="1" applyProtection="1">
      <alignment horizontal="center" vertical="center"/>
      <protection locked="0"/>
    </xf>
    <xf numFmtId="0" fontId="18" fillId="0" borderId="0" xfId="46" applyFont="1" applyAlignment="1" applyProtection="1">
      <alignment vertical="center" wrapText="1"/>
      <protection locked="0"/>
    </xf>
    <xf numFmtId="0" fontId="18" fillId="25" borderId="35" xfId="46" quotePrefix="1" applyFont="1" applyFill="1" applyBorder="1" applyAlignment="1" applyProtection="1">
      <alignment horizontal="center" wrapText="1"/>
      <protection locked="0"/>
    </xf>
    <xf numFmtId="0" fontId="18" fillId="25" borderId="35" xfId="46" applyFont="1" applyFill="1" applyBorder="1" applyAlignment="1" applyProtection="1">
      <alignment horizontal="center" wrapText="1"/>
      <protection locked="0"/>
    </xf>
    <xf numFmtId="43" fontId="15" fillId="29" borderId="19" xfId="28" applyFill="1" applyBorder="1" applyProtection="1">
      <protection locked="0"/>
    </xf>
    <xf numFmtId="10" fontId="15" fillId="0" borderId="19" xfId="29" applyNumberFormat="1" applyBorder="1" applyProtection="1">
      <protection locked="0"/>
    </xf>
    <xf numFmtId="0" fontId="15" fillId="0" borderId="86" xfId="46" applyFont="1" applyBorder="1" applyAlignment="1" applyProtection="1">
      <alignment horizontal="center"/>
      <protection locked="0"/>
    </xf>
    <xf numFmtId="0" fontId="18" fillId="0" borderId="57" xfId="46" applyFont="1" applyBorder="1" applyProtection="1">
      <protection locked="0"/>
    </xf>
    <xf numFmtId="166" fontId="18" fillId="0" borderId="57" xfId="29" applyNumberFormat="1" applyFont="1" applyBorder="1" applyProtection="1">
      <protection locked="0"/>
    </xf>
    <xf numFmtId="10" fontId="15" fillId="0" borderId="57" xfId="29" applyNumberFormat="1" applyBorder="1" applyProtection="1">
      <protection locked="0"/>
    </xf>
    <xf numFmtId="10" fontId="15" fillId="0" borderId="0" xfId="29" applyNumberFormat="1" applyBorder="1" applyProtection="1">
      <protection locked="0"/>
    </xf>
    <xf numFmtId="0" fontId="15" fillId="0" borderId="0" xfId="46" applyFont="1" applyAlignment="1" applyProtection="1">
      <alignment horizontal="center" vertical="center"/>
      <protection locked="0"/>
    </xf>
    <xf numFmtId="10" fontId="15" fillId="0" borderId="36" xfId="29" applyNumberFormat="1" applyBorder="1" applyProtection="1">
      <protection locked="0"/>
    </xf>
    <xf numFmtId="166" fontId="18" fillId="0" borderId="34" xfId="29" applyNumberFormat="1" applyFont="1" applyBorder="1" applyProtection="1">
      <protection locked="0"/>
    </xf>
    <xf numFmtId="43" fontId="15" fillId="0" borderId="34" xfId="28" applyBorder="1" applyProtection="1">
      <protection locked="0"/>
    </xf>
    <xf numFmtId="10" fontId="15" fillId="0" borderId="34" xfId="29" applyNumberFormat="1" applyBorder="1" applyProtection="1">
      <protection locked="0"/>
    </xf>
    <xf numFmtId="166" fontId="18" fillId="0" borderId="19" xfId="46" applyNumberFormat="1" applyFont="1" applyBorder="1" applyProtection="1">
      <protection locked="0"/>
    </xf>
    <xf numFmtId="0" fontId="15" fillId="0" borderId="0" xfId="46" applyFont="1" applyBorder="1" applyProtection="1">
      <protection locked="0"/>
    </xf>
    <xf numFmtId="44" fontId="15" fillId="0" borderId="0" xfId="29" applyBorder="1" applyProtection="1">
      <protection locked="0"/>
    </xf>
    <xf numFmtId="0" fontId="18" fillId="0" borderId="70" xfId="46" applyFont="1" applyBorder="1" applyProtection="1">
      <protection locked="0"/>
    </xf>
    <xf numFmtId="0" fontId="15" fillId="0" borderId="46" xfId="46" applyBorder="1" applyProtection="1">
      <protection locked="0"/>
    </xf>
    <xf numFmtId="0" fontId="15" fillId="0" borderId="32" xfId="46" applyBorder="1" applyAlignment="1" applyProtection="1">
      <alignment horizontal="center" vertical="center"/>
      <protection locked="0"/>
    </xf>
    <xf numFmtId="0" fontId="15" fillId="0" borderId="24" xfId="46" applyFont="1" applyBorder="1" applyAlignment="1" applyProtection="1">
      <alignment vertical="center" wrapText="1"/>
      <protection locked="0"/>
    </xf>
    <xf numFmtId="43" fontId="15" fillId="29" borderId="24" xfId="28" applyFill="1" applyBorder="1" applyProtection="1">
      <protection locked="0"/>
    </xf>
    <xf numFmtId="10" fontId="15" fillId="0" borderId="24" xfId="42" applyNumberFormat="1" applyBorder="1" applyProtection="1">
      <protection locked="0"/>
    </xf>
    <xf numFmtId="166" fontId="15" fillId="29" borderId="24" xfId="29" applyNumberFormat="1" applyFill="1" applyBorder="1" applyProtection="1">
      <protection locked="0"/>
    </xf>
    <xf numFmtId="166" fontId="15" fillId="29" borderId="10" xfId="29" applyNumberFormat="1" applyFill="1" applyBorder="1" applyProtection="1">
      <protection locked="0"/>
    </xf>
    <xf numFmtId="166" fontId="15" fillId="29" borderId="36" xfId="29" applyNumberFormat="1" applyFill="1" applyBorder="1" applyProtection="1">
      <protection locked="0"/>
    </xf>
    <xf numFmtId="0" fontId="18" fillId="0" borderId="0" xfId="46" applyFont="1" applyAlignment="1" applyProtection="1">
      <alignment vertical="top"/>
      <protection locked="0"/>
    </xf>
    <xf numFmtId="44" fontId="15" fillId="29" borderId="24" xfId="29" applyFill="1" applyBorder="1" applyProtection="1">
      <protection locked="0"/>
    </xf>
    <xf numFmtId="44" fontId="15" fillId="29" borderId="10" xfId="29" applyFill="1" applyBorder="1" applyProtection="1">
      <protection locked="0"/>
    </xf>
    <xf numFmtId="44" fontId="15" fillId="29" borderId="36" xfId="29" applyFill="1" applyBorder="1" applyProtection="1">
      <protection locked="0"/>
    </xf>
    <xf numFmtId="44" fontId="15" fillId="0" borderId="57" xfId="29" applyBorder="1" applyProtection="1">
      <protection locked="0"/>
    </xf>
    <xf numFmtId="0" fontId="15" fillId="0" borderId="0" xfId="46" applyFill="1" applyAlignment="1" applyProtection="1">
      <alignment horizontal="center" vertical="center"/>
      <protection locked="0"/>
    </xf>
    <xf numFmtId="170" fontId="20" fillId="0" borderId="0" xfId="29" applyNumberFormat="1" applyFont="1" applyFill="1" applyBorder="1" applyAlignment="1" applyProtection="1">
      <alignment horizontal="center" vertical="center"/>
      <protection locked="0"/>
    </xf>
    <xf numFmtId="0" fontId="18" fillId="25" borderId="19" xfId="46" quotePrefix="1" applyFont="1" applyFill="1" applyBorder="1" applyAlignment="1" applyProtection="1">
      <alignment horizontal="center" wrapText="1"/>
      <protection locked="0"/>
    </xf>
    <xf numFmtId="0" fontId="18" fillId="25" borderId="64" xfId="46" quotePrefix="1" applyFont="1" applyFill="1" applyBorder="1" applyAlignment="1" applyProtection="1">
      <alignment horizontal="center"/>
      <protection locked="0"/>
    </xf>
    <xf numFmtId="10" fontId="15" fillId="0" borderId="34" xfId="42" applyNumberFormat="1" applyBorder="1" applyProtection="1">
      <protection locked="0"/>
    </xf>
    <xf numFmtId="0" fontId="52" fillId="0" borderId="0" xfId="46" applyFont="1" applyAlignment="1" applyProtection="1">
      <alignment horizontal="center" vertical="center"/>
      <protection locked="0"/>
    </xf>
    <xf numFmtId="166" fontId="0" fillId="29" borderId="19" xfId="29" applyNumberFormat="1" applyFont="1" applyFill="1" applyBorder="1" applyProtection="1">
      <protection locked="0"/>
    </xf>
    <xf numFmtId="0" fontId="22" fillId="0" borderId="0" xfId="46" applyFont="1" applyAlignment="1" applyProtection="1">
      <alignment vertical="center"/>
      <protection locked="0"/>
    </xf>
    <xf numFmtId="0" fontId="18" fillId="0" borderId="0" xfId="46" applyFont="1" applyAlignment="1" applyProtection="1">
      <alignment vertical="center"/>
      <protection locked="0"/>
    </xf>
    <xf numFmtId="0" fontId="20" fillId="0" borderId="0" xfId="46" applyFont="1" applyAlignment="1" applyProtection="1">
      <alignment vertical="top"/>
      <protection locked="0"/>
    </xf>
    <xf numFmtId="0" fontId="18" fillId="0" borderId="0" xfId="46" applyFont="1" applyAlignment="1" applyProtection="1">
      <alignment horizontal="center"/>
      <protection locked="0"/>
    </xf>
    <xf numFmtId="0" fontId="18" fillId="29" borderId="74" xfId="46" applyFont="1" applyFill="1" applyBorder="1" applyAlignment="1" applyProtection="1">
      <alignment horizontal="center"/>
      <protection locked="0"/>
    </xf>
    <xf numFmtId="0" fontId="18" fillId="29" borderId="67" xfId="46" applyFont="1" applyFill="1" applyBorder="1" applyAlignment="1" applyProtection="1">
      <alignment horizontal="center"/>
      <protection locked="0"/>
    </xf>
    <xf numFmtId="0" fontId="18" fillId="29" borderId="53" xfId="46" applyFont="1" applyFill="1" applyBorder="1" applyAlignment="1" applyProtection="1">
      <alignment horizontal="center"/>
      <protection locked="0"/>
    </xf>
    <xf numFmtId="0" fontId="18" fillId="29" borderId="64" xfId="46" applyFont="1" applyFill="1" applyBorder="1" applyAlignment="1" applyProtection="1">
      <alignment horizontal="center"/>
      <protection locked="0"/>
    </xf>
    <xf numFmtId="166" fontId="15" fillId="29" borderId="25" xfId="29" applyNumberFormat="1" applyFont="1" applyFill="1" applyBorder="1" applyProtection="1">
      <protection locked="0"/>
    </xf>
    <xf numFmtId="166" fontId="15" fillId="29" borderId="25" xfId="29" applyNumberFormat="1" applyFill="1" applyBorder="1" applyProtection="1">
      <protection locked="0"/>
    </xf>
    <xf numFmtId="0" fontId="15" fillId="29" borderId="54" xfId="46" applyFill="1" applyBorder="1" applyAlignment="1" applyProtection="1">
      <alignment horizontal="left" wrapText="1"/>
      <protection locked="0"/>
    </xf>
    <xf numFmtId="166" fontId="15" fillId="29" borderId="68" xfId="29" applyNumberFormat="1" applyFill="1" applyBorder="1" applyProtection="1">
      <protection locked="0"/>
    </xf>
    <xf numFmtId="0" fontId="18" fillId="0" borderId="46" xfId="46" applyFont="1" applyBorder="1" applyAlignment="1" applyProtection="1">
      <alignment vertical="top"/>
      <protection locked="0"/>
    </xf>
    <xf numFmtId="166" fontId="15" fillId="0" borderId="60" xfId="29" applyNumberFormat="1" applyBorder="1" applyProtection="1">
      <protection locked="0"/>
    </xf>
    <xf numFmtId="0" fontId="18" fillId="0" borderId="0" xfId="46" applyFont="1" applyBorder="1" applyAlignment="1" applyProtection="1">
      <alignment vertical="top"/>
      <protection locked="0"/>
    </xf>
    <xf numFmtId="166" fontId="15" fillId="0" borderId="0" xfId="29" applyNumberFormat="1" applyBorder="1" applyProtection="1">
      <protection locked="0"/>
    </xf>
    <xf numFmtId="166" fontId="15" fillId="0" borderId="0" xfId="29" applyNumberFormat="1" applyFill="1" applyBorder="1" applyProtection="1">
      <protection locked="0"/>
    </xf>
    <xf numFmtId="166" fontId="15" fillId="0" borderId="0" xfId="29" applyNumberFormat="1" applyFill="1" applyBorder="1" applyAlignment="1" applyProtection="1">
      <protection locked="0"/>
    </xf>
    <xf numFmtId="0" fontId="18" fillId="0" borderId="0" xfId="46" applyFont="1" applyFill="1" applyBorder="1" applyAlignment="1" applyProtection="1">
      <alignment vertical="top"/>
      <protection locked="0"/>
    </xf>
    <xf numFmtId="0" fontId="18" fillId="29" borderId="70" xfId="46" applyFont="1" applyFill="1" applyBorder="1" applyAlignment="1" applyProtection="1">
      <alignment horizontal="center"/>
      <protection locked="0"/>
    </xf>
    <xf numFmtId="0" fontId="18" fillId="29" borderId="43" xfId="46" applyFont="1" applyFill="1" applyBorder="1" applyAlignment="1" applyProtection="1">
      <alignment horizontal="center"/>
      <protection locked="0"/>
    </xf>
    <xf numFmtId="0" fontId="18" fillId="29" borderId="71" xfId="46" applyFont="1" applyFill="1" applyBorder="1" applyAlignment="1" applyProtection="1">
      <alignment horizontal="center"/>
      <protection locked="0"/>
    </xf>
    <xf numFmtId="0" fontId="18" fillId="0" borderId="43" xfId="46" applyFont="1" applyFill="1" applyBorder="1" applyAlignment="1" applyProtection="1">
      <alignment horizontal="center"/>
      <protection locked="0"/>
    </xf>
    <xf numFmtId="0" fontId="18" fillId="0" borderId="40" xfId="46" applyFont="1" applyFill="1" applyBorder="1" applyAlignment="1" applyProtection="1">
      <alignment horizontal="center"/>
      <protection locked="0"/>
    </xf>
    <xf numFmtId="0" fontId="18" fillId="29" borderId="93" xfId="46" applyFont="1" applyFill="1" applyBorder="1" applyAlignment="1" applyProtection="1">
      <alignment horizontal="center"/>
      <protection locked="0"/>
    </xf>
    <xf numFmtId="0" fontId="18" fillId="29" borderId="12" xfId="46" applyFont="1" applyFill="1" applyBorder="1" applyAlignment="1" applyProtection="1">
      <alignment horizontal="center"/>
      <protection locked="0"/>
    </xf>
    <xf numFmtId="0" fontId="18" fillId="0" borderId="93" xfId="46" applyFont="1" applyFill="1" applyBorder="1" applyAlignment="1" applyProtection="1">
      <alignment horizontal="center"/>
      <protection locked="0"/>
    </xf>
    <xf numFmtId="0" fontId="18" fillId="0" borderId="41" xfId="46" applyFont="1" applyBorder="1" applyAlignment="1" applyProtection="1">
      <alignment vertical="top"/>
      <protection locked="0"/>
    </xf>
    <xf numFmtId="166" fontId="15" fillId="0" borderId="61" xfId="29" applyNumberFormat="1" applyBorder="1" applyProtection="1">
      <protection locked="0"/>
    </xf>
    <xf numFmtId="166" fontId="15" fillId="71" borderId="106" xfId="29" applyNumberFormat="1" applyFill="1" applyBorder="1" applyProtection="1">
      <protection locked="0"/>
    </xf>
    <xf numFmtId="166" fontId="15" fillId="71" borderId="41" xfId="29" applyNumberFormat="1" applyFill="1" applyBorder="1" applyProtection="1">
      <protection locked="0"/>
    </xf>
    <xf numFmtId="0" fontId="18" fillId="0" borderId="44" xfId="46" applyFont="1" applyBorder="1" applyAlignment="1" applyProtection="1">
      <alignment vertical="top"/>
      <protection locked="0"/>
    </xf>
    <xf numFmtId="9" fontId="15" fillId="0" borderId="20" xfId="42" applyBorder="1" applyAlignment="1" applyProtection="1">
      <alignment horizontal="right"/>
      <protection locked="0"/>
    </xf>
    <xf numFmtId="166" fontId="15" fillId="0" borderId="44" xfId="29" applyNumberFormat="1" applyBorder="1" applyProtection="1">
      <protection locked="0"/>
    </xf>
    <xf numFmtId="166" fontId="15" fillId="29" borderId="44" xfId="29" applyNumberFormat="1" applyFill="1" applyBorder="1" applyAlignment="1" applyProtection="1">
      <alignment horizontal="left" vertical="top" wrapText="1"/>
      <protection locked="0"/>
    </xf>
    <xf numFmtId="0" fontId="25" fillId="0" borderId="0" xfId="47" applyProtection="1">
      <protection locked="0"/>
    </xf>
    <xf numFmtId="0" fontId="41" fillId="0" borderId="0" xfId="47" applyFont="1" applyProtection="1">
      <protection locked="0"/>
    </xf>
    <xf numFmtId="0" fontId="59" fillId="0" borderId="0" xfId="47" applyFont="1" applyProtection="1">
      <protection locked="0"/>
    </xf>
    <xf numFmtId="0" fontId="64" fillId="0" borderId="0" xfId="47" applyFont="1" applyProtection="1">
      <protection locked="0"/>
    </xf>
    <xf numFmtId="0" fontId="63" fillId="0" borderId="10" xfId="47" applyFont="1" applyBorder="1" applyAlignment="1" applyProtection="1">
      <alignment horizontal="center" wrapText="1"/>
      <protection locked="0"/>
    </xf>
    <xf numFmtId="0" fontId="63" fillId="0" borderId="0" xfId="47" applyFont="1" applyProtection="1">
      <protection locked="0"/>
    </xf>
    <xf numFmtId="0" fontId="63" fillId="0" borderId="10" xfId="47" applyFont="1" applyBorder="1" applyAlignment="1" applyProtection="1">
      <alignment horizontal="center" vertical="center"/>
      <protection locked="0"/>
    </xf>
    <xf numFmtId="0" fontId="63" fillId="0" borderId="10" xfId="47" applyFont="1" applyBorder="1" applyAlignment="1" applyProtection="1">
      <alignment horizontal="center" vertical="center" wrapText="1"/>
      <protection locked="0"/>
    </xf>
    <xf numFmtId="0" fontId="59" fillId="0" borderId="10" xfId="47" applyFont="1" applyBorder="1" applyProtection="1">
      <protection locked="0"/>
    </xf>
    <xf numFmtId="0" fontId="59" fillId="0" borderId="10" xfId="47" applyFont="1" applyBorder="1" applyAlignment="1" applyProtection="1">
      <alignment horizontal="center"/>
      <protection locked="0"/>
    </xf>
    <xf numFmtId="0" fontId="59" fillId="30" borderId="10" xfId="47" applyFont="1" applyFill="1" applyBorder="1" applyProtection="1">
      <protection locked="0"/>
    </xf>
    <xf numFmtId="3" fontId="59" fillId="30" borderId="10" xfId="47" applyNumberFormat="1" applyFont="1" applyFill="1" applyBorder="1" applyAlignment="1" applyProtection="1">
      <protection locked="0"/>
    </xf>
    <xf numFmtId="3" fontId="59" fillId="29" borderId="10" xfId="47" applyNumberFormat="1" applyFont="1" applyFill="1" applyBorder="1" applyAlignment="1" applyProtection="1">
      <protection locked="0"/>
    </xf>
    <xf numFmtId="3" fontId="59" fillId="0" borderId="10" xfId="47" applyNumberFormat="1" applyFont="1" applyFill="1" applyBorder="1" applyAlignment="1" applyProtection="1">
      <protection locked="0"/>
    </xf>
    <xf numFmtId="0" fontId="63" fillId="0" borderId="10" xfId="47" applyFont="1" applyBorder="1" applyProtection="1">
      <protection locked="0"/>
    </xf>
    <xf numFmtId="3" fontId="59" fillId="0" borderId="10" xfId="47" applyNumberFormat="1" applyFont="1" applyBorder="1" applyAlignment="1" applyProtection="1">
      <protection locked="0"/>
    </xf>
    <xf numFmtId="0" fontId="63" fillId="0" borderId="0" xfId="47" applyFont="1" applyAlignment="1" applyProtection="1">
      <alignment wrapText="1"/>
      <protection locked="0"/>
    </xf>
    <xf numFmtId="3" fontId="15" fillId="29" borderId="10" xfId="47" applyNumberFormat="1" applyFont="1" applyFill="1" applyBorder="1" applyAlignment="1" applyProtection="1">
      <protection locked="0"/>
    </xf>
    <xf numFmtId="0" fontId="63" fillId="0" borderId="10" xfId="47" applyFont="1" applyBorder="1" applyAlignment="1" applyProtection="1">
      <alignment wrapText="1"/>
      <protection locked="0"/>
    </xf>
    <xf numFmtId="3" fontId="59" fillId="30" borderId="10" xfId="47" applyNumberFormat="1" applyFont="1" applyFill="1" applyBorder="1" applyProtection="1">
      <protection locked="0"/>
    </xf>
    <xf numFmtId="3" fontId="59" fillId="0" borderId="10" xfId="47" applyNumberFormat="1" applyFont="1" applyBorder="1" applyProtection="1">
      <protection locked="0"/>
    </xf>
    <xf numFmtId="3" fontId="59" fillId="0" borderId="0" xfId="47" applyNumberFormat="1" applyFont="1" applyProtection="1">
      <protection locked="0"/>
    </xf>
    <xf numFmtId="0" fontId="59" fillId="0" borderId="12" xfId="47" applyFont="1" applyBorder="1" applyAlignment="1" applyProtection="1">
      <alignment horizontal="left" wrapText="1" indent="4"/>
      <protection locked="0"/>
    </xf>
    <xf numFmtId="0" fontId="59" fillId="0" borderId="12" xfId="47" applyFont="1" applyBorder="1" applyProtection="1">
      <protection locked="0"/>
    </xf>
    <xf numFmtId="167" fontId="59" fillId="0" borderId="12" xfId="28" applyNumberFormat="1" applyFont="1" applyBorder="1" applyProtection="1">
      <protection locked="0"/>
    </xf>
    <xf numFmtId="0" fontId="63" fillId="0" borderId="0" xfId="47" applyFont="1" applyAlignment="1" applyProtection="1">
      <alignment horizontal="right"/>
      <protection locked="0"/>
    </xf>
    <xf numFmtId="10" fontId="59" fillId="29" borderId="102" xfId="47" applyNumberFormat="1" applyFont="1" applyFill="1" applyBorder="1" applyProtection="1">
      <protection locked="0"/>
    </xf>
    <xf numFmtId="0" fontId="25" fillId="0" borderId="0" xfId="47" applyFont="1" applyProtection="1">
      <protection locked="0"/>
    </xf>
    <xf numFmtId="0" fontId="64" fillId="0" borderId="0" xfId="47" applyFont="1" applyAlignment="1" applyProtection="1">
      <alignment vertical="center"/>
      <protection locked="0"/>
    </xf>
    <xf numFmtId="0" fontId="63" fillId="0" borderId="13" xfId="47" applyFont="1" applyBorder="1" applyProtection="1">
      <protection locked="0"/>
    </xf>
    <xf numFmtId="0" fontId="59" fillId="0" borderId="13" xfId="47" applyFont="1" applyBorder="1" applyProtection="1">
      <protection locked="0"/>
    </xf>
    <xf numFmtId="167" fontId="59" fillId="0" borderId="13" xfId="28" applyNumberFormat="1" applyFont="1" applyBorder="1" applyProtection="1">
      <protection locked="0"/>
    </xf>
    <xf numFmtId="0" fontId="59" fillId="0" borderId="0" xfId="47" applyFont="1" applyAlignment="1" applyProtection="1">
      <alignment wrapText="1"/>
      <protection locked="0"/>
    </xf>
    <xf numFmtId="0" fontId="59" fillId="0" borderId="0" xfId="47" applyFont="1" applyAlignment="1" applyProtection="1">
      <alignment vertical="center"/>
      <protection locked="0"/>
    </xf>
    <xf numFmtId="0" fontId="59" fillId="0" borderId="0" xfId="47" applyFont="1" applyAlignment="1" applyProtection="1">
      <alignment vertical="center" wrapText="1"/>
      <protection locked="0"/>
    </xf>
    <xf numFmtId="0" fontId="59" fillId="0" borderId="10" xfId="47" applyFont="1" applyBorder="1" applyAlignment="1" applyProtection="1">
      <protection locked="0"/>
    </xf>
    <xf numFmtId="0" fontId="65" fillId="30" borderId="10" xfId="47" applyFont="1" applyFill="1" applyBorder="1" applyProtection="1">
      <protection locked="0"/>
    </xf>
    <xf numFmtId="0" fontId="59" fillId="29" borderId="10" xfId="47" applyFont="1" applyFill="1" applyBorder="1" applyProtection="1">
      <protection locked="0"/>
    </xf>
    <xf numFmtId="167" fontId="59" fillId="0" borderId="0" xfId="28" applyNumberFormat="1" applyFont="1" applyProtection="1">
      <protection locked="0"/>
    </xf>
    <xf numFmtId="0" fontId="15" fillId="67" borderId="0" xfId="46" applyFill="1" applyProtection="1">
      <protection locked="0"/>
    </xf>
    <xf numFmtId="0" fontId="97" fillId="0" borderId="0" xfId="47" applyFont="1" applyProtection="1">
      <protection locked="0"/>
    </xf>
    <xf numFmtId="0" fontId="22" fillId="0" borderId="0" xfId="46" applyFont="1" applyAlignment="1" applyProtection="1">
      <protection locked="0"/>
    </xf>
    <xf numFmtId="0" fontId="13" fillId="0" borderId="0" xfId="90" applyProtection="1">
      <protection locked="0"/>
    </xf>
    <xf numFmtId="0" fontId="137" fillId="0" borderId="0" xfId="0" applyFont="1" applyAlignment="1" applyProtection="1">
      <alignment horizontal="left" vertical="top"/>
      <protection locked="0"/>
    </xf>
    <xf numFmtId="0" fontId="5" fillId="0" borderId="0" xfId="90" applyFont="1" applyProtection="1">
      <protection locked="0"/>
    </xf>
    <xf numFmtId="0" fontId="100" fillId="0" borderId="0" xfId="0" applyFont="1" applyAlignment="1" applyProtection="1">
      <protection locked="0"/>
    </xf>
    <xf numFmtId="0" fontId="100" fillId="0" borderId="0" xfId="90" applyFont="1" applyProtection="1">
      <protection locked="0"/>
    </xf>
    <xf numFmtId="0" fontId="8" fillId="0" borderId="0" xfId="90" applyFont="1" applyProtection="1">
      <protection locked="0"/>
    </xf>
    <xf numFmtId="0" fontId="22" fillId="0" borderId="0" xfId="0" applyFont="1" applyProtection="1">
      <protection locked="0"/>
    </xf>
    <xf numFmtId="0" fontId="18" fillId="0" borderId="0" xfId="0" applyFont="1" applyAlignment="1" applyProtection="1">
      <alignment horizontal="center"/>
      <protection locked="0"/>
    </xf>
    <xf numFmtId="0" fontId="21" fillId="0" borderId="0" xfId="0" applyFont="1" applyProtection="1">
      <protection locked="0"/>
    </xf>
    <xf numFmtId="0" fontId="18" fillId="0" borderId="10" xfId="0" applyFont="1" applyBorder="1" applyAlignment="1" applyProtection="1">
      <alignment horizontal="center"/>
      <protection locked="0"/>
    </xf>
    <xf numFmtId="0" fontId="46" fillId="0" borderId="0" xfId="0" applyFont="1" applyProtection="1">
      <protection locked="0"/>
    </xf>
    <xf numFmtId="176" fontId="15" fillId="29" borderId="0" xfId="28" applyNumberFormat="1" applyFont="1" applyFill="1" applyBorder="1" applyAlignment="1" applyProtection="1">
      <alignment horizontal="center"/>
      <protection locked="0"/>
    </xf>
    <xf numFmtId="166" fontId="15" fillId="0" borderId="0" xfId="29" applyNumberFormat="1" applyFont="1" applyProtection="1">
      <protection locked="0"/>
    </xf>
    <xf numFmtId="166" fontId="18" fillId="0" borderId="0" xfId="29" applyNumberFormat="1" applyFont="1" applyProtection="1">
      <protection locked="0"/>
    </xf>
    <xf numFmtId="0" fontId="18" fillId="0" borderId="0" xfId="0" applyFont="1" applyFill="1" applyBorder="1" applyProtection="1">
      <protection locked="0"/>
    </xf>
    <xf numFmtId="166" fontId="18" fillId="0" borderId="0" xfId="0" applyNumberFormat="1" applyFont="1" applyFill="1" applyBorder="1" applyProtection="1">
      <protection locked="0"/>
    </xf>
    <xf numFmtId="0" fontId="0" fillId="71" borderId="0" xfId="0" applyFill="1" applyBorder="1" applyProtection="1">
      <protection locked="0"/>
    </xf>
    <xf numFmtId="0" fontId="115" fillId="71" borderId="0" xfId="0" applyFont="1" applyFill="1" applyBorder="1" applyAlignment="1" applyProtection="1">
      <alignment horizontal="center"/>
      <protection locked="0"/>
    </xf>
    <xf numFmtId="166" fontId="108" fillId="71" borderId="0" xfId="0" applyNumberFormat="1" applyFont="1" applyFill="1" applyBorder="1" applyProtection="1">
      <protection locked="0"/>
    </xf>
    <xf numFmtId="166" fontId="108" fillId="71" borderId="0" xfId="0" applyNumberFormat="1" applyFont="1" applyFill="1" applyBorder="1" applyAlignment="1" applyProtection="1">
      <alignment horizontal="center"/>
      <protection locked="0"/>
    </xf>
    <xf numFmtId="0" fontId="115" fillId="0" borderId="0" xfId="0" applyFont="1" applyFill="1" applyBorder="1" applyAlignment="1" applyProtection="1">
      <alignment horizontal="center"/>
      <protection locked="0"/>
    </xf>
    <xf numFmtId="0" fontId="15" fillId="0" borderId="0" xfId="0" applyFont="1" applyFill="1" applyBorder="1" applyProtection="1">
      <protection locked="0"/>
    </xf>
    <xf numFmtId="9" fontId="15" fillId="0" borderId="0" xfId="0" applyNumberFormat="1" applyFont="1" applyFill="1" applyBorder="1" applyAlignment="1" applyProtection="1">
      <alignment horizontal="center"/>
      <protection locked="0"/>
    </xf>
    <xf numFmtId="166" fontId="15" fillId="0" borderId="0" xfId="29" applyNumberFormat="1" applyFont="1" applyFill="1" applyBorder="1" applyProtection="1">
      <protection locked="0"/>
    </xf>
    <xf numFmtId="166" fontId="15" fillId="0" borderId="0" xfId="29" applyNumberFormat="1" applyFont="1" applyFill="1" applyBorder="1" applyAlignment="1" applyProtection="1">
      <alignment horizontal="center"/>
      <protection locked="0"/>
    </xf>
    <xf numFmtId="9" fontId="15" fillId="0" borderId="0" xfId="28" applyNumberFormat="1" applyFont="1" applyFill="1" applyBorder="1" applyAlignment="1" applyProtection="1">
      <alignment horizontal="center"/>
      <protection locked="0"/>
    </xf>
    <xf numFmtId="166" fontId="15" fillId="0" borderId="0" xfId="0" applyNumberFormat="1" applyFont="1" applyFill="1" applyBorder="1" applyProtection="1">
      <protection locked="0"/>
    </xf>
    <xf numFmtId="9" fontId="15" fillId="0" borderId="0" xfId="42" applyFont="1" applyFill="1" applyBorder="1" applyAlignment="1" applyProtection="1">
      <alignment horizontal="center"/>
      <protection locked="0"/>
    </xf>
    <xf numFmtId="0" fontId="45" fillId="0" borderId="0" xfId="0" applyFont="1" applyFill="1" applyBorder="1" applyAlignment="1" applyProtection="1">
      <alignment horizontal="center"/>
      <protection locked="0"/>
    </xf>
    <xf numFmtId="166" fontId="15" fillId="0" borderId="0" xfId="0" applyNumberFormat="1" applyFont="1" applyFill="1" applyBorder="1" applyAlignment="1" applyProtection="1">
      <alignment horizontal="center"/>
      <protection locked="0"/>
    </xf>
    <xf numFmtId="0" fontId="15" fillId="71" borderId="0" xfId="0" applyFont="1" applyFill="1" applyBorder="1" applyProtection="1">
      <protection locked="0"/>
    </xf>
    <xf numFmtId="0" fontId="45" fillId="71" borderId="0" xfId="0" applyFont="1" applyFill="1" applyBorder="1" applyAlignment="1" applyProtection="1">
      <alignment horizontal="center"/>
      <protection locked="0"/>
    </xf>
    <xf numFmtId="166" fontId="15" fillId="71" borderId="0" xfId="0" applyNumberFormat="1" applyFont="1" applyFill="1" applyBorder="1" applyProtection="1">
      <protection locked="0"/>
    </xf>
    <xf numFmtId="166" fontId="15" fillId="71" borderId="0" xfId="0" applyNumberFormat="1" applyFont="1" applyFill="1" applyBorder="1" applyAlignment="1" applyProtection="1">
      <alignment horizontal="center"/>
      <protection locked="0"/>
    </xf>
    <xf numFmtId="0" fontId="102" fillId="0" borderId="0" xfId="90" applyFont="1" applyProtection="1">
      <protection locked="0"/>
    </xf>
    <xf numFmtId="0" fontId="18" fillId="0" borderId="0" xfId="0" applyFont="1" applyBorder="1" applyAlignment="1" applyProtection="1">
      <protection locked="0"/>
    </xf>
    <xf numFmtId="0" fontId="15" fillId="0" borderId="0" xfId="0" applyFont="1" applyBorder="1" applyProtection="1">
      <protection locked="0"/>
    </xf>
    <xf numFmtId="0" fontId="13" fillId="0" borderId="0" xfId="90" applyBorder="1" applyProtection="1">
      <protection locked="0"/>
    </xf>
    <xf numFmtId="0" fontId="15" fillId="0" borderId="0" xfId="0" applyFont="1" applyAlignment="1" applyProtection="1">
      <alignment horizontal="right"/>
      <protection locked="0"/>
    </xf>
    <xf numFmtId="0" fontId="18" fillId="0" borderId="0" xfId="97" applyFont="1" applyFill="1" applyBorder="1" applyAlignment="1" applyProtection="1">
      <alignment horizontal="center"/>
      <protection locked="0"/>
    </xf>
    <xf numFmtId="9" fontId="18" fillId="0" borderId="0" xfId="97" applyNumberFormat="1" applyFont="1" applyFill="1" applyBorder="1" applyAlignment="1" applyProtection="1">
      <alignment horizontal="center"/>
      <protection locked="0"/>
    </xf>
    <xf numFmtId="9" fontId="15" fillId="0" borderId="0" xfId="0" applyNumberFormat="1" applyFont="1" applyAlignment="1" applyProtection="1">
      <alignment horizontal="center"/>
      <protection locked="0"/>
    </xf>
    <xf numFmtId="166" fontId="15" fillId="67" borderId="0" xfId="29" applyNumberFormat="1" applyFont="1" applyFill="1" applyProtection="1">
      <protection locked="0"/>
    </xf>
    <xf numFmtId="166" fontId="15" fillId="0" borderId="0" xfId="29" applyNumberFormat="1" applyFont="1" applyAlignment="1" applyProtection="1">
      <alignment horizontal="center"/>
      <protection locked="0"/>
    </xf>
    <xf numFmtId="166" fontId="15" fillId="0" borderId="0" xfId="29" applyNumberFormat="1" applyFont="1" applyFill="1" applyProtection="1">
      <protection locked="0"/>
    </xf>
    <xf numFmtId="42" fontId="15" fillId="0" borderId="0" xfId="0" applyNumberFormat="1" applyFont="1" applyAlignment="1" applyProtection="1">
      <alignment horizontal="center"/>
      <protection locked="0"/>
    </xf>
    <xf numFmtId="176" fontId="15" fillId="0" borderId="0" xfId="28" applyNumberFormat="1" applyFont="1" applyFill="1" applyBorder="1" applyAlignment="1" applyProtection="1">
      <alignment horizontal="center"/>
      <protection locked="0"/>
    </xf>
    <xf numFmtId="166" fontId="15" fillId="0" borderId="0" xfId="0" applyNumberFormat="1" applyFont="1" applyFill="1" applyProtection="1">
      <protection locked="0"/>
    </xf>
    <xf numFmtId="42" fontId="15" fillId="0" borderId="0" xfId="0" applyNumberFormat="1" applyFont="1" applyFill="1" applyAlignment="1" applyProtection="1">
      <alignment horizontal="center"/>
      <protection locked="0"/>
    </xf>
    <xf numFmtId="9" fontId="15" fillId="29" borderId="0" xfId="28" applyNumberFormat="1" applyFont="1" applyFill="1" applyBorder="1" applyAlignment="1" applyProtection="1">
      <alignment horizontal="center"/>
      <protection locked="0"/>
    </xf>
    <xf numFmtId="165" fontId="15" fillId="0" borderId="0" xfId="0" applyNumberFormat="1" applyFont="1" applyAlignment="1" applyProtection="1">
      <alignment horizontal="center"/>
      <protection locked="0"/>
    </xf>
    <xf numFmtId="166" fontId="15" fillId="0" borderId="12" xfId="0" applyNumberFormat="1" applyFont="1" applyBorder="1" applyProtection="1">
      <protection locked="0"/>
    </xf>
    <xf numFmtId="166" fontId="15" fillId="0" borderId="12" xfId="29" applyNumberFormat="1" applyFont="1" applyBorder="1" applyAlignment="1" applyProtection="1">
      <alignment horizontal="center"/>
      <protection locked="0"/>
    </xf>
    <xf numFmtId="166" fontId="15" fillId="0" borderId="0" xfId="0" applyNumberFormat="1" applyFont="1" applyProtection="1">
      <protection locked="0"/>
    </xf>
    <xf numFmtId="9" fontId="15" fillId="0" borderId="0" xfId="42" applyFont="1" applyBorder="1" applyAlignment="1" applyProtection="1">
      <alignment horizontal="center"/>
      <protection locked="0"/>
    </xf>
    <xf numFmtId="9" fontId="15" fillId="0" borderId="0" xfId="42" applyFont="1" applyAlignment="1" applyProtection="1">
      <alignment horizontal="center"/>
      <protection locked="0"/>
    </xf>
    <xf numFmtId="44" fontId="15" fillId="0" borderId="0" xfId="29" applyFont="1" applyProtection="1">
      <protection locked="0"/>
    </xf>
    <xf numFmtId="10" fontId="15" fillId="0" borderId="0" xfId="42" applyNumberFormat="1" applyFont="1" applyAlignment="1" applyProtection="1">
      <alignment horizontal="center"/>
      <protection locked="0"/>
    </xf>
    <xf numFmtId="0" fontId="18" fillId="0" borderId="0" xfId="0" applyFont="1" applyAlignment="1" applyProtection="1">
      <alignment horizontal="right"/>
      <protection locked="0"/>
    </xf>
    <xf numFmtId="166" fontId="15" fillId="0" borderId="13" xfId="0" applyNumberFormat="1" applyFont="1" applyBorder="1" applyProtection="1">
      <protection locked="0"/>
    </xf>
    <xf numFmtId="166" fontId="15" fillId="67" borderId="0" xfId="0" applyNumberFormat="1" applyFont="1" applyFill="1" applyProtection="1">
      <protection locked="0"/>
    </xf>
    <xf numFmtId="0" fontId="45" fillId="0" borderId="0" xfId="0" applyFont="1" applyAlignment="1" applyProtection="1">
      <alignment horizontal="center"/>
      <protection locked="0"/>
    </xf>
    <xf numFmtId="166" fontId="15" fillId="0" borderId="0" xfId="0" applyNumberFormat="1" applyFont="1" applyAlignment="1" applyProtection="1">
      <alignment horizontal="center"/>
      <protection locked="0"/>
    </xf>
    <xf numFmtId="166" fontId="15" fillId="0" borderId="105" xfId="0" applyNumberFormat="1" applyFont="1" applyBorder="1" applyProtection="1">
      <protection locked="0"/>
    </xf>
    <xf numFmtId="0" fontId="15" fillId="67" borderId="0" xfId="0" applyFont="1" applyFill="1" applyBorder="1" applyProtection="1">
      <protection locked="0"/>
    </xf>
    <xf numFmtId="166" fontId="15" fillId="0" borderId="0" xfId="0" applyNumberFormat="1" applyFont="1" applyBorder="1" applyProtection="1">
      <protection locked="0"/>
    </xf>
    <xf numFmtId="0" fontId="18" fillId="67" borderId="0" xfId="0" applyFont="1" applyFill="1" applyBorder="1" applyAlignment="1" applyProtection="1">
      <alignment horizontal="center"/>
      <protection locked="0"/>
    </xf>
    <xf numFmtId="166" fontId="15" fillId="0" borderId="13" xfId="0" applyNumberFormat="1" applyFont="1" applyFill="1" applyBorder="1" applyProtection="1">
      <protection locked="0"/>
    </xf>
    <xf numFmtId="167" fontId="15" fillId="67" borderId="0" xfId="28" applyNumberFormat="1" applyFont="1" applyFill="1" applyBorder="1" applyAlignment="1" applyProtection="1">
      <alignment horizontal="center"/>
      <protection locked="0"/>
    </xf>
    <xf numFmtId="0" fontId="15" fillId="0" borderId="0" xfId="0" applyFont="1" applyAlignment="1" applyProtection="1">
      <alignment horizontal="center"/>
      <protection locked="0"/>
    </xf>
    <xf numFmtId="168" fontId="15" fillId="0" borderId="0" xfId="0" applyNumberFormat="1" applyFont="1" applyProtection="1">
      <protection locked="0"/>
    </xf>
    <xf numFmtId="44" fontId="15" fillId="0" borderId="0" xfId="0" applyNumberFormat="1" applyFont="1" applyFill="1" applyBorder="1" applyProtection="1">
      <protection locked="0"/>
    </xf>
    <xf numFmtId="0" fontId="60" fillId="0" borderId="0" xfId="0" applyFont="1" applyFill="1" applyProtection="1">
      <protection locked="0"/>
    </xf>
    <xf numFmtId="0" fontId="15" fillId="0" borderId="0" xfId="0" applyFont="1" applyFill="1" applyBorder="1" applyAlignment="1" applyProtection="1">
      <alignment horizontal="right"/>
      <protection locked="0"/>
    </xf>
    <xf numFmtId="0" fontId="111" fillId="0" borderId="0" xfId="97" applyFont="1" applyFill="1" applyProtection="1">
      <protection locked="0"/>
    </xf>
    <xf numFmtId="0" fontId="15" fillId="0" borderId="0" xfId="97" applyFont="1" applyFill="1" applyBorder="1" applyProtection="1">
      <protection locked="0"/>
    </xf>
    <xf numFmtId="0" fontId="21" fillId="0" borderId="0" xfId="97" applyFont="1" applyFill="1" applyProtection="1">
      <protection locked="0"/>
    </xf>
    <xf numFmtId="0" fontId="18" fillId="0" borderId="0" xfId="97" applyFont="1" applyFill="1" applyProtection="1">
      <protection locked="0"/>
    </xf>
    <xf numFmtId="0" fontId="15" fillId="0" borderId="0" xfId="97" applyFont="1" applyFill="1" applyProtection="1">
      <protection locked="0"/>
    </xf>
    <xf numFmtId="166" fontId="15" fillId="0" borderId="0" xfId="97" applyNumberFormat="1" applyFont="1" applyFill="1" applyBorder="1" applyAlignment="1" applyProtection="1">
      <alignment horizontal="center"/>
      <protection locked="0"/>
    </xf>
    <xf numFmtId="10" fontId="116" fillId="0" borderId="0" xfId="97" applyNumberFormat="1" applyFont="1" applyFill="1" applyBorder="1" applyAlignment="1" applyProtection="1">
      <alignment horizontal="center"/>
      <protection locked="0"/>
    </xf>
    <xf numFmtId="166" fontId="15" fillId="0" borderId="13" xfId="29" applyNumberFormat="1" applyFont="1" applyFill="1" applyBorder="1" applyProtection="1">
      <protection locked="0"/>
    </xf>
    <xf numFmtId="10" fontId="15" fillId="29" borderId="0" xfId="42" applyNumberFormat="1" applyFont="1" applyFill="1" applyAlignment="1" applyProtection="1">
      <alignment horizontal="center"/>
      <protection locked="0"/>
    </xf>
    <xf numFmtId="44" fontId="15" fillId="0" borderId="13" xfId="29" applyNumberFormat="1" applyFont="1" applyFill="1" applyBorder="1" applyProtection="1">
      <protection locked="0"/>
    </xf>
    <xf numFmtId="0" fontId="18" fillId="0" borderId="0" xfId="97" applyFont="1" applyFill="1" applyAlignment="1" applyProtection="1">
      <alignment horizontal="left"/>
      <protection locked="0"/>
    </xf>
    <xf numFmtId="44" fontId="15" fillId="0" borderId="0" xfId="29" applyFont="1" applyFill="1" applyProtection="1">
      <protection locked="0"/>
    </xf>
    <xf numFmtId="44" fontId="15" fillId="0" borderId="0" xfId="29" applyFont="1" applyFill="1" applyBorder="1" applyProtection="1">
      <protection locked="0"/>
    </xf>
    <xf numFmtId="166" fontId="54" fillId="0" borderId="13" xfId="29" applyNumberFormat="1" applyFont="1" applyFill="1" applyBorder="1" applyProtection="1">
      <protection locked="0"/>
    </xf>
    <xf numFmtId="44" fontId="54" fillId="0" borderId="0" xfId="29" applyFont="1" applyFill="1" applyBorder="1" applyProtection="1">
      <protection locked="0"/>
    </xf>
    <xf numFmtId="177" fontId="59" fillId="0" borderId="0" xfId="0" applyNumberFormat="1" applyFont="1" applyBorder="1" applyAlignment="1" applyProtection="1">
      <alignment horizontal="right"/>
      <protection locked="0"/>
    </xf>
    <xf numFmtId="0" fontId="15" fillId="0" borderId="0" xfId="98" applyFont="1" applyFill="1" applyProtection="1">
      <protection locked="0"/>
    </xf>
    <xf numFmtId="0" fontId="18" fillId="0" borderId="88" xfId="29" applyNumberFormat="1" applyFont="1" applyFill="1" applyBorder="1" applyAlignment="1" applyProtection="1">
      <alignment horizontal="center"/>
      <protection locked="0"/>
    </xf>
    <xf numFmtId="0" fontId="18" fillId="0" borderId="44" xfId="29" applyNumberFormat="1" applyFont="1" applyFill="1" applyBorder="1" applyAlignment="1" applyProtection="1">
      <alignment horizontal="center"/>
      <protection locked="0"/>
    </xf>
    <xf numFmtId="0" fontId="108" fillId="0" borderId="0" xfId="0" applyFont="1" applyFill="1" applyProtection="1">
      <protection locked="0"/>
    </xf>
    <xf numFmtId="0" fontId="0" fillId="0" borderId="0" xfId="0" applyFill="1" applyProtection="1">
      <protection locked="0"/>
    </xf>
    <xf numFmtId="0" fontId="21" fillId="0" borderId="0" xfId="98" applyFont="1" applyFill="1" applyProtection="1">
      <protection locked="0"/>
    </xf>
    <xf numFmtId="0" fontId="18" fillId="0" borderId="0" xfId="98" applyFont="1" applyFill="1" applyProtection="1">
      <protection locked="0"/>
    </xf>
    <xf numFmtId="166" fontId="15" fillId="0" borderId="0" xfId="29" applyNumberFormat="1" applyFont="1" applyFill="1" applyAlignment="1" applyProtection="1">
      <alignment horizontal="center"/>
      <protection locked="0"/>
    </xf>
    <xf numFmtId="0" fontId="49" fillId="0" borderId="0" xfId="0" applyFont="1" applyFill="1" applyProtection="1">
      <protection locked="0"/>
    </xf>
    <xf numFmtId="0" fontId="91" fillId="0" borderId="0" xfId="0" applyFont="1" applyFill="1" applyProtection="1">
      <protection locked="0"/>
    </xf>
    <xf numFmtId="9" fontId="15" fillId="67" borderId="0" xfId="42" applyFont="1" applyFill="1" applyBorder="1" applyAlignment="1" applyProtection="1">
      <alignment horizontal="right"/>
      <protection locked="0"/>
    </xf>
    <xf numFmtId="0" fontId="15" fillId="29" borderId="0" xfId="42" applyNumberFormat="1" applyFont="1" applyFill="1" applyAlignment="1" applyProtection="1">
      <alignment horizontal="center"/>
      <protection locked="0"/>
    </xf>
    <xf numFmtId="6" fontId="15" fillId="0" borderId="0" xfId="0" applyNumberFormat="1" applyFont="1" applyFill="1" applyProtection="1">
      <protection locked="0"/>
    </xf>
    <xf numFmtId="166" fontId="15" fillId="0" borderId="105" xfId="29" applyNumberFormat="1" applyFont="1" applyFill="1" applyBorder="1" applyProtection="1">
      <protection locked="0"/>
    </xf>
    <xf numFmtId="0" fontId="15" fillId="29" borderId="0" xfId="29" applyNumberFormat="1" applyFont="1" applyFill="1" applyAlignment="1" applyProtection="1">
      <alignment horizontal="center"/>
      <protection locked="0"/>
    </xf>
    <xf numFmtId="9" fontId="15" fillId="29" borderId="0" xfId="42" applyFont="1" applyFill="1" applyAlignment="1" applyProtection="1">
      <alignment horizontal="center"/>
      <protection locked="0"/>
    </xf>
    <xf numFmtId="9" fontId="15" fillId="0" borderId="0" xfId="28" applyNumberFormat="1" applyFont="1" applyFill="1" applyBorder="1" applyAlignment="1" applyProtection="1">
      <alignment horizontal="left" vertical="center" wrapText="1"/>
      <protection locked="0"/>
    </xf>
    <xf numFmtId="176" fontId="108" fillId="0" borderId="0" xfId="28" applyNumberFormat="1" applyFont="1" applyFill="1" applyBorder="1" applyAlignment="1" applyProtection="1">
      <alignment horizontal="center"/>
      <protection locked="0"/>
    </xf>
    <xf numFmtId="0" fontId="18" fillId="0" borderId="0" xfId="0" applyFont="1" applyFill="1" applyBorder="1" applyAlignment="1" applyProtection="1">
      <protection locked="0"/>
    </xf>
    <xf numFmtId="0" fontId="45" fillId="0" borderId="0" xfId="0" applyFont="1" applyFill="1" applyAlignment="1" applyProtection="1">
      <alignment horizontal="center"/>
      <protection locked="0"/>
    </xf>
    <xf numFmtId="0" fontId="15" fillId="0" borderId="0" xfId="0" applyFont="1" applyFill="1" applyAlignment="1" applyProtection="1">
      <alignment horizontal="right"/>
      <protection locked="0"/>
    </xf>
    <xf numFmtId="44" fontId="15" fillId="0" borderId="0" xfId="29" applyFont="1" applyBorder="1" applyProtection="1">
      <protection locked="0"/>
    </xf>
    <xf numFmtId="10" fontId="15" fillId="29" borderId="0" xfId="28" applyNumberFormat="1" applyFont="1" applyFill="1" applyBorder="1" applyAlignment="1" applyProtection="1">
      <alignment horizontal="center"/>
      <protection locked="0"/>
    </xf>
    <xf numFmtId="166" fontId="18" fillId="67" borderId="0" xfId="0" applyNumberFormat="1" applyFont="1" applyFill="1" applyBorder="1" applyProtection="1">
      <protection locked="0"/>
    </xf>
    <xf numFmtId="166" fontId="15" fillId="0" borderId="0" xfId="29" applyNumberFormat="1" applyFont="1" applyBorder="1" applyProtection="1">
      <protection locked="0"/>
    </xf>
    <xf numFmtId="0" fontId="108" fillId="0" borderId="0" xfId="0" applyFont="1" applyFill="1" applyBorder="1" applyAlignment="1" applyProtection="1">
      <alignment horizontal="right"/>
      <protection locked="0"/>
    </xf>
    <xf numFmtId="10" fontId="15" fillId="0" borderId="0" xfId="42" applyNumberFormat="1" applyFont="1" applyFill="1" applyAlignment="1" applyProtection="1">
      <alignment horizontal="center"/>
      <protection locked="0"/>
    </xf>
    <xf numFmtId="0" fontId="15" fillId="0" borderId="0" xfId="29" applyNumberFormat="1" applyFont="1" applyFill="1" applyAlignment="1" applyProtection="1">
      <alignment horizontal="center"/>
      <protection locked="0"/>
    </xf>
    <xf numFmtId="0" fontId="18" fillId="0" borderId="22" xfId="29" applyNumberFormat="1" applyFont="1" applyFill="1" applyBorder="1" applyAlignment="1" applyProtection="1">
      <alignment horizontal="center"/>
      <protection locked="0"/>
    </xf>
    <xf numFmtId="166" fontId="116" fillId="0" borderId="0" xfId="29" applyNumberFormat="1" applyFont="1" applyFill="1" applyBorder="1" applyProtection="1">
      <protection locked="0"/>
    </xf>
    <xf numFmtId="178" fontId="15" fillId="0" borderId="0" xfId="29" applyNumberFormat="1" applyFont="1" applyFill="1" applyBorder="1" applyAlignment="1" applyProtection="1">
      <alignment horizontal="center"/>
      <protection locked="0"/>
    </xf>
    <xf numFmtId="199" fontId="15" fillId="0" borderId="0" xfId="29" applyNumberFormat="1" applyFont="1" applyFill="1" applyProtection="1">
      <protection locked="0"/>
    </xf>
    <xf numFmtId="0" fontId="52" fillId="0" borderId="53" xfId="93" applyFont="1" applyBorder="1" applyAlignment="1" applyProtection="1">
      <alignment horizontal="center" vertical="center"/>
      <protection locked="0"/>
    </xf>
    <xf numFmtId="0" fontId="52" fillId="0" borderId="42" xfId="96" applyFont="1" applyBorder="1" applyAlignment="1" applyProtection="1">
      <alignment horizontal="center"/>
      <protection locked="0"/>
    </xf>
    <xf numFmtId="0" fontId="52" fillId="0" borderId="136" xfId="96" applyFont="1" applyBorder="1" applyAlignment="1" applyProtection="1">
      <alignment horizontal="center"/>
      <protection locked="0"/>
    </xf>
    <xf numFmtId="0" fontId="52" fillId="0" borderId="130" xfId="93" applyFont="1" applyBorder="1" applyProtection="1">
      <protection locked="0"/>
    </xf>
    <xf numFmtId="175" fontId="15" fillId="29" borderId="54" xfId="93" applyNumberFormat="1" applyFont="1" applyFill="1" applyBorder="1" applyProtection="1">
      <protection locked="0"/>
    </xf>
    <xf numFmtId="175" fontId="15" fillId="29" borderId="130" xfId="93" applyNumberFormat="1" applyFont="1" applyFill="1" applyBorder="1" applyAlignment="1" applyProtection="1">
      <alignment horizontal="center"/>
      <protection locked="0"/>
    </xf>
    <xf numFmtId="175" fontId="15" fillId="29" borderId="13" xfId="93" applyNumberFormat="1" applyFont="1" applyFill="1" applyBorder="1" applyProtection="1">
      <protection locked="0"/>
    </xf>
    <xf numFmtId="0" fontId="52" fillId="0" borderId="104" xfId="93" applyFont="1" applyBorder="1" applyProtection="1">
      <protection locked="0"/>
    </xf>
    <xf numFmtId="175" fontId="15" fillId="29" borderId="92" xfId="93" applyNumberFormat="1" applyFont="1" applyFill="1" applyBorder="1" applyProtection="1">
      <protection locked="0"/>
    </xf>
    <xf numFmtId="175" fontId="15" fillId="29" borderId="104" xfId="93" applyNumberFormat="1" applyFont="1" applyFill="1" applyBorder="1" applyAlignment="1" applyProtection="1">
      <alignment horizontal="center"/>
      <protection locked="0"/>
    </xf>
    <xf numFmtId="175" fontId="15" fillId="29" borderId="105" xfId="93" applyNumberFormat="1" applyFont="1" applyFill="1" applyBorder="1" applyProtection="1">
      <protection locked="0"/>
    </xf>
    <xf numFmtId="0" fontId="52" fillId="0" borderId="31" xfId="93" applyFont="1" applyBorder="1" applyProtection="1">
      <protection locked="0"/>
    </xf>
    <xf numFmtId="175" fontId="12" fillId="0" borderId="138" xfId="93" applyNumberFormat="1" applyBorder="1" applyProtection="1">
      <protection locked="0"/>
    </xf>
    <xf numFmtId="0" fontId="52" fillId="0" borderId="22" xfId="93" applyFont="1" applyBorder="1" applyProtection="1">
      <protection locked="0"/>
    </xf>
    <xf numFmtId="0" fontId="52" fillId="0" borderId="44" xfId="93" applyFont="1" applyBorder="1" applyAlignment="1" applyProtection="1">
      <alignment horizontal="center" vertical="center" wrapText="1"/>
      <protection locked="0"/>
    </xf>
    <xf numFmtId="0" fontId="52" fillId="0" borderId="44" xfId="93" applyFont="1" applyBorder="1" applyAlignment="1" applyProtection="1">
      <alignment horizontal="center" vertical="center"/>
      <protection locked="0"/>
    </xf>
    <xf numFmtId="0" fontId="52" fillId="0" borderId="44" xfId="96" applyFont="1" applyBorder="1" applyAlignment="1" applyProtection="1">
      <alignment horizontal="center" vertical="center"/>
      <protection locked="0"/>
    </xf>
    <xf numFmtId="0" fontId="52" fillId="0" borderId="22" xfId="96" applyFont="1" applyBorder="1" applyAlignment="1" applyProtection="1">
      <alignment horizontal="center" vertical="center"/>
      <protection locked="0"/>
    </xf>
    <xf numFmtId="165" fontId="13" fillId="0" borderId="24" xfId="90" applyNumberFormat="1" applyBorder="1" applyAlignment="1" applyProtection="1">
      <alignment horizontal="center" vertical="center"/>
      <protection locked="0"/>
    </xf>
    <xf numFmtId="165" fontId="13" fillId="0" borderId="10" xfId="90" applyNumberFormat="1" applyBorder="1" applyAlignment="1" applyProtection="1">
      <alignment horizontal="center" vertical="center"/>
      <protection locked="0"/>
    </xf>
    <xf numFmtId="165" fontId="13" fillId="0" borderId="26" xfId="90" applyNumberFormat="1" applyBorder="1" applyAlignment="1" applyProtection="1">
      <alignment horizontal="center" vertical="center"/>
      <protection locked="0"/>
    </xf>
    <xf numFmtId="0" fontId="18" fillId="0" borderId="0" xfId="0" applyFont="1" applyAlignment="1" applyProtection="1">
      <alignment horizontal="left"/>
      <protection locked="0"/>
    </xf>
    <xf numFmtId="0" fontId="18" fillId="0" borderId="32" xfId="0" applyFont="1" applyBorder="1" applyProtection="1">
      <protection locked="0"/>
    </xf>
    <xf numFmtId="0" fontId="18" fillId="0" borderId="24" xfId="0" applyFont="1" applyBorder="1" applyProtection="1">
      <protection locked="0"/>
    </xf>
    <xf numFmtId="0" fontId="18" fillId="25" borderId="62" xfId="0" applyFont="1" applyFill="1" applyBorder="1" applyAlignment="1" applyProtection="1">
      <alignment horizontal="center"/>
      <protection locked="0"/>
    </xf>
    <xf numFmtId="0" fontId="18" fillId="0" borderId="76" xfId="0" applyFont="1" applyBorder="1" applyProtection="1">
      <protection locked="0"/>
    </xf>
    <xf numFmtId="0" fontId="18" fillId="0" borderId="19" xfId="0" applyFont="1" applyBorder="1" applyProtection="1">
      <protection locked="0"/>
    </xf>
    <xf numFmtId="0" fontId="18" fillId="25" borderId="19" xfId="0" applyFont="1" applyFill="1" applyBorder="1" applyAlignment="1" applyProtection="1">
      <alignment horizontal="center"/>
      <protection locked="0"/>
    </xf>
    <xf numFmtId="0" fontId="18" fillId="25" borderId="77" xfId="0" applyFont="1" applyFill="1" applyBorder="1" applyAlignment="1" applyProtection="1">
      <alignment horizontal="center"/>
      <protection locked="0"/>
    </xf>
    <xf numFmtId="0" fontId="18" fillId="25" borderId="64" xfId="0" applyFont="1" applyFill="1" applyBorder="1" applyAlignment="1" applyProtection="1">
      <alignment horizontal="center"/>
      <protection locked="0"/>
    </xf>
    <xf numFmtId="0" fontId="46" fillId="0" borderId="19" xfId="0" applyFont="1" applyBorder="1" applyProtection="1">
      <protection locked="0"/>
    </xf>
    <xf numFmtId="0" fontId="18" fillId="28" borderId="77" xfId="0" applyFont="1" applyFill="1" applyBorder="1" applyAlignment="1" applyProtection="1">
      <alignment horizontal="center"/>
      <protection locked="0"/>
    </xf>
    <xf numFmtId="0" fontId="18" fillId="28" borderId="64" xfId="0" applyFont="1" applyFill="1" applyBorder="1" applyAlignment="1" applyProtection="1">
      <alignment horizontal="center"/>
      <protection locked="0"/>
    </xf>
    <xf numFmtId="0" fontId="18" fillId="0" borderId="27" xfId="0" applyFont="1" applyBorder="1" applyAlignment="1" applyProtection="1">
      <alignment horizontal="center"/>
      <protection locked="0"/>
    </xf>
    <xf numFmtId="0" fontId="18" fillId="0" borderId="10" xfId="0" applyFont="1" applyBorder="1" applyProtection="1">
      <protection locked="0"/>
    </xf>
    <xf numFmtId="166" fontId="0" fillId="29" borderId="75" xfId="29" applyNumberFormat="1" applyFont="1" applyFill="1" applyBorder="1" applyProtection="1">
      <protection locked="0"/>
    </xf>
    <xf numFmtId="166" fontId="0" fillId="29" borderId="25" xfId="29" applyNumberFormat="1" applyFont="1" applyFill="1" applyBorder="1" applyProtection="1">
      <protection locked="0"/>
    </xf>
    <xf numFmtId="0" fontId="38" fillId="29" borderId="27" xfId="0" applyFont="1" applyFill="1" applyBorder="1" applyAlignment="1" applyProtection="1">
      <alignment horizontal="center"/>
      <protection locked="0"/>
    </xf>
    <xf numFmtId="0" fontId="38" fillId="29" borderId="10" xfId="0" applyFont="1" applyFill="1" applyBorder="1" applyProtection="1">
      <protection locked="0"/>
    </xf>
    <xf numFmtId="166" fontId="0" fillId="0" borderId="10" xfId="0" applyNumberFormat="1" applyFill="1" applyBorder="1" applyProtection="1">
      <protection locked="0"/>
    </xf>
    <xf numFmtId="166" fontId="0" fillId="0" borderId="10" xfId="0" applyNumberFormat="1" applyBorder="1" applyProtection="1">
      <protection locked="0"/>
    </xf>
    <xf numFmtId="166" fontId="0" fillId="0" borderId="25" xfId="0" applyNumberFormat="1" applyBorder="1" applyProtection="1">
      <protection locked="0"/>
    </xf>
    <xf numFmtId="0" fontId="0" fillId="29" borderId="10" xfId="0" applyFill="1" applyBorder="1" applyProtection="1">
      <protection locked="0"/>
    </xf>
    <xf numFmtId="0" fontId="0" fillId="29" borderId="25" xfId="0" applyFill="1" applyBorder="1" applyProtection="1">
      <protection locked="0"/>
    </xf>
    <xf numFmtId="166" fontId="0" fillId="0" borderId="35" xfId="29" applyNumberFormat="1" applyFont="1" applyBorder="1" applyProtection="1">
      <protection locked="0"/>
    </xf>
    <xf numFmtId="0" fontId="50" fillId="0" borderId="0" xfId="0" applyFont="1" applyProtection="1">
      <protection locked="0"/>
    </xf>
    <xf numFmtId="0" fontId="51" fillId="0" borderId="0" xfId="0" applyFont="1" applyProtection="1">
      <protection locked="0"/>
    </xf>
    <xf numFmtId="0" fontId="0" fillId="0" borderId="49" xfId="0" applyBorder="1" applyProtection="1">
      <protection locked="0"/>
    </xf>
    <xf numFmtId="0" fontId="0" fillId="0" borderId="50" xfId="0" applyBorder="1" applyProtection="1">
      <protection locked="0"/>
    </xf>
    <xf numFmtId="0" fontId="18" fillId="0" borderId="62" xfId="0" applyFont="1" applyFill="1" applyBorder="1" applyAlignment="1" applyProtection="1">
      <alignment horizontal="center"/>
      <protection locked="0"/>
    </xf>
    <xf numFmtId="0" fontId="0" fillId="0" borderId="53" xfId="0" applyBorder="1" applyProtection="1">
      <protection locked="0"/>
    </xf>
    <xf numFmtId="0" fontId="0" fillId="0" borderId="16" xfId="0" applyBorder="1" applyProtection="1">
      <protection locked="0"/>
    </xf>
    <xf numFmtId="0" fontId="18" fillId="0" borderId="10" xfId="0" applyFont="1" applyFill="1" applyBorder="1" applyAlignment="1" applyProtection="1">
      <alignment horizontal="center"/>
      <protection locked="0"/>
    </xf>
    <xf numFmtId="0" fontId="18" fillId="0" borderId="25" xfId="0" applyFont="1" applyFill="1" applyBorder="1" applyAlignment="1" applyProtection="1">
      <alignment horizontal="center"/>
      <protection locked="0"/>
    </xf>
    <xf numFmtId="0" fontId="18" fillId="0" borderId="11" xfId="0" applyFont="1" applyFill="1" applyBorder="1" applyAlignment="1" applyProtection="1">
      <alignment horizontal="center"/>
      <protection locked="0"/>
    </xf>
    <xf numFmtId="166" fontId="0" fillId="29" borderId="13" xfId="29" applyNumberFormat="1" applyFont="1" applyFill="1" applyBorder="1" applyProtection="1">
      <protection locked="0"/>
    </xf>
    <xf numFmtId="166" fontId="0" fillId="29" borderId="11" xfId="29" applyNumberFormat="1" applyFont="1" applyFill="1" applyBorder="1" applyProtection="1">
      <protection locked="0"/>
    </xf>
    <xf numFmtId="166" fontId="0" fillId="29" borderId="0" xfId="29" applyNumberFormat="1" applyFont="1" applyFill="1" applyBorder="1" applyProtection="1">
      <protection locked="0"/>
    </xf>
    <xf numFmtId="166" fontId="0" fillId="29" borderId="67" xfId="29" applyNumberFormat="1" applyFont="1" applyFill="1" applyBorder="1" applyProtection="1">
      <protection locked="0"/>
    </xf>
    <xf numFmtId="166" fontId="0" fillId="29" borderId="14" xfId="29" applyNumberFormat="1" applyFont="1" applyFill="1" applyBorder="1" applyProtection="1">
      <protection locked="0"/>
    </xf>
    <xf numFmtId="166" fontId="0" fillId="29" borderId="37" xfId="29" applyNumberFormat="1" applyFont="1" applyFill="1" applyBorder="1" applyProtection="1">
      <protection locked="0"/>
    </xf>
    <xf numFmtId="166" fontId="0" fillId="0" borderId="31" xfId="29" applyNumberFormat="1" applyFont="1" applyBorder="1" applyProtection="1">
      <protection locked="0"/>
    </xf>
    <xf numFmtId="0" fontId="0" fillId="0" borderId="0" xfId="0" applyAlignment="1" applyProtection="1">
      <alignment horizontal="center" vertical="center"/>
      <protection locked="0"/>
    </xf>
    <xf numFmtId="0" fontId="18" fillId="0" borderId="0" xfId="46" applyFont="1" applyAlignment="1" applyProtection="1">
      <alignment horizontal="left"/>
      <protection locked="0"/>
    </xf>
    <xf numFmtId="0" fontId="10" fillId="0" borderId="0" xfId="134" applyProtection="1">
      <protection locked="0"/>
    </xf>
    <xf numFmtId="0" fontId="17" fillId="0" borderId="102" xfId="46" applyFont="1" applyFill="1" applyBorder="1" applyAlignment="1" applyProtection="1">
      <alignment horizontal="right" vertical="top"/>
      <protection locked="0"/>
    </xf>
    <xf numFmtId="0" fontId="17" fillId="0" borderId="0" xfId="46" applyFont="1" applyFill="1" applyAlignment="1" applyProtection="1">
      <alignment horizontal="right" vertical="top"/>
      <protection locked="0"/>
    </xf>
    <xf numFmtId="0" fontId="9" fillId="0" borderId="0" xfId="134" applyFont="1" applyProtection="1">
      <protection locked="0"/>
    </xf>
    <xf numFmtId="49" fontId="100" fillId="0" borderId="0" xfId="135" applyNumberFormat="1" applyFont="1" applyBorder="1" applyAlignment="1" applyProtection="1">
      <alignment vertical="top" wrapText="1"/>
      <protection locked="0"/>
    </xf>
    <xf numFmtId="49" fontId="9" fillId="0" borderId="0" xfId="134" applyNumberFormat="1" applyFont="1" applyAlignment="1" applyProtection="1">
      <alignment vertical="top" wrapText="1"/>
      <protection locked="0"/>
    </xf>
    <xf numFmtId="49" fontId="99" fillId="0" borderId="0" xfId="135" applyNumberFormat="1" applyFont="1" applyBorder="1" applyAlignment="1" applyProtection="1">
      <alignment vertical="top" wrapText="1"/>
      <protection locked="0"/>
    </xf>
    <xf numFmtId="0" fontId="82" fillId="66" borderId="48" xfId="134" applyFont="1" applyFill="1" applyBorder="1" applyAlignment="1" applyProtection="1">
      <alignment horizontal="right"/>
      <protection locked="0"/>
    </xf>
    <xf numFmtId="0" fontId="82" fillId="66" borderId="0" xfId="134" applyFont="1" applyFill="1" applyBorder="1" applyAlignment="1" applyProtection="1">
      <alignment horizontal="right"/>
      <protection locked="0"/>
    </xf>
    <xf numFmtId="0" fontId="82" fillId="66" borderId="29" xfId="134" applyFont="1" applyFill="1" applyBorder="1" applyAlignment="1" applyProtection="1">
      <alignment horizontal="right"/>
      <protection locked="0"/>
    </xf>
    <xf numFmtId="0" fontId="82" fillId="0" borderId="48" xfId="134" applyFont="1" applyBorder="1" applyProtection="1">
      <protection locked="0"/>
    </xf>
    <xf numFmtId="0" fontId="82" fillId="0" borderId="190" xfId="134" applyFont="1" applyBorder="1" applyProtection="1">
      <protection locked="0"/>
    </xf>
    <xf numFmtId="0" fontId="9" fillId="0" borderId="48" xfId="134" applyFont="1" applyBorder="1" applyProtection="1">
      <protection locked="0"/>
    </xf>
    <xf numFmtId="10" fontId="100" fillId="0" borderId="0" xfId="136" applyNumberFormat="1" applyFont="1" applyBorder="1" applyProtection="1">
      <protection locked="0"/>
    </xf>
    <xf numFmtId="10" fontId="100" fillId="0" borderId="124" xfId="136" applyNumberFormat="1" applyFont="1" applyBorder="1" applyProtection="1">
      <protection locked="0"/>
    </xf>
    <xf numFmtId="10" fontId="100" fillId="0" borderId="29" xfId="136" applyNumberFormat="1" applyFont="1" applyBorder="1" applyProtection="1">
      <protection locked="0"/>
    </xf>
    <xf numFmtId="0" fontId="10" fillId="0" borderId="48" xfId="134" applyBorder="1" applyProtection="1">
      <protection locked="0"/>
    </xf>
    <xf numFmtId="0" fontId="10" fillId="0" borderId="190" xfId="134" applyBorder="1" applyProtection="1">
      <protection locked="0"/>
    </xf>
    <xf numFmtId="9" fontId="0" fillId="68" borderId="0" xfId="136" applyFont="1" applyFill="1" applyProtection="1">
      <protection locked="0"/>
    </xf>
    <xf numFmtId="9" fontId="10" fillId="68" borderId="0" xfId="134" applyNumberFormat="1" applyFill="1" applyProtection="1">
      <protection locked="0"/>
    </xf>
    <xf numFmtId="9" fontId="10" fillId="0" borderId="0" xfId="134" applyNumberFormat="1" applyProtection="1">
      <protection locked="0"/>
    </xf>
    <xf numFmtId="0" fontId="9" fillId="0" borderId="0" xfId="134" applyFont="1" applyBorder="1" applyProtection="1">
      <protection locked="0"/>
    </xf>
    <xf numFmtId="0" fontId="9" fillId="0" borderId="52" xfId="134" applyFont="1" applyBorder="1" applyProtection="1">
      <protection locked="0"/>
    </xf>
    <xf numFmtId="0" fontId="9" fillId="0" borderId="121" xfId="134" applyFont="1" applyBorder="1" applyProtection="1">
      <protection locked="0"/>
    </xf>
    <xf numFmtId="10" fontId="100" fillId="0" borderId="125" xfId="136" applyNumberFormat="1" applyFont="1" applyBorder="1" applyProtection="1">
      <protection locked="0"/>
    </xf>
    <xf numFmtId="10" fontId="100" fillId="0" borderId="56" xfId="136" applyNumberFormat="1" applyFont="1" applyBorder="1" applyProtection="1">
      <protection locked="0"/>
    </xf>
    <xf numFmtId="10" fontId="82" fillId="0" borderId="0" xfId="134" applyNumberFormat="1" applyFont="1" applyBorder="1" applyProtection="1">
      <protection locked="0"/>
    </xf>
    <xf numFmtId="10" fontId="82" fillId="0" borderId="124" xfId="134" applyNumberFormat="1" applyFont="1" applyBorder="1" applyProtection="1">
      <protection locked="0"/>
    </xf>
    <xf numFmtId="10" fontId="82" fillId="0" borderId="29" xfId="134" applyNumberFormat="1" applyFont="1" applyBorder="1" applyProtection="1">
      <protection locked="0"/>
    </xf>
    <xf numFmtId="43" fontId="100" fillId="29" borderId="0" xfId="135" applyNumberFormat="1" applyFont="1" applyFill="1" applyBorder="1" applyProtection="1">
      <protection locked="0"/>
    </xf>
    <xf numFmtId="43" fontId="100" fillId="29" borderId="124" xfId="135" applyNumberFormat="1" applyFont="1" applyFill="1" applyBorder="1" applyProtection="1">
      <protection locked="0"/>
    </xf>
    <xf numFmtId="43" fontId="100" fillId="0" borderId="29" xfId="135" applyNumberFormat="1" applyFont="1" applyBorder="1" applyProtection="1">
      <protection locked="0"/>
    </xf>
    <xf numFmtId="43" fontId="100" fillId="0" borderId="0" xfId="135" applyNumberFormat="1" applyFont="1" applyBorder="1" applyProtection="1">
      <protection locked="0"/>
    </xf>
    <xf numFmtId="43" fontId="100" fillId="29" borderId="129" xfId="135" applyNumberFormat="1" applyFont="1" applyFill="1" applyBorder="1" applyProtection="1">
      <protection locked="0"/>
    </xf>
    <xf numFmtId="43" fontId="100" fillId="29" borderId="128" xfId="135" applyNumberFormat="1" applyFont="1" applyFill="1" applyBorder="1" applyProtection="1">
      <protection locked="0"/>
    </xf>
    <xf numFmtId="43" fontId="100" fillId="0" borderId="121" xfId="135" applyNumberFormat="1" applyFont="1" applyBorder="1" applyProtection="1">
      <protection locked="0"/>
    </xf>
    <xf numFmtId="43" fontId="100" fillId="29" borderId="125" xfId="135" applyNumberFormat="1" applyFont="1" applyFill="1" applyBorder="1" applyProtection="1">
      <protection locked="0"/>
    </xf>
    <xf numFmtId="43" fontId="100" fillId="0" borderId="56" xfId="135" applyNumberFormat="1" applyFont="1" applyBorder="1" applyProtection="1">
      <protection locked="0"/>
    </xf>
    <xf numFmtId="0" fontId="10" fillId="29" borderId="48" xfId="134" applyFill="1" applyBorder="1" applyProtection="1">
      <protection locked="0"/>
    </xf>
    <xf numFmtId="0" fontId="10" fillId="29" borderId="190" xfId="134" applyFill="1" applyBorder="1" applyProtection="1">
      <protection locked="0"/>
    </xf>
    <xf numFmtId="0" fontId="82" fillId="0" borderId="46" xfId="134" applyFont="1" applyBorder="1" applyProtection="1">
      <protection locked="0"/>
    </xf>
    <xf numFmtId="43" fontId="82" fillId="0" borderId="30" xfId="135" applyNumberFormat="1" applyFont="1" applyBorder="1" applyProtection="1">
      <protection locked="0"/>
    </xf>
    <xf numFmtId="43" fontId="82" fillId="0" borderId="126" xfId="135" applyNumberFormat="1" applyFont="1" applyBorder="1" applyProtection="1">
      <protection locked="0"/>
    </xf>
    <xf numFmtId="43" fontId="82" fillId="0" borderId="31" xfId="135" applyNumberFormat="1" applyFont="1" applyBorder="1" applyProtection="1">
      <protection locked="0"/>
    </xf>
    <xf numFmtId="0" fontId="10" fillId="0" borderId="46" xfId="134" applyBorder="1" applyProtection="1">
      <protection locked="0"/>
    </xf>
    <xf numFmtId="0" fontId="10" fillId="0" borderId="191" xfId="134" applyBorder="1" applyProtection="1">
      <protection locked="0"/>
    </xf>
    <xf numFmtId="0" fontId="82" fillId="0" borderId="0" xfId="134" applyFont="1" applyBorder="1" applyProtection="1">
      <protection locked="0"/>
    </xf>
    <xf numFmtId="43" fontId="82" fillId="0" borderId="0" xfId="135" applyNumberFormat="1" applyFont="1" applyBorder="1" applyProtection="1">
      <protection locked="0"/>
    </xf>
    <xf numFmtId="0" fontId="82" fillId="72" borderId="48" xfId="134" applyFont="1" applyFill="1" applyBorder="1" applyAlignment="1" applyProtection="1">
      <alignment horizontal="right"/>
      <protection locked="0"/>
    </xf>
    <xf numFmtId="0" fontId="82" fillId="72" borderId="0" xfId="134" applyFont="1" applyFill="1" applyBorder="1" applyAlignment="1" applyProtection="1">
      <alignment horizontal="right"/>
      <protection locked="0"/>
    </xf>
    <xf numFmtId="0" fontId="82" fillId="72" borderId="29" xfId="134" applyFont="1" applyFill="1" applyBorder="1" applyAlignment="1" applyProtection="1">
      <alignment horizontal="right"/>
      <protection locked="0"/>
    </xf>
    <xf numFmtId="10" fontId="100" fillId="71" borderId="0" xfId="136" applyNumberFormat="1" applyFont="1" applyFill="1" applyBorder="1" applyProtection="1">
      <protection locked="0"/>
    </xf>
    <xf numFmtId="10" fontId="100" fillId="71" borderId="124" xfId="136" applyNumberFormat="1" applyFont="1" applyFill="1" applyBorder="1" applyProtection="1">
      <protection locked="0"/>
    </xf>
    <xf numFmtId="0" fontId="82" fillId="0" borderId="182" xfId="134" applyFont="1" applyBorder="1" applyProtection="1">
      <protection locked="0"/>
    </xf>
    <xf numFmtId="10" fontId="82" fillId="0" borderId="183" xfId="134" applyNumberFormat="1" applyFont="1" applyBorder="1" applyProtection="1">
      <protection locked="0"/>
    </xf>
    <xf numFmtId="10" fontId="82" fillId="0" borderId="184" xfId="134" applyNumberFormat="1" applyFont="1" applyBorder="1" applyProtection="1">
      <protection locked="0"/>
    </xf>
    <xf numFmtId="10" fontId="82" fillId="0" borderId="185" xfId="134" applyNumberFormat="1" applyFont="1" applyBorder="1" applyProtection="1">
      <protection locked="0"/>
    </xf>
    <xf numFmtId="43" fontId="100" fillId="71" borderId="0" xfId="135" applyNumberFormat="1" applyFont="1" applyFill="1" applyBorder="1" applyProtection="1">
      <protection locked="0"/>
    </xf>
    <xf numFmtId="43" fontId="100" fillId="71" borderId="124" xfId="135" applyNumberFormat="1" applyFont="1" applyFill="1" applyBorder="1" applyProtection="1">
      <protection locked="0"/>
    </xf>
    <xf numFmtId="43" fontId="100" fillId="71" borderId="129" xfId="135" applyNumberFormat="1" applyFont="1" applyFill="1" applyBorder="1" applyProtection="1">
      <protection locked="0"/>
    </xf>
    <xf numFmtId="43" fontId="100" fillId="71" borderId="128" xfId="135" applyNumberFormat="1" applyFont="1" applyFill="1" applyBorder="1" applyProtection="1">
      <protection locked="0"/>
    </xf>
    <xf numFmtId="43" fontId="100" fillId="0" borderId="0" xfId="135" applyNumberFormat="1" applyFont="1" applyFill="1" applyBorder="1" applyProtection="1">
      <protection locked="0"/>
    </xf>
    <xf numFmtId="0" fontId="9" fillId="0" borderId="0" xfId="134" applyFont="1" applyBorder="1" applyAlignment="1" applyProtection="1">
      <alignment vertical="top" wrapText="1"/>
      <protection locked="0"/>
    </xf>
    <xf numFmtId="0" fontId="9" fillId="0" borderId="0" xfId="134" applyFont="1" applyAlignment="1" applyProtection="1">
      <alignment vertical="top" wrapText="1"/>
      <protection locked="0"/>
    </xf>
    <xf numFmtId="0" fontId="82" fillId="66" borderId="48" xfId="134" applyFont="1" applyFill="1" applyBorder="1" applyAlignment="1" applyProtection="1">
      <alignment horizontal="center"/>
      <protection locked="0"/>
    </xf>
    <xf numFmtId="0" fontId="82" fillId="66" borderId="0" xfId="134" applyFont="1" applyFill="1" applyBorder="1" applyAlignment="1" applyProtection="1">
      <alignment horizontal="center"/>
      <protection locked="0"/>
    </xf>
    <xf numFmtId="0" fontId="82" fillId="66" borderId="29" xfId="134" applyFont="1" applyFill="1" applyBorder="1" applyAlignment="1" applyProtection="1">
      <alignment horizontal="center"/>
      <protection locked="0"/>
    </xf>
    <xf numFmtId="0" fontId="82" fillId="28" borderId="29" xfId="134" applyFont="1" applyFill="1" applyBorder="1" applyAlignment="1" applyProtection="1">
      <alignment horizontal="center"/>
      <protection locked="0"/>
    </xf>
    <xf numFmtId="0" fontId="82" fillId="66" borderId="53" xfId="134" applyFont="1" applyFill="1" applyBorder="1" applyAlignment="1" applyProtection="1">
      <alignment horizontal="center"/>
      <protection locked="0"/>
    </xf>
    <xf numFmtId="0" fontId="82" fillId="66" borderId="12" xfId="134" applyFont="1" applyFill="1" applyBorder="1" applyAlignment="1" applyProtection="1">
      <alignment horizontal="center"/>
      <protection locked="0"/>
    </xf>
    <xf numFmtId="0" fontId="82" fillId="66" borderId="55" xfId="134" applyFont="1" applyFill="1" applyBorder="1" applyAlignment="1" applyProtection="1">
      <alignment horizontal="center"/>
      <protection locked="0"/>
    </xf>
    <xf numFmtId="0" fontId="9" fillId="66" borderId="48" xfId="134" applyFont="1" applyFill="1" applyBorder="1" applyAlignment="1" applyProtection="1">
      <alignment vertical="top"/>
      <protection locked="0"/>
    </xf>
    <xf numFmtId="0" fontId="9" fillId="66" borderId="0" xfId="134" applyFont="1" applyFill="1" applyBorder="1" applyAlignment="1" applyProtection="1">
      <alignment vertical="top"/>
      <protection locked="0"/>
    </xf>
    <xf numFmtId="0" fontId="82" fillId="66" borderId="12" xfId="134" applyFont="1" applyFill="1" applyBorder="1" applyAlignment="1" applyProtection="1">
      <alignment horizontal="center" vertical="center"/>
      <protection locked="0"/>
    </xf>
    <xf numFmtId="0" fontId="82" fillId="66" borderId="55" xfId="134" applyFont="1" applyFill="1" applyBorder="1" applyAlignment="1" applyProtection="1">
      <alignment horizontal="center" vertical="center" wrapText="1"/>
      <protection locked="0"/>
    </xf>
    <xf numFmtId="0" fontId="9" fillId="0" borderId="48" xfId="134" applyFont="1" applyFill="1" applyBorder="1" applyAlignment="1" applyProtection="1">
      <alignment vertical="top"/>
      <protection locked="0"/>
    </xf>
    <xf numFmtId="0" fontId="9" fillId="0" borderId="0" xfId="134" applyFont="1" applyFill="1" applyBorder="1" applyAlignment="1" applyProtection="1">
      <alignment vertical="top"/>
      <protection locked="0"/>
    </xf>
    <xf numFmtId="0" fontId="82" fillId="0" borderId="0" xfId="134" applyFont="1" applyFill="1" applyBorder="1" applyAlignment="1" applyProtection="1">
      <alignment vertical="top"/>
      <protection locked="0"/>
    </xf>
    <xf numFmtId="0" fontId="82" fillId="0" borderId="29" xfId="134" applyFont="1" applyFill="1" applyBorder="1" applyAlignment="1" applyProtection="1">
      <alignment horizontal="center" vertical="top" wrapText="1"/>
      <protection locked="0"/>
    </xf>
    <xf numFmtId="0" fontId="6" fillId="0" borderId="48" xfId="134" applyFont="1" applyFill="1" applyBorder="1" applyAlignment="1" applyProtection="1">
      <alignment vertical="top"/>
      <protection locked="0"/>
    </xf>
    <xf numFmtId="0" fontId="6" fillId="0" borderId="52" xfId="134" applyFont="1" applyFill="1" applyBorder="1" applyAlignment="1" applyProtection="1">
      <alignment vertical="top"/>
      <protection locked="0"/>
    </xf>
    <xf numFmtId="0" fontId="9" fillId="0" borderId="121" xfId="134" applyFont="1" applyFill="1" applyBorder="1" applyAlignment="1" applyProtection="1">
      <alignment vertical="top"/>
      <protection locked="0"/>
    </xf>
    <xf numFmtId="10" fontId="99" fillId="0" borderId="31" xfId="136" applyNumberFormat="1" applyFont="1" applyBorder="1" applyProtection="1">
      <protection locked="0"/>
    </xf>
    <xf numFmtId="0" fontId="82" fillId="0" borderId="0" xfId="134" applyFont="1" applyBorder="1" applyAlignment="1" applyProtection="1">
      <alignment vertical="top" wrapText="1"/>
      <protection locked="0"/>
    </xf>
    <xf numFmtId="0" fontId="9" fillId="0" borderId="0" xfId="134" applyFont="1" applyFill="1" applyBorder="1" applyProtection="1">
      <protection locked="0"/>
    </xf>
    <xf numFmtId="10" fontId="99" fillId="0" borderId="0" xfId="136" applyNumberFormat="1" applyFont="1" applyBorder="1" applyProtection="1">
      <protection locked="0"/>
    </xf>
    <xf numFmtId="0" fontId="82" fillId="0" borderId="0" xfId="134" applyFont="1" applyFill="1" applyBorder="1" applyAlignment="1" applyProtection="1">
      <alignment vertical="top" wrapText="1"/>
      <protection locked="0"/>
    </xf>
    <xf numFmtId="0" fontId="10" fillId="0" borderId="0" xfId="134" applyBorder="1" applyProtection="1">
      <protection locked="0"/>
    </xf>
    <xf numFmtId="0" fontId="82" fillId="0" borderId="70" xfId="134" applyFont="1" applyBorder="1" applyAlignment="1" applyProtection="1">
      <alignment vertical="top" wrapText="1"/>
      <protection locked="0"/>
    </xf>
    <xf numFmtId="0" fontId="82" fillId="0" borderId="71" xfId="134" applyFont="1" applyFill="1" applyBorder="1" applyAlignment="1" applyProtection="1">
      <alignment horizontal="center" vertical="center" wrapText="1"/>
      <protection locked="0"/>
    </xf>
    <xf numFmtId="0" fontId="134" fillId="0" borderId="71" xfId="28" applyNumberFormat="1" applyFont="1" applyBorder="1" applyAlignment="1" applyProtection="1">
      <alignment horizontal="center" vertical="center"/>
      <protection locked="0"/>
    </xf>
    <xf numFmtId="0" fontId="10" fillId="0" borderId="45" xfId="134" applyBorder="1" applyProtection="1">
      <protection locked="0"/>
    </xf>
    <xf numFmtId="0" fontId="82" fillId="0" borderId="48" xfId="134" applyFont="1" applyBorder="1" applyAlignment="1" applyProtection="1">
      <alignment horizontal="left" vertical="center" wrapText="1"/>
      <protection locked="0"/>
    </xf>
    <xf numFmtId="0" fontId="82" fillId="28" borderId="10" xfId="134" applyFont="1" applyFill="1" applyBorder="1" applyAlignment="1" applyProtection="1">
      <alignment horizontal="center" vertical="center" wrapText="1"/>
      <protection locked="0"/>
    </xf>
    <xf numFmtId="10" fontId="99" fillId="0" borderId="29" xfId="136" applyNumberFormat="1" applyFont="1" applyBorder="1" applyAlignment="1" applyProtection="1">
      <alignment horizontal="center" vertical="center" wrapText="1"/>
      <protection locked="0"/>
    </xf>
    <xf numFmtId="0" fontId="95" fillId="0" borderId="46" xfId="134" applyFont="1" applyBorder="1" applyAlignment="1" applyProtection="1">
      <alignment horizontal="left" vertical="top" wrapText="1"/>
      <protection locked="0"/>
    </xf>
    <xf numFmtId="0" fontId="96" fillId="0" borderId="30" xfId="134" applyFont="1" applyBorder="1" applyAlignment="1" applyProtection="1">
      <alignment vertical="top" wrapText="1"/>
      <protection locked="0"/>
    </xf>
    <xf numFmtId="0" fontId="96" fillId="67" borderId="30" xfId="134" applyFont="1" applyFill="1" applyBorder="1" applyAlignment="1" applyProtection="1">
      <alignment vertical="top" wrapText="1"/>
      <protection locked="0"/>
    </xf>
    <xf numFmtId="0" fontId="95" fillId="0" borderId="0" xfId="134" applyFont="1" applyBorder="1" applyAlignment="1" applyProtection="1">
      <alignment horizontal="left" vertical="top" wrapText="1"/>
      <protection locked="0"/>
    </xf>
    <xf numFmtId="0" fontId="96" fillId="0" borderId="0" xfId="134" applyFont="1" applyBorder="1" applyAlignment="1" applyProtection="1">
      <alignment vertical="top" wrapText="1"/>
      <protection locked="0"/>
    </xf>
    <xf numFmtId="0" fontId="9" fillId="0" borderId="94" xfId="134" applyFont="1" applyBorder="1" applyProtection="1">
      <protection locked="0"/>
    </xf>
    <xf numFmtId="0" fontId="82" fillId="66" borderId="71" xfId="134" applyFont="1" applyFill="1" applyBorder="1" applyAlignment="1" applyProtection="1">
      <alignment horizontal="center" vertical="center"/>
      <protection locked="0"/>
    </xf>
    <xf numFmtId="0" fontId="82" fillId="66" borderId="45" xfId="134" applyFont="1" applyFill="1" applyBorder="1" applyAlignment="1" applyProtection="1">
      <alignment horizontal="center" vertical="center"/>
      <protection locked="0"/>
    </xf>
    <xf numFmtId="0" fontId="9" fillId="0" borderId="76" xfId="134" applyFont="1" applyBorder="1" applyProtection="1">
      <protection locked="0"/>
    </xf>
    <xf numFmtId="0" fontId="82" fillId="66" borderId="77" xfId="134" applyFont="1" applyFill="1" applyBorder="1" applyAlignment="1" applyProtection="1">
      <alignment vertical="top"/>
      <protection locked="0"/>
    </xf>
    <xf numFmtId="0" fontId="82" fillId="66" borderId="12" xfId="134" applyFont="1" applyFill="1" applyBorder="1" applyAlignment="1" applyProtection="1">
      <alignment vertical="top"/>
      <protection locked="0"/>
    </xf>
    <xf numFmtId="0" fontId="82" fillId="66" borderId="55" xfId="134" applyFont="1" applyFill="1" applyBorder="1" applyAlignment="1" applyProtection="1">
      <alignment vertical="top"/>
      <protection locked="0"/>
    </xf>
    <xf numFmtId="0" fontId="9" fillId="0" borderId="110" xfId="134" applyFont="1" applyBorder="1" applyAlignment="1" applyProtection="1">
      <alignment wrapText="1"/>
      <protection locked="0"/>
    </xf>
    <xf numFmtId="43" fontId="9" fillId="0" borderId="0" xfId="134" applyNumberFormat="1" applyFont="1" applyBorder="1" applyAlignment="1" applyProtection="1">
      <alignment horizontal="center" vertical="center"/>
      <protection locked="0"/>
    </xf>
    <xf numFmtId="43" fontId="9" fillId="0" borderId="18" xfId="134" applyNumberFormat="1" applyFont="1" applyBorder="1" applyAlignment="1" applyProtection="1">
      <alignment horizontal="center" vertical="center"/>
      <protection locked="0"/>
    </xf>
    <xf numFmtId="43" fontId="9" fillId="0" borderId="29" xfId="134" applyNumberFormat="1" applyFont="1" applyBorder="1" applyAlignment="1" applyProtection="1">
      <alignment horizontal="center" vertical="center"/>
      <protection locked="0"/>
    </xf>
    <xf numFmtId="43" fontId="9" fillId="0" borderId="15" xfId="134" applyNumberFormat="1" applyFont="1" applyBorder="1" applyAlignment="1" applyProtection="1">
      <alignment horizontal="center" vertical="center"/>
      <protection locked="0"/>
    </xf>
    <xf numFmtId="0" fontId="6" fillId="67" borderId="76" xfId="134" applyFont="1" applyFill="1" applyBorder="1" applyAlignment="1" applyProtection="1">
      <alignment wrapText="1"/>
      <protection locked="0"/>
    </xf>
    <xf numFmtId="43" fontId="99" fillId="29" borderId="12" xfId="28" applyFont="1" applyFill="1" applyBorder="1" applyAlignment="1" applyProtection="1">
      <alignment horizontal="center" vertical="center"/>
      <protection locked="0"/>
    </xf>
    <xf numFmtId="43" fontId="9" fillId="29" borderId="12" xfId="134" applyNumberFormat="1" applyFont="1" applyFill="1" applyBorder="1" applyAlignment="1" applyProtection="1">
      <alignment horizontal="center" vertical="center"/>
      <protection locked="0"/>
    </xf>
    <xf numFmtId="43" fontId="9" fillId="0" borderId="12" xfId="134" applyNumberFormat="1" applyFont="1" applyBorder="1" applyAlignment="1" applyProtection="1">
      <alignment horizontal="center" vertical="center"/>
      <protection locked="0"/>
    </xf>
    <xf numFmtId="43" fontId="9" fillId="0" borderId="16" xfId="134" applyNumberFormat="1" applyFont="1" applyBorder="1" applyAlignment="1" applyProtection="1">
      <alignment horizontal="center" vertical="center"/>
      <protection locked="0"/>
    </xf>
    <xf numFmtId="0" fontId="9" fillId="72" borderId="54" xfId="134" applyFont="1" applyFill="1" applyBorder="1" applyAlignment="1" applyProtection="1">
      <alignment wrapText="1"/>
      <protection locked="0"/>
    </xf>
    <xf numFmtId="43" fontId="9" fillId="72" borderId="13" xfId="134" applyNumberFormat="1" applyFont="1" applyFill="1" applyBorder="1" applyAlignment="1" applyProtection="1">
      <alignment horizontal="center" vertical="center"/>
      <protection locked="0"/>
    </xf>
    <xf numFmtId="43" fontId="9" fillId="72" borderId="51" xfId="134" applyNumberFormat="1" applyFont="1" applyFill="1" applyBorder="1" applyAlignment="1" applyProtection="1">
      <alignment horizontal="center" vertical="center"/>
      <protection locked="0"/>
    </xf>
    <xf numFmtId="0" fontId="6" fillId="0" borderId="72" xfId="134" applyFont="1" applyBorder="1" applyAlignment="1" applyProtection="1">
      <alignment wrapText="1"/>
      <protection locked="0"/>
    </xf>
    <xf numFmtId="43" fontId="9" fillId="0" borderId="83" xfId="134" applyNumberFormat="1" applyFont="1" applyBorder="1" applyAlignment="1" applyProtection="1">
      <alignment horizontal="center" vertical="center"/>
      <protection locked="0"/>
    </xf>
    <xf numFmtId="43" fontId="9" fillId="0" borderId="14" xfId="134" applyNumberFormat="1" applyFont="1" applyBorder="1" applyAlignment="1" applyProtection="1">
      <alignment horizontal="center" vertical="center"/>
      <protection locked="0"/>
    </xf>
    <xf numFmtId="43" fontId="9" fillId="0" borderId="59" xfId="134" applyNumberFormat="1" applyFont="1" applyBorder="1" applyAlignment="1" applyProtection="1">
      <alignment horizontal="center" vertical="center"/>
      <protection locked="0"/>
    </xf>
    <xf numFmtId="0" fontId="9" fillId="72" borderId="52" xfId="134" applyFont="1" applyFill="1" applyBorder="1" applyAlignment="1" applyProtection="1">
      <alignment wrapText="1"/>
      <protection locked="0"/>
    </xf>
    <xf numFmtId="43" fontId="9" fillId="72" borderId="186" xfId="134" applyNumberFormat="1" applyFont="1" applyFill="1" applyBorder="1" applyAlignment="1" applyProtection="1">
      <alignment horizontal="center" vertical="center"/>
      <protection locked="0"/>
    </xf>
    <xf numFmtId="43" fontId="9" fillId="72" borderId="0" xfId="134" applyNumberFormat="1" applyFont="1" applyFill="1" applyBorder="1" applyAlignment="1" applyProtection="1">
      <alignment horizontal="center" vertical="center"/>
      <protection locked="0"/>
    </xf>
    <xf numFmtId="43" fontId="9" fillId="72" borderId="187" xfId="134" applyNumberFormat="1" applyFont="1" applyFill="1" applyBorder="1" applyAlignment="1" applyProtection="1">
      <alignment horizontal="center" vertical="center"/>
      <protection locked="0"/>
    </xf>
    <xf numFmtId="43" fontId="99" fillId="0" borderId="188" xfId="135" applyNumberFormat="1" applyFont="1" applyBorder="1" applyAlignment="1" applyProtection="1">
      <alignment horizontal="center" vertical="center"/>
      <protection locked="0"/>
    </xf>
    <xf numFmtId="43" fontId="99" fillId="0" borderId="183" xfId="135" applyNumberFormat="1" applyFont="1" applyBorder="1" applyAlignment="1" applyProtection="1">
      <alignment horizontal="center" vertical="center"/>
      <protection locked="0"/>
    </xf>
    <xf numFmtId="43" fontId="99" fillId="0" borderId="192" xfId="135" applyNumberFormat="1" applyFont="1" applyBorder="1" applyAlignment="1" applyProtection="1">
      <alignment horizontal="center" vertical="center"/>
      <protection locked="0"/>
    </xf>
    <xf numFmtId="43" fontId="99" fillId="67" borderId="85" xfId="135" applyNumberFormat="1" applyFont="1" applyFill="1" applyBorder="1" applyAlignment="1" applyProtection="1">
      <alignment horizontal="center" vertical="center"/>
      <protection locked="0"/>
    </xf>
    <xf numFmtId="43" fontId="99" fillId="72" borderId="13" xfId="135" applyNumberFormat="1" applyFont="1" applyFill="1" applyBorder="1" applyAlignment="1" applyProtection="1">
      <alignment horizontal="center" vertical="center"/>
      <protection locked="0"/>
    </xf>
    <xf numFmtId="43" fontId="99" fillId="72" borderId="12" xfId="135" applyNumberFormat="1" applyFont="1" applyFill="1" applyBorder="1" applyAlignment="1" applyProtection="1">
      <alignment horizontal="center" vertical="center"/>
      <protection locked="0"/>
    </xf>
    <xf numFmtId="43" fontId="99" fillId="72" borderId="51" xfId="135" applyNumberFormat="1" applyFont="1" applyFill="1" applyBorder="1" applyAlignment="1" applyProtection="1">
      <alignment horizontal="center" vertical="center"/>
      <protection locked="0"/>
    </xf>
    <xf numFmtId="10" fontId="99" fillId="29" borderId="0" xfId="136" applyNumberFormat="1" applyFont="1" applyFill="1" applyBorder="1" applyAlignment="1" applyProtection="1">
      <alignment horizontal="center" vertical="center"/>
      <protection locked="0"/>
    </xf>
    <xf numFmtId="43" fontId="99" fillId="0" borderId="0" xfId="135" applyNumberFormat="1" applyFont="1" applyBorder="1" applyAlignment="1" applyProtection="1">
      <alignment horizontal="center" vertical="center"/>
      <protection locked="0"/>
    </xf>
    <xf numFmtId="43" fontId="80" fillId="0" borderId="0" xfId="135" applyNumberFormat="1" applyFont="1" applyBorder="1" applyAlignment="1" applyProtection="1">
      <alignment horizontal="center" vertical="center"/>
      <protection locked="0"/>
    </xf>
    <xf numFmtId="43" fontId="99" fillId="0" borderId="18" xfId="135" applyNumberFormat="1" applyFont="1" applyBorder="1" applyAlignment="1" applyProtection="1">
      <alignment horizontal="center" vertical="center"/>
      <protection locked="0"/>
    </xf>
    <xf numFmtId="43" fontId="99" fillId="0" borderId="29" xfId="135" applyNumberFormat="1" applyFont="1" applyBorder="1" applyAlignment="1" applyProtection="1">
      <alignment horizontal="center" vertical="center"/>
      <protection locked="0"/>
    </xf>
    <xf numFmtId="0" fontId="6" fillId="67" borderId="38" xfId="134" applyFont="1" applyFill="1" applyBorder="1" applyAlignment="1" applyProtection="1">
      <alignment wrapText="1"/>
      <protection locked="0"/>
    </xf>
    <xf numFmtId="43" fontId="99" fillId="0" borderId="30" xfId="135" applyNumberFormat="1" applyFont="1" applyBorder="1" applyAlignment="1" applyProtection="1">
      <alignment horizontal="center" vertical="center"/>
      <protection locked="0"/>
    </xf>
    <xf numFmtId="43" fontId="99" fillId="0" borderId="39" xfId="135" applyNumberFormat="1" applyFont="1" applyBorder="1" applyAlignment="1" applyProtection="1">
      <alignment horizontal="center" vertical="center"/>
      <protection locked="0"/>
    </xf>
    <xf numFmtId="43" fontId="99" fillId="67" borderId="35" xfId="135" applyNumberFormat="1" applyFont="1" applyFill="1" applyBorder="1" applyAlignment="1" applyProtection="1">
      <alignment horizontal="center" vertical="center"/>
      <protection locked="0"/>
    </xf>
    <xf numFmtId="0" fontId="9" fillId="0" borderId="0" xfId="134" applyFont="1" applyBorder="1" applyAlignment="1" applyProtection="1">
      <alignment wrapText="1"/>
      <protection locked="0"/>
    </xf>
    <xf numFmtId="0" fontId="82" fillId="0" borderId="0" xfId="134" applyFont="1" applyProtection="1">
      <protection locked="0"/>
    </xf>
    <xf numFmtId="0" fontId="0" fillId="0" borderId="10" xfId="0" applyBorder="1" applyProtection="1">
      <protection locked="0"/>
    </xf>
    <xf numFmtId="0" fontId="0" fillId="0" borderId="0" xfId="0" applyAlignment="1" applyProtection="1">
      <alignment horizontal="center" vertical="center" wrapText="1"/>
      <protection locked="0"/>
    </xf>
    <xf numFmtId="0" fontId="18" fillId="78" borderId="0" xfId="0" applyFont="1" applyFill="1" applyProtection="1">
      <protection locked="0"/>
    </xf>
    <xf numFmtId="0" fontId="0" fillId="78" borderId="0" xfId="0" applyFill="1" applyProtection="1">
      <protection locked="0"/>
    </xf>
    <xf numFmtId="0" fontId="18" fillId="78" borderId="10" xfId="0" applyFont="1" applyFill="1" applyBorder="1" applyProtection="1">
      <protection locked="0"/>
    </xf>
    <xf numFmtId="167" fontId="0" fillId="29" borderId="10" xfId="28" applyNumberFormat="1" applyFont="1" applyFill="1" applyBorder="1" applyProtection="1">
      <protection locked="0"/>
    </xf>
    <xf numFmtId="0" fontId="18" fillId="0" borderId="10" xfId="0" applyFont="1" applyFill="1" applyBorder="1" applyProtection="1">
      <protection locked="0"/>
    </xf>
    <xf numFmtId="0" fontId="18" fillId="66" borderId="0" xfId="0" applyFont="1" applyFill="1" applyProtection="1">
      <protection locked="0"/>
    </xf>
    <xf numFmtId="0" fontId="0" fillId="66" borderId="0" xfId="0" applyFill="1" applyProtection="1">
      <protection locked="0"/>
    </xf>
    <xf numFmtId="167" fontId="15" fillId="79" borderId="10" xfId="28" quotePrefix="1" applyNumberFormat="1" applyFont="1" applyFill="1" applyBorder="1" applyAlignment="1" applyProtection="1">
      <alignment horizontal="center"/>
      <protection locked="0"/>
    </xf>
    <xf numFmtId="10" fontId="0" fillId="0" borderId="10" xfId="42" applyNumberFormat="1" applyFont="1" applyFill="1" applyBorder="1" applyProtection="1">
      <protection locked="0"/>
    </xf>
    <xf numFmtId="167" fontId="0" fillId="0" borderId="10" xfId="28" applyNumberFormat="1" applyFont="1" applyFill="1" applyBorder="1" applyProtection="1">
      <protection locked="0"/>
    </xf>
    <xf numFmtId="0" fontId="66" fillId="0" borderId="94" xfId="46" applyFont="1" applyFill="1" applyBorder="1" applyAlignment="1" applyProtection="1">
      <alignment vertical="center" wrapText="1"/>
      <protection locked="0"/>
    </xf>
    <xf numFmtId="0" fontId="18" fillId="0" borderId="21" xfId="0" applyFont="1" applyFill="1" applyBorder="1" applyAlignment="1" applyProtection="1">
      <alignment horizontal="center" vertical="center" wrapText="1"/>
      <protection locked="0"/>
    </xf>
    <xf numFmtId="0" fontId="18" fillId="0" borderId="66" xfId="0" applyFont="1" applyFill="1" applyBorder="1" applyAlignment="1" applyProtection="1">
      <alignment horizontal="center" vertical="center" wrapText="1"/>
      <protection locked="0"/>
    </xf>
    <xf numFmtId="0" fontId="0" fillId="0" borderId="0" xfId="0" applyAlignment="1" applyProtection="1">
      <alignment vertical="center" wrapText="1"/>
      <protection locked="0"/>
    </xf>
    <xf numFmtId="0" fontId="89" fillId="0" borderId="20" xfId="46" applyFont="1" applyFill="1" applyBorder="1" applyAlignment="1" applyProtection="1">
      <alignment vertical="center" wrapText="1"/>
      <protection locked="0"/>
    </xf>
    <xf numFmtId="0" fontId="18" fillId="28" borderId="21" xfId="0" applyFont="1" applyFill="1" applyBorder="1" applyAlignment="1" applyProtection="1">
      <alignment horizontal="center" vertical="top" wrapText="1"/>
      <protection locked="0"/>
    </xf>
    <xf numFmtId="0" fontId="18" fillId="28" borderId="66" xfId="0" applyFont="1" applyFill="1" applyBorder="1" applyAlignment="1" applyProtection="1">
      <alignment horizontal="center" vertical="top" wrapText="1"/>
      <protection locked="0"/>
    </xf>
    <xf numFmtId="0" fontId="66" fillId="0" borderId="32" xfId="46" applyFont="1" applyBorder="1" applyAlignment="1" applyProtection="1">
      <alignment vertical="center" wrapText="1"/>
      <protection locked="0"/>
    </xf>
    <xf numFmtId="3" fontId="66" fillId="0" borderId="0" xfId="46" applyNumberFormat="1" applyFont="1" applyFill="1" applyBorder="1" applyAlignment="1" applyProtection="1">
      <alignment vertical="center" wrapText="1"/>
      <protection locked="0"/>
    </xf>
    <xf numFmtId="0" fontId="66" fillId="0" borderId="27" xfId="46" applyFont="1" applyBorder="1" applyAlignment="1" applyProtection="1">
      <alignment vertical="center" wrapText="1"/>
      <protection locked="0"/>
    </xf>
    <xf numFmtId="0" fontId="67" fillId="0" borderId="27" xfId="46" applyFont="1" applyBorder="1" applyAlignment="1" applyProtection="1">
      <alignment vertical="center" wrapText="1"/>
      <protection locked="0"/>
    </xf>
    <xf numFmtId="0" fontId="66" fillId="0" borderId="28" xfId="46" applyFont="1" applyBorder="1" applyAlignment="1" applyProtection="1">
      <alignment vertical="center" wrapText="1"/>
      <protection locked="0"/>
    </xf>
    <xf numFmtId="0" fontId="0" fillId="0" borderId="0" xfId="0" applyFill="1" applyBorder="1" applyAlignment="1" applyProtection="1">
      <alignment vertical="center" wrapText="1"/>
      <protection locked="0"/>
    </xf>
    <xf numFmtId="0" fontId="66" fillId="0" borderId="32" xfId="46" applyFont="1" applyFill="1" applyBorder="1" applyAlignment="1" applyProtection="1">
      <alignment vertical="center" wrapText="1"/>
      <protection locked="0"/>
    </xf>
    <xf numFmtId="0" fontId="67" fillId="0" borderId="24" xfId="46" applyFont="1" applyFill="1" applyBorder="1" applyAlignment="1" applyProtection="1">
      <alignment horizontal="center" vertical="center" wrapText="1"/>
      <protection locked="0"/>
    </xf>
    <xf numFmtId="0" fontId="67" fillId="0" borderId="62" xfId="46" applyFont="1" applyFill="1" applyBorder="1" applyAlignment="1" applyProtection="1">
      <alignment horizontal="center" vertical="center" wrapText="1"/>
      <protection locked="0"/>
    </xf>
    <xf numFmtId="0" fontId="85" fillId="0" borderId="20" xfId="51" applyFont="1" applyBorder="1" applyAlignment="1" applyProtection="1">
      <alignment horizontal="center" vertical="center" wrapText="1"/>
      <protection locked="0"/>
    </xf>
    <xf numFmtId="0" fontId="86" fillId="0" borderId="21" xfId="51" applyFont="1" applyBorder="1" applyAlignment="1" applyProtection="1">
      <alignment horizontal="center" vertical="center" wrapText="1"/>
      <protection locked="0"/>
    </xf>
    <xf numFmtId="0" fontId="86" fillId="0" borderId="66" xfId="51" applyFont="1" applyBorder="1" applyAlignment="1" applyProtection="1">
      <alignment horizontal="center" vertical="center" wrapText="1"/>
      <protection locked="0"/>
    </xf>
    <xf numFmtId="0" fontId="86" fillId="0" borderId="76" xfId="51" applyFont="1" applyBorder="1" applyAlignment="1" applyProtection="1">
      <alignment vertical="center" wrapText="1"/>
      <protection locked="0"/>
    </xf>
    <xf numFmtId="0" fontId="86" fillId="0" borderId="27" xfId="51" applyFont="1" applyBorder="1" applyAlignment="1" applyProtection="1">
      <alignment vertical="center" wrapText="1"/>
      <protection locked="0"/>
    </xf>
    <xf numFmtId="10" fontId="85" fillId="0" borderId="107" xfId="51" applyNumberFormat="1" applyFont="1" applyFill="1" applyBorder="1" applyAlignment="1" applyProtection="1">
      <alignment vertical="center" wrapText="1"/>
      <protection locked="0"/>
    </xf>
    <xf numFmtId="10" fontId="85" fillId="0" borderId="83" xfId="51" applyNumberFormat="1" applyFont="1" applyFill="1" applyBorder="1" applyAlignment="1" applyProtection="1">
      <alignment vertical="center" wrapText="1"/>
      <protection locked="0"/>
    </xf>
    <xf numFmtId="10" fontId="85" fillId="0" borderId="111" xfId="51" applyNumberFormat="1" applyFont="1" applyFill="1" applyBorder="1" applyAlignment="1" applyProtection="1">
      <alignment vertical="center" wrapText="1"/>
      <protection locked="0"/>
    </xf>
    <xf numFmtId="10" fontId="85" fillId="0" borderId="0" xfId="51" applyNumberFormat="1" applyFont="1" applyFill="1" applyBorder="1" applyAlignment="1" applyProtection="1">
      <alignment vertical="center" wrapText="1"/>
      <protection locked="0"/>
    </xf>
    <xf numFmtId="10" fontId="85" fillId="0" borderId="77" xfId="51" applyNumberFormat="1" applyFont="1" applyFill="1" applyBorder="1" applyAlignment="1" applyProtection="1">
      <alignment vertical="center" wrapText="1"/>
      <protection locked="0"/>
    </xf>
    <xf numFmtId="10" fontId="85" fillId="0" borderId="12" xfId="51" applyNumberFormat="1" applyFont="1" applyFill="1" applyBorder="1" applyAlignment="1" applyProtection="1">
      <alignment vertical="center" wrapText="1"/>
      <protection locked="0"/>
    </xf>
    <xf numFmtId="0" fontId="86" fillId="0" borderId="28" xfId="51" applyFont="1" applyBorder="1" applyAlignment="1" applyProtection="1">
      <alignment vertical="center" wrapText="1"/>
      <protection locked="0"/>
    </xf>
    <xf numFmtId="10" fontId="85" fillId="0" borderId="78" xfId="51" applyNumberFormat="1" applyFont="1" applyFill="1" applyBorder="1" applyAlignment="1" applyProtection="1">
      <alignment vertical="center" wrapText="1"/>
      <protection locked="0"/>
    </xf>
    <xf numFmtId="10" fontId="85" fillId="0" borderId="30" xfId="51" applyNumberFormat="1" applyFont="1" applyFill="1" applyBorder="1" applyAlignment="1" applyProtection="1">
      <alignment vertical="center" wrapText="1"/>
      <protection locked="0"/>
    </xf>
    <xf numFmtId="0" fontId="18" fillId="0" borderId="0" xfId="0" applyFont="1" applyAlignment="1" applyProtection="1">
      <alignment vertical="center" wrapText="1"/>
      <protection locked="0"/>
    </xf>
    <xf numFmtId="0" fontId="15" fillId="0" borderId="0" xfId="0" applyFont="1" applyAlignment="1" applyProtection="1">
      <alignment vertical="center" wrapText="1"/>
      <protection locked="0"/>
    </xf>
    <xf numFmtId="0" fontId="89" fillId="0" borderId="0" xfId="46" applyFont="1" applyFill="1" applyBorder="1" applyAlignment="1" applyProtection="1">
      <alignment vertical="center" wrapText="1"/>
      <protection locked="0"/>
    </xf>
    <xf numFmtId="0" fontId="18" fillId="0" borderId="54" xfId="0" applyFont="1" applyBorder="1" applyProtection="1">
      <protection locked="0"/>
    </xf>
    <xf numFmtId="166" fontId="0" fillId="0" borderId="33" xfId="29" applyNumberFormat="1" applyFont="1" applyBorder="1" applyProtection="1">
      <protection locked="0"/>
    </xf>
    <xf numFmtId="0" fontId="0" fillId="29" borderId="27" xfId="0" applyFill="1" applyBorder="1" applyProtection="1">
      <protection locked="0"/>
    </xf>
    <xf numFmtId="0" fontId="0" fillId="29" borderId="72" xfId="0" applyFill="1" applyBorder="1" applyProtection="1">
      <protection locked="0"/>
    </xf>
    <xf numFmtId="166" fontId="0" fillId="29" borderId="17" xfId="29" applyNumberFormat="1" applyFont="1" applyFill="1" applyBorder="1" applyProtection="1">
      <protection locked="0"/>
    </xf>
    <xf numFmtId="0" fontId="18" fillId="0" borderId="38" xfId="0" applyFont="1" applyBorder="1" applyProtection="1">
      <protection locked="0"/>
    </xf>
    <xf numFmtId="166" fontId="0" fillId="0" borderId="57" xfId="29" applyNumberFormat="1" applyFont="1" applyBorder="1" applyProtection="1">
      <protection locked="0"/>
    </xf>
    <xf numFmtId="0" fontId="15" fillId="0" borderId="0" xfId="0" applyFont="1" applyAlignment="1" applyProtection="1">
      <alignment horizontal="center" vertical="top"/>
      <protection locked="0"/>
    </xf>
    <xf numFmtId="3" fontId="0" fillId="67" borderId="10" xfId="29" applyNumberFormat="1" applyFont="1" applyFill="1" applyBorder="1" applyProtection="1">
      <protection locked="0"/>
    </xf>
    <xf numFmtId="3" fontId="0" fillId="0" borderId="19" xfId="0" applyNumberFormat="1" applyFill="1" applyBorder="1" applyProtection="1">
      <protection locked="0"/>
    </xf>
    <xf numFmtId="0" fontId="0" fillId="0" borderId="20" xfId="0" applyBorder="1" applyProtection="1">
      <protection locked="0"/>
    </xf>
    <xf numFmtId="0" fontId="18" fillId="67" borderId="21" xfId="0" applyFont="1" applyFill="1" applyBorder="1" applyAlignment="1" applyProtection="1">
      <alignment horizontal="center" vertical="center" wrapText="1"/>
      <protection locked="0"/>
    </xf>
    <xf numFmtId="166" fontId="15" fillId="0" borderId="10" xfId="29" applyNumberFormat="1" applyBorder="1" applyProtection="1">
      <protection locked="0"/>
    </xf>
    <xf numFmtId="0" fontId="18" fillId="0" borderId="0" xfId="0" applyFont="1" applyFill="1" applyBorder="1" applyAlignment="1" applyProtection="1">
      <alignment vertical="top"/>
      <protection locked="0"/>
    </xf>
    <xf numFmtId="0" fontId="23" fillId="0" borderId="0" xfId="0" applyFont="1" applyFill="1" applyBorder="1" applyProtection="1">
      <protection locked="0"/>
    </xf>
    <xf numFmtId="0" fontId="18" fillId="0" borderId="70" xfId="0" applyFont="1" applyBorder="1" applyAlignment="1" applyProtection="1">
      <protection locked="0"/>
    </xf>
    <xf numFmtId="0" fontId="0" fillId="0" borderId="69" xfId="0" applyBorder="1" applyAlignment="1" applyProtection="1">
      <protection locked="0"/>
    </xf>
    <xf numFmtId="0" fontId="18" fillId="67" borderId="10" xfId="0" applyFont="1" applyFill="1" applyBorder="1" applyAlignment="1" applyProtection="1">
      <alignment horizontal="center" vertical="center" wrapText="1"/>
      <protection locked="0"/>
    </xf>
    <xf numFmtId="167" fontId="18" fillId="29" borderId="19" xfId="28" applyNumberFormat="1" applyFont="1" applyFill="1" applyBorder="1" applyProtection="1">
      <protection locked="0"/>
    </xf>
    <xf numFmtId="167" fontId="18" fillId="29" borderId="64" xfId="28" applyNumberFormat="1" applyFont="1" applyFill="1" applyBorder="1" applyProtection="1">
      <protection locked="0"/>
    </xf>
    <xf numFmtId="166" fontId="18" fillId="29" borderId="10" xfId="29" applyNumberFormat="1" applyFont="1" applyFill="1" applyBorder="1" applyProtection="1">
      <protection locked="0"/>
    </xf>
    <xf numFmtId="166" fontId="18" fillId="29" borderId="25" xfId="29" applyNumberFormat="1" applyFont="1" applyFill="1" applyBorder="1" applyProtection="1">
      <protection locked="0"/>
    </xf>
    <xf numFmtId="44" fontId="18" fillId="0" borderId="10" xfId="29" applyFont="1" applyBorder="1" applyProtection="1">
      <protection locked="0"/>
    </xf>
    <xf numFmtId="44" fontId="18" fillId="0" borderId="25" xfId="29" applyFont="1" applyBorder="1" applyProtection="1">
      <protection locked="0"/>
    </xf>
    <xf numFmtId="0" fontId="18" fillId="29" borderId="10" xfId="0" applyFont="1" applyFill="1" applyBorder="1" applyProtection="1">
      <protection locked="0"/>
    </xf>
    <xf numFmtId="43" fontId="18" fillId="0" borderId="10" xfId="28" applyFont="1" applyBorder="1" applyProtection="1">
      <protection locked="0"/>
    </xf>
    <xf numFmtId="43" fontId="18" fillId="0" borderId="25" xfId="28" applyFont="1" applyBorder="1" applyProtection="1">
      <protection locked="0"/>
    </xf>
    <xf numFmtId="43" fontId="18" fillId="0" borderId="26" xfId="28" applyFont="1" applyBorder="1" applyProtection="1">
      <protection locked="0"/>
    </xf>
    <xf numFmtId="43" fontId="18" fillId="0" borderId="63" xfId="28" applyFont="1" applyBorder="1" applyProtection="1">
      <protection locked="0"/>
    </xf>
    <xf numFmtId="0" fontId="15" fillId="0" borderId="0" xfId="0" quotePrefix="1" applyFont="1" applyAlignment="1" applyProtection="1">
      <alignment horizontal="center"/>
      <protection locked="0"/>
    </xf>
    <xf numFmtId="0" fontId="0" fillId="0" borderId="0" xfId="0" applyAlignment="1" applyProtection="1">
      <alignment horizontal="center"/>
      <protection locked="0"/>
    </xf>
    <xf numFmtId="0" fontId="24" fillId="0" borderId="0" xfId="0" applyFont="1" applyProtection="1">
      <protection locked="0"/>
    </xf>
    <xf numFmtId="0" fontId="18" fillId="0" borderId="24" xfId="0" applyFont="1" applyBorder="1" applyAlignment="1" applyProtection="1">
      <alignment horizontal="center" vertical="center" wrapText="1"/>
      <protection locked="0"/>
    </xf>
    <xf numFmtId="0" fontId="18" fillId="0" borderId="62" xfId="0" applyFont="1" applyBorder="1" applyAlignment="1" applyProtection="1">
      <alignment horizontal="center" vertical="center" wrapText="1"/>
      <protection locked="0"/>
    </xf>
    <xf numFmtId="0" fontId="0" fillId="0" borderId="25" xfId="0" quotePrefix="1" applyBorder="1" applyAlignment="1" applyProtection="1">
      <alignment horizontal="center"/>
      <protection locked="0"/>
    </xf>
    <xf numFmtId="0" fontId="18" fillId="0" borderId="27" xfId="0" applyFont="1" applyBorder="1" applyAlignment="1" applyProtection="1">
      <alignment horizontal="center" vertical="top"/>
      <protection locked="0"/>
    </xf>
    <xf numFmtId="0" fontId="0" fillId="0" borderId="10" xfId="0" applyBorder="1" applyAlignment="1" applyProtection="1">
      <alignment vertical="top" wrapText="1"/>
      <protection locked="0"/>
    </xf>
    <xf numFmtId="0" fontId="0" fillId="29" borderId="10" xfId="0" applyFill="1" applyBorder="1" applyAlignment="1" applyProtection="1">
      <alignment vertical="top"/>
      <protection locked="0"/>
    </xf>
    <xf numFmtId="166" fontId="0" fillId="29" borderId="10" xfId="29" applyNumberFormat="1" applyFont="1" applyFill="1" applyBorder="1" applyAlignment="1" applyProtection="1">
      <alignment vertical="top"/>
      <protection locked="0"/>
    </xf>
    <xf numFmtId="0" fontId="0" fillId="28" borderId="10" xfId="0" applyFill="1" applyBorder="1" applyAlignment="1" applyProtection="1">
      <alignment vertical="top"/>
      <protection locked="0"/>
    </xf>
    <xf numFmtId="10" fontId="0" fillId="0" borderId="10" xfId="42" applyNumberFormat="1" applyFont="1" applyBorder="1" applyAlignment="1" applyProtection="1">
      <alignment vertical="top"/>
      <protection locked="0"/>
    </xf>
    <xf numFmtId="10" fontId="0" fillId="0" borderId="25" xfId="42" applyNumberFormat="1" applyFont="1" applyBorder="1" applyAlignment="1" applyProtection="1">
      <alignment vertical="top"/>
      <protection locked="0"/>
    </xf>
    <xf numFmtId="0" fontId="18" fillId="0" borderId="28" xfId="0" applyFont="1" applyBorder="1" applyAlignment="1" applyProtection="1">
      <alignment horizontal="center" vertical="top"/>
      <protection locked="0"/>
    </xf>
    <xf numFmtId="0" fontId="0" fillId="0" borderId="26" xfId="0" applyBorder="1" applyAlignment="1" applyProtection="1">
      <alignment vertical="top" wrapText="1"/>
      <protection locked="0"/>
    </xf>
    <xf numFmtId="0" fontId="0" fillId="29" borderId="26" xfId="0" applyFill="1" applyBorder="1" applyAlignment="1" applyProtection="1">
      <alignment vertical="top"/>
      <protection locked="0"/>
    </xf>
    <xf numFmtId="166" fontId="0" fillId="29" borderId="26" xfId="29" applyNumberFormat="1" applyFont="1" applyFill="1" applyBorder="1" applyAlignment="1" applyProtection="1">
      <alignment vertical="top"/>
      <protection locked="0"/>
    </xf>
    <xf numFmtId="10" fontId="0" fillId="0" borderId="26" xfId="42" applyNumberFormat="1" applyFont="1" applyBorder="1" applyAlignment="1" applyProtection="1">
      <alignment vertical="top"/>
      <protection locked="0"/>
    </xf>
    <xf numFmtId="10" fontId="0" fillId="0" borderId="63" xfId="42" applyNumberFormat="1" applyFont="1" applyBorder="1" applyAlignment="1" applyProtection="1">
      <alignment vertical="top"/>
      <protection locked="0"/>
    </xf>
    <xf numFmtId="0" fontId="18" fillId="0" borderId="76" xfId="0" applyFont="1" applyBorder="1" applyAlignment="1" applyProtection="1">
      <alignment horizontal="center" vertical="top"/>
      <protection locked="0"/>
    </xf>
    <xf numFmtId="0" fontId="0" fillId="0" borderId="19" xfId="0" applyBorder="1" applyAlignment="1" applyProtection="1">
      <alignment vertical="top" wrapText="1"/>
      <protection locked="0"/>
    </xf>
    <xf numFmtId="0" fontId="0" fillId="62" borderId="19" xfId="0" applyFill="1" applyBorder="1" applyAlignment="1" applyProtection="1">
      <alignment vertical="top"/>
      <protection locked="0"/>
    </xf>
    <xf numFmtId="166" fontId="0" fillId="0" borderId="19" xfId="29" applyNumberFormat="1" applyFont="1" applyBorder="1" applyAlignment="1" applyProtection="1">
      <alignment vertical="top"/>
      <protection locked="0"/>
    </xf>
    <xf numFmtId="10" fontId="0" fillId="0" borderId="19" xfId="42" applyNumberFormat="1" applyFont="1" applyBorder="1" applyAlignment="1" applyProtection="1">
      <alignment vertical="top"/>
      <protection locked="0"/>
    </xf>
    <xf numFmtId="10" fontId="0" fillId="0" borderId="64" xfId="42" applyNumberFormat="1" applyFont="1" applyBorder="1" applyAlignment="1" applyProtection="1">
      <alignment vertical="top"/>
      <protection locked="0"/>
    </xf>
    <xf numFmtId="0" fontId="18" fillId="0" borderId="72" xfId="0" applyFont="1" applyBorder="1" applyAlignment="1" applyProtection="1">
      <alignment horizontal="center" vertical="top"/>
      <protection locked="0"/>
    </xf>
    <xf numFmtId="0" fontId="0" fillId="0" borderId="36" xfId="0" applyBorder="1" applyAlignment="1" applyProtection="1">
      <alignment vertical="top" wrapText="1"/>
      <protection locked="0"/>
    </xf>
    <xf numFmtId="0" fontId="0" fillId="62" borderId="36" xfId="0" applyFill="1" applyBorder="1" applyAlignment="1" applyProtection="1">
      <alignment vertical="top"/>
      <protection locked="0"/>
    </xf>
    <xf numFmtId="166" fontId="0" fillId="0" borderId="36" xfId="29" applyNumberFormat="1" applyFont="1" applyBorder="1" applyAlignment="1" applyProtection="1">
      <alignment vertical="top"/>
      <protection locked="0"/>
    </xf>
    <xf numFmtId="10" fontId="0" fillId="0" borderId="36" xfId="42" applyNumberFormat="1" applyFont="1" applyBorder="1" applyAlignment="1" applyProtection="1">
      <alignment vertical="top"/>
      <protection locked="0"/>
    </xf>
    <xf numFmtId="10" fontId="0" fillId="0" borderId="37" xfId="42" applyNumberFormat="1" applyFont="1" applyBorder="1" applyAlignment="1" applyProtection="1">
      <alignment vertical="top"/>
      <protection locked="0"/>
    </xf>
    <xf numFmtId="0" fontId="18" fillId="0" borderId="38" xfId="0" applyFont="1" applyBorder="1" applyAlignment="1" applyProtection="1">
      <alignment horizontal="center" vertical="top"/>
      <protection locked="0"/>
    </xf>
    <xf numFmtId="0" fontId="0" fillId="0" borderId="34" xfId="0" applyBorder="1" applyAlignment="1" applyProtection="1">
      <alignment vertical="top" wrapText="1"/>
      <protection locked="0"/>
    </xf>
    <xf numFmtId="0" fontId="0" fillId="62" borderId="34" xfId="0" applyFill="1" applyBorder="1" applyAlignment="1" applyProtection="1">
      <alignment vertical="top"/>
      <protection locked="0"/>
    </xf>
    <xf numFmtId="166" fontId="0" fillId="0" borderId="34" xfId="29" applyNumberFormat="1" applyFont="1" applyBorder="1" applyAlignment="1" applyProtection="1">
      <alignment vertical="top"/>
      <protection locked="0"/>
    </xf>
    <xf numFmtId="10" fontId="0" fillId="0" borderId="34" xfId="42" applyNumberFormat="1" applyFont="1" applyBorder="1" applyAlignment="1" applyProtection="1">
      <alignment vertical="top"/>
      <protection locked="0"/>
    </xf>
    <xf numFmtId="10" fontId="0" fillId="0" borderId="35" xfId="42" applyNumberFormat="1" applyFont="1" applyBorder="1" applyAlignment="1" applyProtection="1">
      <alignment vertical="top"/>
      <protection locked="0"/>
    </xf>
    <xf numFmtId="0" fontId="18" fillId="67" borderId="94" xfId="0" applyFont="1" applyFill="1" applyBorder="1" applyAlignment="1" applyProtection="1">
      <alignment horizontal="center" vertical="center" wrapText="1"/>
      <protection locked="0"/>
    </xf>
    <xf numFmtId="0" fontId="18" fillId="0" borderId="32" xfId="0" applyFont="1" applyBorder="1" applyAlignment="1" applyProtection="1">
      <alignment horizontal="center" vertical="top"/>
      <protection locked="0"/>
    </xf>
    <xf numFmtId="0" fontId="15" fillId="0" borderId="79" xfId="0" applyFont="1" applyBorder="1" applyAlignment="1" applyProtection="1">
      <alignment vertical="top" wrapText="1"/>
      <protection locked="0"/>
    </xf>
    <xf numFmtId="0" fontId="0" fillId="29" borderId="32" xfId="0" applyFill="1" applyBorder="1" applyAlignment="1" applyProtection="1">
      <alignment horizontal="right" vertical="center"/>
      <protection locked="0"/>
    </xf>
    <xf numFmtId="0" fontId="15" fillId="0" borderId="10" xfId="0" applyFont="1" applyBorder="1" applyAlignment="1" applyProtection="1">
      <alignment vertical="top" wrapText="1"/>
      <protection locked="0"/>
    </xf>
    <xf numFmtId="0" fontId="0" fillId="29" borderId="76" xfId="0" applyFill="1" applyBorder="1" applyAlignment="1" applyProtection="1">
      <alignment horizontal="right" vertical="center"/>
      <protection locked="0"/>
    </xf>
    <xf numFmtId="0" fontId="15" fillId="0" borderId="75" xfId="0" applyFont="1" applyBorder="1" applyAlignment="1" applyProtection="1">
      <alignment vertical="top" wrapText="1"/>
      <protection locked="0"/>
    </xf>
    <xf numFmtId="0" fontId="0" fillId="29" borderId="27" xfId="0" applyFill="1" applyBorder="1" applyAlignment="1" applyProtection="1">
      <alignment horizontal="right" vertical="center"/>
      <protection locked="0"/>
    </xf>
    <xf numFmtId="0" fontId="0" fillId="0" borderId="80" xfId="0" applyBorder="1" applyAlignment="1" applyProtection="1">
      <alignment vertical="top" wrapText="1"/>
      <protection locked="0"/>
    </xf>
    <xf numFmtId="0" fontId="0" fillId="29" borderId="28" xfId="0" applyFill="1" applyBorder="1" applyAlignment="1" applyProtection="1">
      <alignment horizontal="right" vertical="center"/>
      <protection locked="0"/>
    </xf>
    <xf numFmtId="0" fontId="23" fillId="0" borderId="0" xfId="0" quotePrefix="1" applyFont="1" applyProtection="1">
      <protection locked="0"/>
    </xf>
    <xf numFmtId="0" fontId="49" fillId="29" borderId="0" xfId="0" applyFont="1" applyFill="1" applyProtection="1">
      <protection locked="0"/>
    </xf>
    <xf numFmtId="0" fontId="49" fillId="25" borderId="0" xfId="0" applyFont="1" applyFill="1" applyProtection="1">
      <protection locked="0"/>
    </xf>
    <xf numFmtId="0" fontId="18" fillId="25" borderId="10" xfId="0" applyFont="1" applyFill="1" applyBorder="1" applyAlignment="1" applyProtection="1">
      <alignment horizontal="center"/>
      <protection locked="0"/>
    </xf>
    <xf numFmtId="0" fontId="18" fillId="25" borderId="0" xfId="0" applyFont="1" applyFill="1" applyBorder="1" applyAlignment="1" applyProtection="1">
      <alignment horizontal="center"/>
      <protection locked="0"/>
    </xf>
    <xf numFmtId="0" fontId="0" fillId="25" borderId="0" xfId="0" applyFill="1" applyBorder="1" applyProtection="1">
      <protection locked="0"/>
    </xf>
    <xf numFmtId="0" fontId="0" fillId="29" borderId="28" xfId="0" applyFill="1" applyBorder="1" applyProtection="1">
      <protection locked="0"/>
    </xf>
    <xf numFmtId="0" fontId="0" fillId="29" borderId="26" xfId="0" applyFill="1" applyBorder="1" applyProtection="1">
      <protection locked="0"/>
    </xf>
    <xf numFmtId="0" fontId="18" fillId="25" borderId="25" xfId="0" applyFont="1" applyFill="1" applyBorder="1" applyAlignment="1" applyProtection="1">
      <alignment horizontal="center"/>
      <protection locked="0"/>
    </xf>
    <xf numFmtId="0" fontId="0" fillId="29" borderId="63" xfId="0" applyFill="1" applyBorder="1" applyProtection="1">
      <protection locked="0"/>
    </xf>
    <xf numFmtId="0" fontId="18" fillId="0" borderId="0" xfId="0" applyFont="1" applyAlignment="1" applyProtection="1">
      <alignment horizontal="center" vertical="top" wrapText="1"/>
      <protection locked="0"/>
    </xf>
    <xf numFmtId="0" fontId="18" fillId="0" borderId="0" xfId="0" applyFont="1" applyAlignment="1" applyProtection="1">
      <alignment vertical="top" wrapText="1"/>
      <protection locked="0"/>
    </xf>
    <xf numFmtId="0" fontId="18" fillId="0" borderId="0" xfId="0" applyFont="1" applyAlignment="1" applyProtection="1">
      <alignment horizontal="left" vertical="center" indent="4"/>
      <protection locked="0"/>
    </xf>
    <xf numFmtId="0" fontId="108" fillId="0" borderId="0" xfId="0" applyFont="1" applyAlignment="1" applyProtection="1">
      <alignment horizontal="left" vertical="center" indent="2"/>
      <protection locked="0"/>
    </xf>
    <xf numFmtId="0" fontId="18" fillId="0" borderId="0" xfId="46" applyFont="1" applyBorder="1" applyAlignment="1" applyProtection="1">
      <alignment vertical="center"/>
      <protection locked="0"/>
    </xf>
    <xf numFmtId="0" fontId="18" fillId="0" borderId="0" xfId="46" applyFont="1" applyBorder="1" applyAlignment="1" applyProtection="1">
      <alignment horizontal="center" vertical="center"/>
      <protection locked="0"/>
    </xf>
    <xf numFmtId="0" fontId="15" fillId="0" borderId="0" xfId="46" applyBorder="1" applyAlignment="1" applyProtection="1">
      <alignment horizontal="center"/>
      <protection locked="0"/>
    </xf>
    <xf numFmtId="0" fontId="15" fillId="0" borderId="0" xfId="46" quotePrefix="1" applyBorder="1" applyAlignment="1" applyProtection="1">
      <alignment horizontal="center"/>
      <protection locked="0"/>
    </xf>
    <xf numFmtId="0" fontId="15" fillId="0" borderId="0" xfId="46" quotePrefix="1" applyBorder="1" applyAlignment="1" applyProtection="1">
      <alignment horizontal="right"/>
      <protection locked="0"/>
    </xf>
    <xf numFmtId="0" fontId="18" fillId="0" borderId="12" xfId="46" applyFont="1" applyBorder="1" applyProtection="1">
      <protection locked="0"/>
    </xf>
    <xf numFmtId="0" fontId="15" fillId="0" borderId="0" xfId="46" quotePrefix="1" applyBorder="1" applyProtection="1">
      <protection locked="0"/>
    </xf>
    <xf numFmtId="10" fontId="15" fillId="29" borderId="0" xfId="42" applyNumberFormat="1" applyFont="1" applyFill="1" applyBorder="1" applyProtection="1">
      <protection locked="0"/>
    </xf>
    <xf numFmtId="10" fontId="15" fillId="0" borderId="0" xfId="42" applyNumberFormat="1" applyFont="1" applyFill="1" applyBorder="1" applyProtection="1">
      <protection locked="0"/>
    </xf>
    <xf numFmtId="173" fontId="15" fillId="0" borderId="0" xfId="29" applyNumberFormat="1" applyFont="1" applyBorder="1" applyProtection="1">
      <protection locked="0"/>
    </xf>
    <xf numFmtId="10" fontId="15" fillId="29" borderId="12" xfId="42" applyNumberFormat="1" applyFont="1" applyFill="1" applyBorder="1" applyProtection="1">
      <protection locked="0"/>
    </xf>
    <xf numFmtId="173" fontId="15" fillId="0" borderId="12" xfId="29" applyNumberFormat="1" applyFont="1" applyBorder="1" applyProtection="1">
      <protection locked="0"/>
    </xf>
    <xf numFmtId="165" fontId="15" fillId="0" borderId="14" xfId="42" applyNumberFormat="1" applyFont="1" applyBorder="1" applyProtection="1">
      <protection locked="0"/>
    </xf>
    <xf numFmtId="165" fontId="15" fillId="0" borderId="14" xfId="42" applyNumberFormat="1" applyFont="1" applyFill="1" applyBorder="1" applyProtection="1">
      <protection locked="0"/>
    </xf>
    <xf numFmtId="173" fontId="15" fillId="0" borderId="14" xfId="29" applyNumberFormat="1" applyFont="1" applyBorder="1" applyProtection="1">
      <protection locked="0"/>
    </xf>
    <xf numFmtId="10" fontId="15" fillId="0" borderId="14" xfId="42" applyNumberFormat="1" applyFont="1" applyBorder="1" applyProtection="1">
      <protection locked="0"/>
    </xf>
    <xf numFmtId="0" fontId="15" fillId="67" borderId="0" xfId="46" applyFill="1" applyBorder="1" applyProtection="1">
      <protection locked="0"/>
    </xf>
    <xf numFmtId="165" fontId="15" fillId="0" borderId="0" xfId="42" applyNumberFormat="1" applyFont="1" applyBorder="1" applyProtection="1">
      <protection locked="0"/>
    </xf>
    <xf numFmtId="165" fontId="15" fillId="0" borderId="0" xfId="42" applyNumberFormat="1" applyFont="1" applyFill="1" applyBorder="1" applyProtection="1">
      <protection locked="0"/>
    </xf>
    <xf numFmtId="173" fontId="15" fillId="0" borderId="0" xfId="46" applyNumberFormat="1" applyBorder="1" applyProtection="1">
      <protection locked="0"/>
    </xf>
    <xf numFmtId="10" fontId="15" fillId="0" borderId="0" xfId="42" applyNumberFormat="1" applyFont="1" applyBorder="1" applyProtection="1">
      <protection locked="0"/>
    </xf>
    <xf numFmtId="0" fontId="18" fillId="0" borderId="0" xfId="46" applyFont="1" applyBorder="1" applyAlignment="1" applyProtection="1">
      <protection locked="0"/>
    </xf>
    <xf numFmtId="0" fontId="15" fillId="0" borderId="0" xfId="46" applyBorder="1" applyAlignment="1" applyProtection="1">
      <protection locked="0"/>
    </xf>
    <xf numFmtId="0" fontId="15" fillId="0" borderId="0" xfId="46" quotePrefix="1" applyBorder="1" applyAlignment="1" applyProtection="1">
      <protection locked="0"/>
    </xf>
    <xf numFmtId="10" fontId="15" fillId="29" borderId="0" xfId="42" applyNumberFormat="1" applyFont="1" applyFill="1" applyBorder="1" applyAlignment="1" applyProtection="1">
      <protection locked="0"/>
    </xf>
    <xf numFmtId="10" fontId="15" fillId="0" borderId="0" xfId="42" applyNumberFormat="1" applyFont="1" applyFill="1" applyBorder="1" applyAlignment="1" applyProtection="1">
      <protection locked="0"/>
    </xf>
    <xf numFmtId="173" fontId="15" fillId="0" borderId="0" xfId="29" applyNumberFormat="1" applyFont="1" applyBorder="1" applyAlignment="1" applyProtection="1">
      <protection locked="0"/>
    </xf>
    <xf numFmtId="10" fontId="15" fillId="29" borderId="12" xfId="42" applyNumberFormat="1" applyFont="1" applyFill="1" applyBorder="1" applyAlignment="1" applyProtection="1">
      <protection locked="0"/>
    </xf>
    <xf numFmtId="173" fontId="15" fillId="0" borderId="12" xfId="29" applyNumberFormat="1" applyFont="1" applyBorder="1" applyAlignment="1" applyProtection="1">
      <protection locked="0"/>
    </xf>
    <xf numFmtId="165" fontId="15" fillId="0" borderId="121" xfId="46" applyNumberFormat="1" applyBorder="1" applyProtection="1">
      <protection locked="0"/>
    </xf>
    <xf numFmtId="9" fontId="15" fillId="0" borderId="121" xfId="46" applyNumberFormat="1" applyBorder="1" applyProtection="1">
      <protection locked="0"/>
    </xf>
    <xf numFmtId="173" fontId="15" fillId="29" borderId="121" xfId="29" applyNumberFormat="1" applyFont="1" applyFill="1" applyBorder="1" applyProtection="1">
      <protection locked="0"/>
    </xf>
    <xf numFmtId="10" fontId="15" fillId="0" borderId="121" xfId="42" applyNumberFormat="1" applyFont="1" applyBorder="1" applyProtection="1">
      <protection locked="0"/>
    </xf>
    <xf numFmtId="173" fontId="15" fillId="0" borderId="121" xfId="29" applyNumberFormat="1" applyFont="1" applyBorder="1" applyProtection="1">
      <protection locked="0"/>
    </xf>
    <xf numFmtId="0" fontId="18" fillId="0" borderId="0" xfId="46" quotePrefix="1" applyFont="1" applyAlignment="1" applyProtection="1">
      <alignment horizontal="center" vertical="center"/>
      <protection locked="0"/>
    </xf>
    <xf numFmtId="0" fontId="92" fillId="0" borderId="0" xfId="46" applyFont="1" applyProtection="1">
      <protection locked="0"/>
    </xf>
    <xf numFmtId="0" fontId="18" fillId="0" borderId="0" xfId="0" applyFont="1" applyAlignment="1" applyProtection="1">
      <protection locked="0"/>
    </xf>
    <xf numFmtId="0" fontId="18" fillId="0" borderId="0" xfId="0" applyFont="1" applyAlignment="1" applyProtection="1">
      <alignment horizontal="left" indent="4"/>
      <protection locked="0"/>
    </xf>
    <xf numFmtId="0" fontId="20" fillId="0" borderId="0" xfId="0" applyFont="1" applyAlignment="1" applyProtection="1">
      <alignment horizontal="center" vertical="center"/>
      <protection locked="0"/>
    </xf>
    <xf numFmtId="0" fontId="0" fillId="28" borderId="10" xfId="0" applyFill="1" applyBorder="1" applyProtection="1">
      <protection locked="0"/>
    </xf>
    <xf numFmtId="0" fontId="15" fillId="0" borderId="32" xfId="0" applyFont="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4" xfId="0"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62" xfId="0" applyFont="1" applyBorder="1" applyAlignment="1" applyProtection="1">
      <alignment horizontal="center" vertical="center" wrapText="1"/>
      <protection locked="0"/>
    </xf>
    <xf numFmtId="0" fontId="0" fillId="0" borderId="27" xfId="0" applyBorder="1" applyProtection="1">
      <protection locked="0"/>
    </xf>
    <xf numFmtId="171" fontId="0" fillId="29" borderId="10" xfId="0" applyNumberFormat="1" applyFill="1" applyBorder="1" applyProtection="1">
      <protection locked="0"/>
    </xf>
    <xf numFmtId="44" fontId="0" fillId="0" borderId="10" xfId="29" applyFont="1" applyFill="1" applyBorder="1" applyProtection="1">
      <protection locked="0"/>
    </xf>
    <xf numFmtId="0" fontId="0" fillId="0" borderId="25" xfId="0" applyBorder="1" applyProtection="1">
      <protection locked="0"/>
    </xf>
    <xf numFmtId="0" fontId="0" fillId="0" borderId="0" xfId="0" applyAlignment="1" applyProtection="1">
      <alignment horizontal="left" indent="4"/>
      <protection locked="0"/>
    </xf>
    <xf numFmtId="0" fontId="0" fillId="0" borderId="72" xfId="0" applyBorder="1" applyProtection="1">
      <protection locked="0"/>
    </xf>
    <xf numFmtId="0" fontId="0" fillId="0" borderId="36" xfId="0" applyBorder="1" applyProtection="1">
      <protection locked="0"/>
    </xf>
    <xf numFmtId="0" fontId="0" fillId="0" borderId="17" xfId="0" applyBorder="1" applyProtection="1">
      <protection locked="0"/>
    </xf>
    <xf numFmtId="0" fontId="0" fillId="0" borderId="38" xfId="0" applyBorder="1" applyProtection="1">
      <protection locked="0"/>
    </xf>
    <xf numFmtId="0" fontId="0" fillId="0" borderId="34" xfId="0" applyBorder="1" applyProtection="1">
      <protection locked="0"/>
    </xf>
    <xf numFmtId="0" fontId="0" fillId="0" borderId="57" xfId="0" applyBorder="1" applyProtection="1">
      <protection locked="0"/>
    </xf>
    <xf numFmtId="44" fontId="0" fillId="0" borderId="34" xfId="0" applyNumberFormat="1" applyBorder="1" applyProtection="1">
      <protection locked="0"/>
    </xf>
    <xf numFmtId="0" fontId="0" fillId="0" borderId="63" xfId="0" applyBorder="1" applyProtection="1">
      <protection locked="0"/>
    </xf>
    <xf numFmtId="0" fontId="0" fillId="0" borderId="0" xfId="0" applyAlignment="1" applyProtection="1">
      <alignment horizontal="center" vertical="top"/>
      <protection locked="0"/>
    </xf>
    <xf numFmtId="0" fontId="0" fillId="0" borderId="54" xfId="0" applyBorder="1" applyAlignment="1" applyProtection="1">
      <alignment horizontal="left" vertical="center" wrapText="1"/>
      <protection locked="0"/>
    </xf>
    <xf numFmtId="10" fontId="0" fillId="0" borderId="10" xfId="42" applyNumberFormat="1" applyFont="1" applyBorder="1" applyProtection="1">
      <protection locked="0"/>
    </xf>
    <xf numFmtId="10" fontId="0" fillId="0" borderId="25" xfId="42" applyNumberFormat="1" applyFont="1" applyBorder="1" applyProtection="1">
      <protection locked="0"/>
    </xf>
    <xf numFmtId="0" fontId="0" fillId="29" borderId="54" xfId="0" applyFill="1" applyBorder="1" applyAlignment="1" applyProtection="1">
      <alignment horizontal="left" vertical="center" wrapText="1"/>
      <protection locked="0"/>
    </xf>
    <xf numFmtId="0" fontId="15" fillId="29" borderId="54" xfId="0" applyFont="1" applyFill="1" applyBorder="1" applyAlignment="1" applyProtection="1">
      <alignment horizontal="left" vertical="center" wrapText="1"/>
      <protection locked="0"/>
    </xf>
    <xf numFmtId="0" fontId="18" fillId="0" borderId="92" xfId="0" applyFont="1" applyBorder="1" applyAlignment="1" applyProtection="1">
      <protection locked="0"/>
    </xf>
    <xf numFmtId="166" fontId="0" fillId="0" borderId="26" xfId="29" applyNumberFormat="1" applyFont="1" applyBorder="1" applyProtection="1">
      <protection locked="0"/>
    </xf>
    <xf numFmtId="10" fontId="0" fillId="0" borderId="26" xfId="0" applyNumberFormat="1" applyBorder="1" applyProtection="1">
      <protection locked="0"/>
    </xf>
    <xf numFmtId="10" fontId="0" fillId="0" borderId="63" xfId="0" applyNumberFormat="1" applyBorder="1" applyProtection="1">
      <protection locked="0"/>
    </xf>
    <xf numFmtId="0" fontId="15" fillId="0" borderId="0" xfId="0" applyFont="1" applyFill="1" applyAlignment="1" applyProtection="1">
      <alignment vertical="top" wrapText="1"/>
      <protection locked="0"/>
    </xf>
    <xf numFmtId="0" fontId="0" fillId="0" borderId="0" xfId="0" applyFill="1" applyAlignment="1" applyProtection="1">
      <alignment horizontal="left" vertical="top" wrapText="1"/>
      <protection locked="0"/>
    </xf>
    <xf numFmtId="0" fontId="18" fillId="0" borderId="0" xfId="0" applyFont="1" applyAlignment="1" applyProtection="1">
      <alignment vertical="top"/>
      <protection locked="0"/>
    </xf>
    <xf numFmtId="0" fontId="18" fillId="0" borderId="0" xfId="0" applyFont="1" applyAlignment="1" applyProtection="1">
      <alignment wrapText="1"/>
      <protection locked="0"/>
    </xf>
    <xf numFmtId="166" fontId="0" fillId="29" borderId="68" xfId="29" applyNumberFormat="1" applyFont="1" applyFill="1" applyBorder="1" applyProtection="1">
      <protection locked="0"/>
    </xf>
    <xf numFmtId="166" fontId="0" fillId="0" borderId="84" xfId="29" applyNumberFormat="1" applyFont="1" applyBorder="1" applyProtection="1">
      <protection locked="0"/>
    </xf>
    <xf numFmtId="166" fontId="0" fillId="0" borderId="85" xfId="29" applyNumberFormat="1" applyFont="1" applyBorder="1" applyProtection="1">
      <protection locked="0"/>
    </xf>
    <xf numFmtId="0" fontId="47" fillId="0" borderId="0" xfId="0" applyFont="1" applyProtection="1">
      <protection locked="0"/>
    </xf>
    <xf numFmtId="0" fontId="47" fillId="0" borderId="0" xfId="0" applyFont="1" applyFill="1" applyProtection="1">
      <protection locked="0"/>
    </xf>
    <xf numFmtId="0" fontId="15" fillId="0" borderId="0" xfId="0" applyFont="1" applyAlignment="1" applyProtection="1">
      <protection locked="0"/>
    </xf>
    <xf numFmtId="0" fontId="18" fillId="0" borderId="19" xfId="0" applyFont="1" applyFill="1" applyBorder="1" applyAlignment="1" applyProtection="1">
      <alignment horizontal="center"/>
      <protection locked="0"/>
    </xf>
    <xf numFmtId="0" fontId="18" fillId="0" borderId="10" xfId="0" applyFont="1" applyFill="1" applyBorder="1" applyAlignment="1" applyProtection="1">
      <alignment horizontal="center" vertical="top" wrapText="1"/>
      <protection locked="0"/>
    </xf>
    <xf numFmtId="0" fontId="18" fillId="0" borderId="25" xfId="0" applyFont="1" applyFill="1" applyBorder="1" applyAlignment="1" applyProtection="1">
      <alignment horizontal="center" vertical="top" wrapText="1"/>
      <protection locked="0"/>
    </xf>
    <xf numFmtId="43" fontId="0" fillId="29" borderId="10" xfId="28" applyFont="1" applyFill="1" applyBorder="1" applyProtection="1">
      <protection locked="0"/>
    </xf>
    <xf numFmtId="43" fontId="0" fillId="0" borderId="10" xfId="28" applyFont="1" applyBorder="1" applyProtection="1">
      <protection locked="0"/>
    </xf>
    <xf numFmtId="43" fontId="0" fillId="29" borderId="26" xfId="28" applyFont="1" applyFill="1" applyBorder="1" applyProtection="1">
      <protection locked="0"/>
    </xf>
    <xf numFmtId="43" fontId="0" fillId="0" borderId="26" xfId="28" applyFont="1" applyBorder="1" applyProtection="1">
      <protection locked="0"/>
    </xf>
    <xf numFmtId="0" fontId="0" fillId="30" borderId="63" xfId="0" applyFill="1" applyBorder="1" applyProtection="1">
      <protection locked="0"/>
    </xf>
    <xf numFmtId="0" fontId="18" fillId="0" borderId="0" xfId="0" applyFont="1" applyAlignment="1" applyProtection="1">
      <alignment horizontal="left" vertical="center"/>
      <protection locked="0"/>
    </xf>
    <xf numFmtId="43" fontId="0" fillId="0" borderId="10" xfId="0" applyNumberFormat="1" applyBorder="1" applyProtection="1">
      <protection locked="0"/>
    </xf>
    <xf numFmtId="0" fontId="0" fillId="0" borderId="25" xfId="0" applyBorder="1" applyAlignment="1" applyProtection="1">
      <alignment horizontal="center"/>
      <protection locked="0"/>
    </xf>
    <xf numFmtId="0" fontId="0" fillId="0" borderId="25" xfId="0" applyFill="1" applyBorder="1" applyAlignment="1" applyProtection="1">
      <alignment horizontal="center"/>
      <protection locked="0"/>
    </xf>
    <xf numFmtId="43" fontId="0" fillId="0" borderId="26" xfId="0" applyNumberFormat="1" applyBorder="1" applyProtection="1">
      <protection locked="0"/>
    </xf>
    <xf numFmtId="0" fontId="0" fillId="63" borderId="63" xfId="0" applyFill="1" applyBorder="1" applyAlignment="1" applyProtection="1">
      <alignment horizontal="center"/>
      <protection locked="0"/>
    </xf>
    <xf numFmtId="0" fontId="15" fillId="0" borderId="27" xfId="46" applyFont="1" applyBorder="1" applyProtection="1">
      <protection locked="0"/>
    </xf>
    <xf numFmtId="167" fontId="15" fillId="29" borderId="25" xfId="28" applyNumberFormat="1" applyFont="1" applyFill="1" applyBorder="1" applyAlignment="1" applyProtection="1">
      <alignment horizontal="right" vertical="top"/>
      <protection locked="0"/>
    </xf>
    <xf numFmtId="0" fontId="15" fillId="0" borderId="28" xfId="46" applyFont="1" applyBorder="1" applyProtection="1">
      <protection locked="0"/>
    </xf>
    <xf numFmtId="167" fontId="15" fillId="29" borderId="63" xfId="28" applyNumberFormat="1" applyFont="1" applyFill="1" applyBorder="1" applyAlignment="1" applyProtection="1">
      <alignment horizontal="right" vertical="top"/>
      <protection locked="0"/>
    </xf>
    <xf numFmtId="0" fontId="15" fillId="0" borderId="20" xfId="46" applyFont="1" applyBorder="1" applyAlignment="1" applyProtection="1">
      <alignment wrapText="1"/>
      <protection locked="0"/>
    </xf>
    <xf numFmtId="44" fontId="15" fillId="29" borderId="66" xfId="29" applyFont="1" applyFill="1" applyBorder="1" applyAlignment="1" applyProtection="1">
      <alignment horizontal="right" vertical="top"/>
      <protection locked="0"/>
    </xf>
    <xf numFmtId="0" fontId="15" fillId="29" borderId="25" xfId="46" applyFont="1" applyFill="1" applyBorder="1" applyAlignment="1" applyProtection="1">
      <alignment horizontal="right" vertical="top"/>
      <protection locked="0"/>
    </xf>
    <xf numFmtId="0" fontId="15" fillId="29" borderId="63" xfId="46" applyFont="1" applyFill="1" applyBorder="1" applyAlignment="1" applyProtection="1">
      <alignment horizontal="right" vertical="top"/>
      <protection locked="0"/>
    </xf>
    <xf numFmtId="0" fontId="15" fillId="0" borderId="32" xfId="46" applyBorder="1" applyAlignment="1" applyProtection="1">
      <alignment horizontal="center"/>
      <protection locked="0"/>
    </xf>
    <xf numFmtId="0" fontId="18" fillId="0" borderId="79" xfId="46" applyFont="1" applyBorder="1" applyAlignment="1" applyProtection="1">
      <alignment horizontal="center"/>
      <protection locked="0"/>
    </xf>
    <xf numFmtId="0" fontId="18" fillId="0" borderId="24" xfId="46" applyFont="1" applyBorder="1" applyAlignment="1" applyProtection="1">
      <alignment horizontal="center"/>
      <protection locked="0"/>
    </xf>
    <xf numFmtId="0" fontId="18" fillId="0" borderId="50" xfId="46" applyFont="1" applyBorder="1" applyAlignment="1" applyProtection="1">
      <alignment horizontal="center"/>
      <protection locked="0"/>
    </xf>
    <xf numFmtId="167" fontId="0" fillId="0" borderId="19" xfId="28" applyNumberFormat="1" applyFont="1" applyBorder="1" applyProtection="1">
      <protection locked="0"/>
    </xf>
    <xf numFmtId="44" fontId="0" fillId="0" borderId="10" xfId="29" applyFont="1" applyBorder="1" applyProtection="1">
      <protection locked="0"/>
    </xf>
    <xf numFmtId="167" fontId="0" fillId="0" borderId="17" xfId="28" applyNumberFormat="1" applyFont="1" applyBorder="1" applyProtection="1">
      <protection locked="0"/>
    </xf>
    <xf numFmtId="0" fontId="18" fillId="0" borderId="28" xfId="46" applyFont="1" applyBorder="1" applyProtection="1">
      <protection locked="0"/>
    </xf>
    <xf numFmtId="0" fontId="15" fillId="0" borderId="80" xfId="46" applyFont="1" applyBorder="1" applyAlignment="1" applyProtection="1">
      <alignment horizontal="center"/>
      <protection locked="0"/>
    </xf>
    <xf numFmtId="167" fontId="15" fillId="0" borderId="26" xfId="28" applyNumberFormat="1" applyFont="1" applyBorder="1" applyAlignment="1" applyProtection="1">
      <alignment horizontal="center"/>
      <protection locked="0"/>
    </xf>
    <xf numFmtId="44" fontId="0" fillId="0" borderId="81" xfId="29" applyFont="1" applyBorder="1" applyProtection="1">
      <protection locked="0"/>
    </xf>
    <xf numFmtId="0" fontId="15" fillId="0" borderId="63" xfId="46" applyFont="1" applyBorder="1" applyAlignment="1" applyProtection="1">
      <alignment horizontal="center"/>
      <protection locked="0"/>
    </xf>
    <xf numFmtId="0" fontId="18" fillId="0" borderId="0" xfId="46" applyFont="1" applyFill="1" applyBorder="1" applyProtection="1">
      <protection locked="0"/>
    </xf>
    <xf numFmtId="0" fontId="15" fillId="0" borderId="20" xfId="46" applyFont="1" applyFill="1" applyBorder="1" applyAlignment="1" applyProtection="1">
      <alignment wrapText="1"/>
      <protection locked="0"/>
    </xf>
    <xf numFmtId="0" fontId="15" fillId="29" borderId="66" xfId="46" applyFont="1" applyFill="1" applyBorder="1" applyAlignment="1" applyProtection="1">
      <alignment horizontal="center" vertical="center"/>
      <protection locked="0"/>
    </xf>
    <xf numFmtId="0" fontId="15" fillId="0" borderId="32" xfId="46" applyFont="1" applyBorder="1" applyProtection="1">
      <protection locked="0"/>
    </xf>
    <xf numFmtId="0" fontId="18" fillId="0" borderId="24" xfId="46" applyFont="1" applyBorder="1" applyAlignment="1" applyProtection="1">
      <alignment horizontal="center" vertical="center" wrapText="1"/>
      <protection locked="0"/>
    </xf>
    <xf numFmtId="0" fontId="18" fillId="0" borderId="79" xfId="46" applyFont="1" applyBorder="1" applyAlignment="1" applyProtection="1">
      <alignment horizontal="center" vertical="center" wrapText="1"/>
      <protection locked="0"/>
    </xf>
    <xf numFmtId="0" fontId="18" fillId="0" borderId="74" xfId="46" applyFont="1" applyBorder="1" applyAlignment="1" applyProtection="1">
      <alignment horizontal="center" wrapText="1"/>
      <protection locked="0"/>
    </xf>
    <xf numFmtId="0" fontId="15" fillId="0" borderId="75" xfId="46" applyBorder="1" applyProtection="1">
      <protection locked="0"/>
    </xf>
    <xf numFmtId="44" fontId="0" fillId="0" borderId="25" xfId="29" applyFont="1" applyBorder="1" applyProtection="1">
      <protection locked="0"/>
    </xf>
    <xf numFmtId="0" fontId="15" fillId="0" borderId="91" xfId="46" applyFont="1" applyBorder="1" applyProtection="1">
      <protection locked="0"/>
    </xf>
    <xf numFmtId="44" fontId="0" fillId="0" borderId="17" xfId="29" applyFont="1" applyBorder="1" applyProtection="1">
      <protection locked="0"/>
    </xf>
    <xf numFmtId="0" fontId="15" fillId="0" borderId="107" xfId="46" applyBorder="1" applyProtection="1">
      <protection locked="0"/>
    </xf>
    <xf numFmtId="0" fontId="15" fillId="0" borderId="92" xfId="46" applyFont="1" applyFill="1" applyBorder="1" applyProtection="1">
      <protection locked="0"/>
    </xf>
    <xf numFmtId="44" fontId="0" fillId="0" borderId="26" xfId="29" applyFont="1" applyBorder="1" applyProtection="1">
      <protection locked="0"/>
    </xf>
    <xf numFmtId="0" fontId="15" fillId="0" borderId="105" xfId="46" applyBorder="1" applyAlignment="1" applyProtection="1">
      <alignment horizontal="center"/>
      <protection locked="0"/>
    </xf>
    <xf numFmtId="44" fontId="0" fillId="0" borderId="35" xfId="29" applyFont="1" applyBorder="1" applyProtection="1">
      <protection locked="0"/>
    </xf>
    <xf numFmtId="0" fontId="18" fillId="0" borderId="24" xfId="46" applyFont="1" applyBorder="1" applyAlignment="1" applyProtection="1">
      <alignment horizontal="center" wrapText="1"/>
      <protection locked="0"/>
    </xf>
    <xf numFmtId="0" fontId="18" fillId="0" borderId="79" xfId="46" applyFont="1" applyBorder="1" applyAlignment="1" applyProtection="1">
      <alignment horizontal="center" wrapText="1"/>
      <protection locked="0"/>
    </xf>
    <xf numFmtId="0" fontId="18" fillId="0" borderId="62" xfId="46" applyFont="1" applyBorder="1" applyAlignment="1" applyProtection="1">
      <alignment horizontal="center" wrapText="1"/>
      <protection locked="0"/>
    </xf>
    <xf numFmtId="44" fontId="15" fillId="0" borderId="10" xfId="46" applyNumberFormat="1" applyBorder="1" applyProtection="1">
      <protection locked="0"/>
    </xf>
    <xf numFmtId="10" fontId="0" fillId="0" borderId="17" xfId="42" applyNumberFormat="1" applyFont="1" applyBorder="1" applyProtection="1">
      <protection locked="0"/>
    </xf>
    <xf numFmtId="44" fontId="15" fillId="0" borderId="17" xfId="46" applyNumberFormat="1" applyBorder="1" applyProtection="1">
      <protection locked="0"/>
    </xf>
    <xf numFmtId="44" fontId="0" fillId="0" borderId="68" xfId="29" applyFont="1" applyBorder="1" applyProtection="1">
      <protection locked="0"/>
    </xf>
    <xf numFmtId="0" fontId="15" fillId="0" borderId="26" xfId="46" applyBorder="1" applyAlignment="1" applyProtection="1">
      <alignment horizontal="center"/>
      <protection locked="0"/>
    </xf>
    <xf numFmtId="44" fontId="0" fillId="0" borderId="63" xfId="29" applyFont="1" applyBorder="1" applyProtection="1">
      <protection locked="0"/>
    </xf>
    <xf numFmtId="10" fontId="0" fillId="0" borderId="63" xfId="42" applyNumberFormat="1" applyFont="1" applyBorder="1" applyProtection="1">
      <protection locked="0"/>
    </xf>
    <xf numFmtId="0" fontId="15" fillId="0" borderId="0" xfId="46" applyFont="1" applyFill="1" applyAlignment="1" applyProtection="1">
      <alignment vertical="top" wrapText="1"/>
      <protection locked="0"/>
    </xf>
    <xf numFmtId="0" fontId="15" fillId="0" borderId="0" xfId="46" applyFill="1" applyAlignment="1" applyProtection="1">
      <alignment horizontal="left" vertical="top" wrapText="1"/>
      <protection locked="0"/>
    </xf>
    <xf numFmtId="0" fontId="18" fillId="0" borderId="0" xfId="0" applyFont="1" applyFill="1" applyAlignment="1" applyProtection="1">
      <alignment horizontal="left" vertical="center"/>
      <protection locked="0"/>
    </xf>
    <xf numFmtId="0" fontId="0" fillId="0" borderId="0" xfId="0" applyFill="1" applyAlignment="1" applyProtection="1">
      <alignment horizontal="left" vertical="center"/>
      <protection locked="0"/>
    </xf>
    <xf numFmtId="169" fontId="0" fillId="0" borderId="0" xfId="0" applyNumberFormat="1" applyFill="1" applyAlignment="1" applyProtection="1">
      <alignment horizontal="left" vertical="center"/>
      <protection locked="0"/>
    </xf>
    <xf numFmtId="0" fontId="22" fillId="0" borderId="0" xfId="0" applyFont="1" applyFill="1" applyAlignment="1" applyProtection="1">
      <alignment horizontal="center" vertical="center"/>
      <protection locked="0"/>
    </xf>
    <xf numFmtId="0" fontId="87" fillId="0" borderId="0" xfId="0" applyFont="1" applyFill="1" applyAlignment="1" applyProtection="1">
      <alignment vertical="center"/>
      <protection locked="0"/>
    </xf>
    <xf numFmtId="0" fontId="20" fillId="0" borderId="0" xfId="0" applyFont="1" applyAlignment="1" applyProtection="1">
      <alignment horizontal="left"/>
      <protection locked="0"/>
    </xf>
    <xf numFmtId="0" fontId="18" fillId="0" borderId="0" xfId="0" applyFont="1" applyFill="1" applyProtection="1">
      <protection locked="0"/>
    </xf>
    <xf numFmtId="0" fontId="18" fillId="0" borderId="10" xfId="0" quotePrefix="1" applyFont="1" applyFill="1" applyBorder="1" applyAlignment="1" applyProtection="1">
      <alignment horizontal="center"/>
      <protection locked="0"/>
    </xf>
    <xf numFmtId="0" fontId="18" fillId="0" borderId="10" xfId="0" quotePrefix="1" applyFont="1" applyBorder="1" applyAlignment="1" applyProtection="1">
      <alignment horizontal="center"/>
      <protection locked="0"/>
    </xf>
    <xf numFmtId="0" fontId="15" fillId="0" borderId="111" xfId="0" applyFont="1" applyBorder="1" applyProtection="1">
      <protection locked="0"/>
    </xf>
    <xf numFmtId="0" fontId="18" fillId="0" borderId="10" xfId="0" applyFont="1" applyFill="1" applyBorder="1" applyAlignment="1" applyProtection="1">
      <alignment vertical="center"/>
      <protection locked="0"/>
    </xf>
    <xf numFmtId="0" fontId="18" fillId="0" borderId="10" xfId="0" applyFont="1" applyFill="1" applyBorder="1" applyAlignment="1" applyProtection="1">
      <alignment horizontal="left" vertical="top" wrapText="1"/>
      <protection locked="0"/>
    </xf>
    <xf numFmtId="0" fontId="15" fillId="0" borderId="10" xfId="0" quotePrefix="1" applyFont="1" applyBorder="1" applyAlignment="1" applyProtection="1">
      <alignment horizontal="center" vertical="center"/>
      <protection locked="0"/>
    </xf>
    <xf numFmtId="0" fontId="15" fillId="0" borderId="10" xfId="0" applyFont="1" applyBorder="1" applyAlignment="1" applyProtection="1">
      <alignment horizontal="left" vertical="top" wrapText="1" indent="1"/>
      <protection locked="0"/>
    </xf>
    <xf numFmtId="44" fontId="15" fillId="29" borderId="10" xfId="29" applyFont="1" applyFill="1" applyBorder="1" applyAlignment="1" applyProtection="1">
      <alignment vertical="center"/>
      <protection locked="0"/>
    </xf>
    <xf numFmtId="44" fontId="15" fillId="0" borderId="10" xfId="29" applyFont="1" applyBorder="1" applyAlignment="1" applyProtection="1">
      <alignment vertical="center"/>
      <protection locked="0"/>
    </xf>
    <xf numFmtId="0" fontId="18" fillId="0" borderId="0" xfId="0" applyFont="1" applyFill="1" applyAlignment="1" applyProtection="1">
      <alignment horizontal="center"/>
      <protection locked="0"/>
    </xf>
    <xf numFmtId="0" fontId="18" fillId="29" borderId="10" xfId="0" applyFont="1" applyFill="1" applyBorder="1" applyAlignment="1" applyProtection="1">
      <alignment horizontal="left" vertical="top" wrapText="1" indent="1"/>
      <protection locked="0"/>
    </xf>
    <xf numFmtId="0" fontId="15" fillId="0" borderId="10" xfId="0" applyFont="1" applyFill="1" applyBorder="1" applyAlignment="1" applyProtection="1">
      <alignment horizontal="left" vertical="top" wrapText="1" indent="1"/>
      <protection locked="0"/>
    </xf>
    <xf numFmtId="0" fontId="15" fillId="0" borderId="0" xfId="0" applyFont="1" applyFill="1" applyAlignment="1" applyProtection="1">
      <protection locked="0"/>
    </xf>
    <xf numFmtId="0" fontId="15" fillId="0" borderId="13" xfId="0" applyFont="1" applyBorder="1" applyAlignment="1" applyProtection="1">
      <alignment horizontal="left" vertical="top" wrapText="1" indent="1"/>
      <protection locked="0"/>
    </xf>
    <xf numFmtId="0" fontId="15" fillId="0" borderId="13" xfId="0" applyFont="1" applyBorder="1" applyAlignment="1" applyProtection="1">
      <alignment vertical="center"/>
      <protection locked="0"/>
    </xf>
    <xf numFmtId="0" fontId="18" fillId="0" borderId="10" xfId="0" applyFont="1" applyBorder="1" applyAlignment="1" applyProtection="1">
      <alignment vertical="center"/>
      <protection locked="0"/>
    </xf>
    <xf numFmtId="0" fontId="18" fillId="0" borderId="111" xfId="0" applyFont="1" applyBorder="1" applyAlignment="1" applyProtection="1">
      <alignment vertical="center"/>
      <protection locked="0"/>
    </xf>
    <xf numFmtId="0" fontId="15" fillId="0" borderId="10" xfId="0" applyFont="1" applyBorder="1" applyAlignment="1" applyProtection="1">
      <alignment vertical="center" wrapText="1"/>
      <protection locked="0"/>
    </xf>
    <xf numFmtId="0" fontId="15" fillId="0" borderId="10" xfId="0" applyFont="1" applyBorder="1" applyAlignment="1" applyProtection="1">
      <alignment horizontal="center" vertical="center"/>
      <protection locked="0"/>
    </xf>
    <xf numFmtId="43" fontId="15" fillId="29" borderId="10" xfId="28" applyFont="1" applyFill="1" applyBorder="1" applyProtection="1">
      <protection locked="0"/>
    </xf>
    <xf numFmtId="167" fontId="15" fillId="29" borderId="10" xfId="28" applyNumberFormat="1" applyFont="1" applyFill="1" applyBorder="1" applyProtection="1">
      <protection locked="0"/>
    </xf>
    <xf numFmtId="10" fontId="15" fillId="0" borderId="10" xfId="42" applyNumberFormat="1" applyFont="1" applyBorder="1" applyProtection="1">
      <protection locked="0"/>
    </xf>
    <xf numFmtId="0" fontId="15" fillId="0" borderId="10" xfId="0" applyFont="1" applyFill="1" applyBorder="1" applyAlignment="1" applyProtection="1">
      <alignment vertical="center" wrapText="1"/>
      <protection locked="0"/>
    </xf>
    <xf numFmtId="0" fontId="18" fillId="0" borderId="10" xfId="0" applyFont="1" applyBorder="1" applyAlignment="1" applyProtection="1">
      <alignment horizontal="left" vertical="center"/>
      <protection locked="0"/>
    </xf>
    <xf numFmtId="0" fontId="15" fillId="0" borderId="10" xfId="0" applyFont="1" applyBorder="1" applyProtection="1">
      <protection locked="0"/>
    </xf>
    <xf numFmtId="0" fontId="15" fillId="0" borderId="10" xfId="0" quotePrefix="1" applyFont="1" applyBorder="1" applyAlignment="1" applyProtection="1">
      <alignment horizontal="center"/>
      <protection locked="0"/>
    </xf>
    <xf numFmtId="0" fontId="15" fillId="0" borderId="10" xfId="0" quotePrefix="1" applyFont="1" applyFill="1" applyBorder="1" applyAlignment="1" applyProtection="1">
      <alignment horizontal="center"/>
      <protection locked="0"/>
    </xf>
    <xf numFmtId="0" fontId="18" fillId="0" borderId="0" xfId="0" applyFont="1" applyBorder="1" applyAlignment="1" applyProtection="1">
      <alignment vertical="center"/>
      <protection locked="0"/>
    </xf>
    <xf numFmtId="168" fontId="15" fillId="0" borderId="10" xfId="29" applyNumberFormat="1" applyFont="1" applyBorder="1" applyProtection="1">
      <protection locked="0"/>
    </xf>
    <xf numFmtId="44" fontId="15" fillId="0" borderId="10" xfId="0" applyNumberFormat="1" applyFont="1" applyBorder="1" applyProtection="1">
      <protection locked="0"/>
    </xf>
    <xf numFmtId="168" fontId="15" fillId="0" borderId="10" xfId="0" applyNumberFormat="1" applyFont="1" applyBorder="1" applyProtection="1">
      <protection locked="0"/>
    </xf>
    <xf numFmtId="4" fontId="15" fillId="0" borderId="10" xfId="42" applyNumberFormat="1" applyFont="1" applyBorder="1" applyProtection="1">
      <protection locked="0"/>
    </xf>
    <xf numFmtId="4" fontId="15" fillId="0" borderId="10" xfId="0" applyNumberFormat="1" applyFont="1" applyBorder="1" applyProtection="1">
      <protection locked="0"/>
    </xf>
    <xf numFmtId="0" fontId="18" fillId="0" borderId="10" xfId="0" applyFont="1" applyBorder="1" applyAlignment="1" applyProtection="1">
      <alignment vertical="center" wrapText="1"/>
      <protection locked="0"/>
    </xf>
    <xf numFmtId="44" fontId="18" fillId="0" borderId="10" xfId="0" applyNumberFormat="1" applyFont="1" applyBorder="1" applyProtection="1">
      <protection locked="0"/>
    </xf>
    <xf numFmtId="168" fontId="18" fillId="0" borderId="10" xfId="29" applyNumberFormat="1" applyFont="1" applyBorder="1" applyProtection="1">
      <protection locked="0"/>
    </xf>
    <xf numFmtId="168" fontId="18" fillId="0" borderId="10" xfId="0" applyNumberFormat="1" applyFont="1" applyBorder="1" applyProtection="1">
      <protection locked="0"/>
    </xf>
    <xf numFmtId="4" fontId="18" fillId="0" borderId="10" xfId="0" applyNumberFormat="1" applyFont="1" applyFill="1" applyBorder="1" applyAlignment="1" applyProtection="1">
      <alignment vertical="center"/>
      <protection locked="0"/>
    </xf>
    <xf numFmtId="0" fontId="15" fillId="0" borderId="30" xfId="0" applyFont="1" applyBorder="1" applyProtection="1">
      <protection locked="0"/>
    </xf>
    <xf numFmtId="0" fontId="18" fillId="0" borderId="43" xfId="0" quotePrefix="1" applyFont="1" applyBorder="1" applyAlignment="1" applyProtection="1">
      <alignment horizontal="center"/>
      <protection locked="0"/>
    </xf>
    <xf numFmtId="0" fontId="18" fillId="0" borderId="45" xfId="0" quotePrefix="1" applyFont="1" applyBorder="1" applyAlignment="1" applyProtection="1">
      <alignment horizontal="center"/>
      <protection locked="0"/>
    </xf>
    <xf numFmtId="0" fontId="15" fillId="0" borderId="40" xfId="0" applyFont="1" applyBorder="1" applyProtection="1">
      <protection locked="0"/>
    </xf>
    <xf numFmtId="0" fontId="18" fillId="0" borderId="40" xfId="0" applyFont="1" applyBorder="1" applyAlignment="1" applyProtection="1">
      <alignment horizontal="center"/>
      <protection locked="0"/>
    </xf>
    <xf numFmtId="0" fontId="18" fillId="0" borderId="29" xfId="0" applyFont="1" applyBorder="1" applyAlignment="1" applyProtection="1">
      <alignment horizontal="center"/>
      <protection locked="0"/>
    </xf>
    <xf numFmtId="0" fontId="15" fillId="0" borderId="29" xfId="0" applyFont="1" applyBorder="1" applyProtection="1">
      <protection locked="0"/>
    </xf>
    <xf numFmtId="0" fontId="15" fillId="0" borderId="41" xfId="0" applyFont="1" applyBorder="1" applyProtection="1">
      <protection locked="0"/>
    </xf>
    <xf numFmtId="0" fontId="15" fillId="0" borderId="41" xfId="0" quotePrefix="1" applyFont="1" applyBorder="1" applyAlignment="1" applyProtection="1">
      <alignment horizontal="center"/>
      <protection locked="0"/>
    </xf>
    <xf numFmtId="0" fontId="15" fillId="0" borderId="29" xfId="0" quotePrefix="1" applyFont="1" applyBorder="1" applyAlignment="1" applyProtection="1">
      <alignment horizontal="center"/>
      <protection locked="0"/>
    </xf>
    <xf numFmtId="0" fontId="15" fillId="0" borderId="41" xfId="0" applyFont="1" applyBorder="1" applyAlignment="1" applyProtection="1">
      <alignment horizontal="center"/>
      <protection locked="0"/>
    </xf>
    <xf numFmtId="0" fontId="15" fillId="0" borderId="43" xfId="0" applyFont="1" applyBorder="1" applyProtection="1">
      <protection locked="0"/>
    </xf>
    <xf numFmtId="10" fontId="15" fillId="29" borderId="42" xfId="42" applyNumberFormat="1" applyFont="1" applyFill="1" applyBorder="1" applyProtection="1">
      <protection locked="0"/>
    </xf>
    <xf numFmtId="10" fontId="15" fillId="29" borderId="41" xfId="42" applyNumberFormat="1" applyFont="1" applyFill="1" applyBorder="1" applyProtection="1">
      <protection locked="0"/>
    </xf>
    <xf numFmtId="10" fontId="15" fillId="29" borderId="31" xfId="42" applyNumberFormat="1" applyFont="1" applyFill="1" applyBorder="1" applyProtection="1">
      <protection locked="0"/>
    </xf>
    <xf numFmtId="0" fontId="15" fillId="0" borderId="44" xfId="0" applyFont="1" applyBorder="1" applyProtection="1">
      <protection locked="0"/>
    </xf>
    <xf numFmtId="10" fontId="15" fillId="0" borderId="44" xfId="42" applyNumberFormat="1" applyFont="1" applyBorder="1" applyProtection="1">
      <protection locked="0"/>
    </xf>
    <xf numFmtId="0" fontId="15" fillId="0" borderId="22" xfId="0" applyFont="1" applyBorder="1" applyProtection="1">
      <protection locked="0"/>
    </xf>
    <xf numFmtId="9" fontId="15" fillId="29" borderId="22" xfId="42" applyFont="1" applyFill="1" applyBorder="1" applyProtection="1">
      <protection locked="0"/>
    </xf>
    <xf numFmtId="0" fontId="18" fillId="0" borderId="41" xfId="0" applyFont="1" applyBorder="1" applyProtection="1">
      <protection locked="0"/>
    </xf>
    <xf numFmtId="10" fontId="15" fillId="0" borderId="41" xfId="42" applyNumberFormat="1" applyFont="1" applyBorder="1" applyProtection="1">
      <protection locked="0"/>
    </xf>
    <xf numFmtId="0" fontId="15" fillId="0" borderId="31" xfId="0" applyFont="1" applyBorder="1" applyProtection="1">
      <protection locked="0"/>
    </xf>
    <xf numFmtId="0" fontId="0" fillId="0" borderId="27" xfId="0" applyFill="1" applyBorder="1" applyProtection="1">
      <protection locked="0"/>
    </xf>
    <xf numFmtId="0" fontId="18" fillId="0" borderId="27" xfId="0" applyFont="1" applyBorder="1" applyAlignment="1" applyProtection="1">
      <alignment vertical="top"/>
      <protection locked="0"/>
    </xf>
    <xf numFmtId="167" fontId="0" fillId="0" borderId="25" xfId="28" applyNumberFormat="1" applyFont="1" applyBorder="1" applyAlignment="1" applyProtection="1">
      <alignment horizontal="right" vertical="center"/>
      <protection locked="0"/>
    </xf>
    <xf numFmtId="167" fontId="0" fillId="0" borderId="25" xfId="28" applyNumberFormat="1" applyFont="1" applyFill="1" applyBorder="1" applyAlignment="1" applyProtection="1">
      <alignment horizontal="right" vertical="center"/>
      <protection locked="0"/>
    </xf>
    <xf numFmtId="190" fontId="0" fillId="0" borderId="25" xfId="0" applyNumberFormat="1" applyFill="1" applyBorder="1" applyAlignment="1" applyProtection="1">
      <alignment horizontal="right" vertical="center"/>
      <protection locked="0"/>
    </xf>
    <xf numFmtId="0" fontId="0" fillId="0" borderId="27" xfId="0" applyFill="1" applyBorder="1" applyAlignment="1" applyProtection="1">
      <alignment vertical="top"/>
      <protection locked="0"/>
    </xf>
    <xf numFmtId="190" fontId="0" fillId="0" borderId="25" xfId="0" applyNumberFormat="1" applyBorder="1" applyAlignment="1" applyProtection="1">
      <alignment horizontal="right" vertical="center"/>
      <protection locked="0"/>
    </xf>
    <xf numFmtId="0" fontId="0" fillId="0" borderId="28" xfId="0" applyBorder="1" applyAlignment="1" applyProtection="1">
      <alignment vertical="top"/>
      <protection locked="0"/>
    </xf>
    <xf numFmtId="190" fontId="0" fillId="0" borderId="26" xfId="0" applyNumberFormat="1" applyBorder="1" applyAlignment="1" applyProtection="1">
      <alignment horizontal="right" vertical="center"/>
      <protection locked="0"/>
    </xf>
    <xf numFmtId="0" fontId="38" fillId="0" borderId="0" xfId="0" applyFont="1" applyAlignment="1" applyProtection="1">
      <alignment horizontal="center"/>
      <protection locked="0"/>
    </xf>
    <xf numFmtId="0" fontId="38" fillId="0" borderId="0" xfId="0" applyFont="1" applyProtection="1">
      <protection locked="0"/>
    </xf>
    <xf numFmtId="0" fontId="18" fillId="0" borderId="32" xfId="0" applyFont="1" applyFill="1" applyBorder="1" applyAlignment="1" applyProtection="1">
      <alignment horizontal="center" vertical="center"/>
      <protection locked="0"/>
    </xf>
    <xf numFmtId="0" fontId="18" fillId="0" borderId="24" xfId="0" applyFont="1" applyFill="1" applyBorder="1" applyAlignment="1" applyProtection="1">
      <alignment horizontal="center" vertical="center"/>
      <protection locked="0"/>
    </xf>
    <xf numFmtId="0" fontId="18" fillId="0" borderId="62" xfId="0" applyFont="1" applyFill="1" applyBorder="1" applyAlignment="1" applyProtection="1">
      <alignment horizontal="center" vertical="center" wrapText="1"/>
      <protection locked="0"/>
    </xf>
    <xf numFmtId="0" fontId="18" fillId="0" borderId="27" xfId="0" applyFont="1" applyFill="1" applyBorder="1" applyAlignment="1" applyProtection="1">
      <alignment horizontal="center"/>
      <protection locked="0"/>
    </xf>
    <xf numFmtId="0" fontId="18" fillId="0" borderId="25" xfId="0" quotePrefix="1" applyFont="1" applyFill="1" applyBorder="1" applyAlignment="1" applyProtection="1">
      <alignment horizontal="center"/>
      <protection locked="0"/>
    </xf>
    <xf numFmtId="0" fontId="0" fillId="0" borderId="27" xfId="0" applyBorder="1" applyAlignment="1" applyProtection="1">
      <alignment horizontal="center"/>
      <protection locked="0"/>
    </xf>
    <xf numFmtId="0" fontId="0" fillId="0" borderId="10" xfId="0" applyBorder="1" applyAlignment="1" applyProtection="1">
      <alignment horizontal="center"/>
      <protection locked="0"/>
    </xf>
    <xf numFmtId="166" fontId="0" fillId="0" borderId="25" xfId="29" applyNumberFormat="1" applyFont="1" applyBorder="1" applyProtection="1">
      <protection locked="0"/>
    </xf>
    <xf numFmtId="0" fontId="0" fillId="0" borderId="91"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26" xfId="0" quotePrefix="1" applyBorder="1" applyAlignment="1" applyProtection="1">
      <alignment horizontal="center"/>
      <protection locked="0"/>
    </xf>
    <xf numFmtId="166" fontId="0" fillId="29" borderId="26" xfId="29" applyNumberFormat="1" applyFont="1" applyFill="1" applyBorder="1" applyProtection="1">
      <protection locked="0"/>
    </xf>
    <xf numFmtId="166" fontId="0" fillId="0" borderId="63" xfId="29" applyNumberFormat="1" applyFont="1" applyBorder="1" applyProtection="1">
      <protection locked="0"/>
    </xf>
    <xf numFmtId="0" fontId="0" fillId="0" borderId="0" xfId="0" quotePrefix="1" applyProtection="1">
      <protection locked="0"/>
    </xf>
    <xf numFmtId="0" fontId="45" fillId="0" borderId="0" xfId="0" applyFont="1" applyProtection="1">
      <protection locked="0"/>
    </xf>
    <xf numFmtId="0" fontId="15" fillId="0" borderId="69" xfId="46" applyBorder="1" applyProtection="1">
      <protection locked="0"/>
    </xf>
    <xf numFmtId="0" fontId="18" fillId="0" borderId="74" xfId="46" applyFont="1" applyFill="1" applyBorder="1" applyAlignment="1" applyProtection="1">
      <alignment horizontal="center"/>
      <protection locked="0"/>
    </xf>
    <xf numFmtId="0" fontId="15" fillId="0" borderId="15" xfId="46" applyBorder="1" applyProtection="1">
      <protection locked="0"/>
    </xf>
    <xf numFmtId="0" fontId="18" fillId="0" borderId="67" xfId="46" applyFont="1" applyFill="1" applyBorder="1" applyAlignment="1" applyProtection="1">
      <alignment horizontal="center"/>
      <protection locked="0"/>
    </xf>
    <xf numFmtId="0" fontId="15" fillId="0" borderId="34" xfId="46" applyBorder="1" applyProtection="1">
      <protection locked="0"/>
    </xf>
    <xf numFmtId="166" fontId="0" fillId="0" borderId="60" xfId="29" applyNumberFormat="1" applyFont="1" applyBorder="1" applyProtection="1">
      <protection locked="0"/>
    </xf>
    <xf numFmtId="0" fontId="15" fillId="0" borderId="0" xfId="46" applyFont="1" applyAlignment="1" applyProtection="1">
      <alignment horizontal="center"/>
      <protection locked="0"/>
    </xf>
    <xf numFmtId="0" fontId="15" fillId="0" borderId="0" xfId="46" applyFont="1" applyAlignment="1" applyProtection="1">
      <alignment horizontal="right" wrapText="1"/>
      <protection locked="0"/>
    </xf>
    <xf numFmtId="0" fontId="59" fillId="69" borderId="0" xfId="46" applyFont="1" applyFill="1" applyAlignment="1" applyProtection="1">
      <alignment horizontal="left" vertical="top"/>
      <protection locked="0"/>
    </xf>
    <xf numFmtId="0" fontId="106" fillId="69" borderId="0" xfId="46" applyFont="1" applyFill="1" applyAlignment="1" applyProtection="1">
      <alignment horizontal="left" vertical="top"/>
      <protection locked="0"/>
    </xf>
    <xf numFmtId="166" fontId="15" fillId="0" borderId="60" xfId="29" applyNumberFormat="1" applyFont="1" applyBorder="1" applyProtection="1">
      <protection locked="0"/>
    </xf>
    <xf numFmtId="0" fontId="63" fillId="69" borderId="0" xfId="46" applyFont="1" applyFill="1" applyAlignment="1" applyProtection="1">
      <alignment horizontal="left" vertical="top"/>
      <protection locked="0"/>
    </xf>
    <xf numFmtId="0" fontId="18" fillId="67" borderId="74" xfId="46" applyFont="1" applyFill="1" applyBorder="1" applyAlignment="1" applyProtection="1">
      <alignment horizontal="center"/>
      <protection locked="0"/>
    </xf>
    <xf numFmtId="0" fontId="18" fillId="67" borderId="67" xfId="46" applyFont="1" applyFill="1" applyBorder="1" applyAlignment="1" applyProtection="1">
      <alignment horizontal="center"/>
      <protection locked="0"/>
    </xf>
    <xf numFmtId="0" fontId="18" fillId="67" borderId="64" xfId="46" applyFont="1" applyFill="1" applyBorder="1" applyAlignment="1" applyProtection="1">
      <alignment horizontal="center"/>
      <protection locked="0"/>
    </xf>
    <xf numFmtId="166" fontId="15" fillId="0" borderId="25" xfId="29" applyNumberFormat="1" applyFill="1" applyBorder="1" applyProtection="1">
      <protection locked="0"/>
    </xf>
    <xf numFmtId="166" fontId="15" fillId="29" borderId="180" xfId="29" applyNumberFormat="1" applyFill="1" applyBorder="1" applyProtection="1">
      <protection locked="0"/>
    </xf>
    <xf numFmtId="166" fontId="15" fillId="0" borderId="35" xfId="29" applyNumberFormat="1" applyBorder="1" applyProtection="1">
      <protection locked="0"/>
    </xf>
    <xf numFmtId="166" fontId="15" fillId="29" borderId="63" xfId="29" applyNumberFormat="1" applyFill="1" applyBorder="1" applyProtection="1">
      <protection locked="0"/>
    </xf>
    <xf numFmtId="0" fontId="0" fillId="0" borderId="40" xfId="0" applyBorder="1" applyProtection="1">
      <protection locked="0"/>
    </xf>
    <xf numFmtId="0" fontId="0" fillId="0" borderId="29" xfId="0" applyBorder="1" applyProtection="1">
      <protection locked="0"/>
    </xf>
    <xf numFmtId="0" fontId="0" fillId="0" borderId="43" xfId="0" applyBorder="1" applyAlignment="1" applyProtection="1">
      <alignment horizontal="center"/>
      <protection locked="0"/>
    </xf>
    <xf numFmtId="0" fontId="0" fillId="0" borderId="43" xfId="0" applyBorder="1" applyProtection="1">
      <protection locked="0"/>
    </xf>
    <xf numFmtId="0" fontId="0" fillId="26" borderId="40" xfId="0" applyFill="1" applyBorder="1" applyProtection="1">
      <protection locked="0"/>
    </xf>
    <xf numFmtId="0" fontId="0" fillId="29" borderId="40" xfId="0" applyFill="1" applyBorder="1" applyProtection="1">
      <protection locked="0"/>
    </xf>
    <xf numFmtId="0" fontId="0" fillId="28" borderId="40" xfId="0" applyFill="1" applyBorder="1" applyAlignment="1" applyProtection="1">
      <alignment vertical="center"/>
      <protection locked="0"/>
    </xf>
    <xf numFmtId="167" fontId="15" fillId="29" borderId="40" xfId="28" applyNumberFormat="1" applyFill="1" applyBorder="1" applyProtection="1">
      <protection locked="0"/>
    </xf>
    <xf numFmtId="167" fontId="15" fillId="29" borderId="29" xfId="28" applyNumberFormat="1" applyFill="1" applyBorder="1" applyProtection="1">
      <protection locked="0"/>
    </xf>
    <xf numFmtId="168" fontId="15" fillId="29" borderId="40" xfId="29" applyNumberFormat="1" applyFill="1" applyBorder="1" applyProtection="1">
      <protection locked="0"/>
    </xf>
    <xf numFmtId="44" fontId="15" fillId="0" borderId="40" xfId="29" applyNumberFormat="1" applyBorder="1" applyProtection="1">
      <protection locked="0"/>
    </xf>
    <xf numFmtId="166" fontId="15" fillId="29" borderId="40" xfId="29" applyNumberFormat="1" applyFill="1" applyBorder="1" applyProtection="1">
      <protection locked="0"/>
    </xf>
    <xf numFmtId="166" fontId="15" fillId="0" borderId="40" xfId="29" applyNumberFormat="1" applyBorder="1" applyProtection="1">
      <protection locked="0"/>
    </xf>
    <xf numFmtId="166" fontId="15" fillId="0" borderId="29" xfId="29" applyNumberFormat="1" applyBorder="1" applyProtection="1">
      <protection locked="0"/>
    </xf>
    <xf numFmtId="44" fontId="0" fillId="0" borderId="40" xfId="0" applyNumberFormat="1" applyBorder="1" applyProtection="1">
      <protection locked="0"/>
    </xf>
    <xf numFmtId="0" fontId="0" fillId="0" borderId="47" xfId="0" applyBorder="1" applyProtection="1">
      <protection locked="0"/>
    </xf>
    <xf numFmtId="0" fontId="0" fillId="0" borderId="41" xfId="0" applyBorder="1" applyProtection="1">
      <protection locked="0"/>
    </xf>
    <xf numFmtId="0" fontId="0" fillId="0" borderId="31" xfId="0" applyBorder="1" applyProtection="1">
      <protection locked="0"/>
    </xf>
    <xf numFmtId="44" fontId="0" fillId="0" borderId="41" xfId="0" applyNumberFormat="1" applyBorder="1" applyProtection="1">
      <protection locked="0"/>
    </xf>
    <xf numFmtId="0" fontId="0" fillId="26" borderId="41" xfId="0" applyFill="1" applyBorder="1" applyProtection="1">
      <protection locked="0"/>
    </xf>
    <xf numFmtId="166" fontId="0" fillId="0" borderId="41" xfId="0" applyNumberFormat="1" applyBorder="1" applyProtection="1">
      <protection locked="0"/>
    </xf>
    <xf numFmtId="166" fontId="0" fillId="0" borderId="31" xfId="0" applyNumberFormat="1" applyBorder="1" applyProtection="1">
      <protection locked="0"/>
    </xf>
    <xf numFmtId="0" fontId="18" fillId="0" borderId="0" xfId="0" applyFont="1" applyAlignment="1" applyProtection="1">
      <alignment horizontal="left" vertical="center" wrapText="1"/>
      <protection locked="0"/>
    </xf>
    <xf numFmtId="0" fontId="18" fillId="0" borderId="0" xfId="46" applyFont="1" applyAlignment="1" applyProtection="1">
      <alignment horizontal="right" vertical="center"/>
      <protection locked="0"/>
    </xf>
    <xf numFmtId="0" fontId="67" fillId="67" borderId="0" xfId="46" applyFont="1" applyFill="1" applyBorder="1" applyAlignment="1" applyProtection="1">
      <alignment vertical="top"/>
      <protection locked="0"/>
    </xf>
    <xf numFmtId="0" fontId="18" fillId="67" borderId="10" xfId="28" applyNumberFormat="1" applyFont="1" applyFill="1" applyBorder="1" applyAlignment="1" applyProtection="1">
      <alignment horizontal="center" vertical="center"/>
      <protection locked="0"/>
    </xf>
    <xf numFmtId="0" fontId="20" fillId="67" borderId="0" xfId="46" applyFont="1" applyFill="1" applyAlignment="1" applyProtection="1">
      <alignment vertical="center"/>
      <protection locked="0"/>
    </xf>
    <xf numFmtId="190" fontId="18" fillId="67" borderId="10" xfId="42" applyNumberFormat="1" applyFont="1" applyFill="1" applyBorder="1" applyProtection="1">
      <protection locked="0"/>
    </xf>
    <xf numFmtId="44" fontId="15" fillId="0" borderId="0" xfId="46" applyNumberFormat="1" applyProtection="1">
      <protection locked="0"/>
    </xf>
    <xf numFmtId="0" fontId="18" fillId="0" borderId="41" xfId="46" applyFont="1" applyFill="1" applyBorder="1" applyAlignment="1" applyProtection="1">
      <alignment horizontal="center"/>
      <protection locked="0"/>
    </xf>
    <xf numFmtId="0" fontId="18" fillId="0" borderId="35" xfId="46" applyFont="1" applyFill="1" applyBorder="1" applyAlignment="1" applyProtection="1">
      <alignment horizontal="center"/>
      <protection locked="0"/>
    </xf>
    <xf numFmtId="0" fontId="18" fillId="0" borderId="46" xfId="46" applyFont="1" applyFill="1" applyBorder="1" applyAlignment="1" applyProtection="1">
      <alignment horizontal="center"/>
      <protection locked="0"/>
    </xf>
    <xf numFmtId="0" fontId="15" fillId="0" borderId="30" xfId="46" applyFill="1" applyBorder="1" applyAlignment="1" applyProtection="1">
      <protection locked="0"/>
    </xf>
    <xf numFmtId="0" fontId="15" fillId="0" borderId="31" xfId="46" applyFill="1" applyBorder="1" applyAlignment="1" applyProtection="1">
      <protection locked="0"/>
    </xf>
    <xf numFmtId="166" fontId="15" fillId="29" borderId="64" xfId="29" applyNumberFormat="1" applyFill="1" applyBorder="1" applyProtection="1">
      <protection locked="0"/>
    </xf>
    <xf numFmtId="166" fontId="15" fillId="0" borderId="64" xfId="29" applyNumberFormat="1" applyFill="1" applyBorder="1" applyProtection="1">
      <protection locked="0"/>
    </xf>
    <xf numFmtId="166" fontId="15" fillId="0" borderId="130" xfId="29" applyNumberFormat="1" applyFill="1" applyBorder="1" applyProtection="1">
      <protection locked="0"/>
    </xf>
    <xf numFmtId="166" fontId="15" fillId="0" borderId="37" xfId="29" applyNumberFormat="1" applyFill="1" applyBorder="1" applyProtection="1">
      <protection locked="0"/>
    </xf>
    <xf numFmtId="0" fontId="0" fillId="0" borderId="0" xfId="0" applyFill="1" applyAlignment="1" applyProtection="1">
      <alignment vertical="center"/>
      <protection locked="0"/>
    </xf>
    <xf numFmtId="49" fontId="0" fillId="0" borderId="0" xfId="0" applyNumberFormat="1" applyAlignment="1" applyProtection="1">
      <alignment vertical="center" wrapText="1"/>
      <protection locked="0"/>
    </xf>
    <xf numFmtId="0" fontId="82" fillId="0" borderId="0" xfId="0" applyFont="1" applyFill="1" applyBorder="1" applyAlignment="1" applyProtection="1">
      <alignment horizontal="right" vertical="center"/>
      <protection locked="0"/>
    </xf>
    <xf numFmtId="0" fontId="15" fillId="0" borderId="0" xfId="0" applyFont="1" applyFill="1" applyBorder="1" applyAlignment="1" applyProtection="1">
      <alignment horizontal="left" vertical="center"/>
      <protection locked="0"/>
    </xf>
    <xf numFmtId="0" fontId="0" fillId="0" borderId="0" xfId="0" applyFill="1" applyBorder="1" applyAlignment="1" applyProtection="1">
      <alignment horizontal="left" vertical="center"/>
      <protection locked="0"/>
    </xf>
    <xf numFmtId="0" fontId="0" fillId="67" borderId="102" xfId="0" applyFill="1" applyBorder="1" applyAlignment="1" applyProtection="1">
      <alignment vertical="top"/>
      <protection locked="0"/>
    </xf>
    <xf numFmtId="0" fontId="0" fillId="67" borderId="164" xfId="0" applyFill="1" applyBorder="1" applyAlignment="1" applyProtection="1">
      <alignment vertical="top"/>
      <protection locked="0"/>
    </xf>
    <xf numFmtId="0" fontId="0" fillId="67" borderId="127" xfId="0" applyFill="1" applyBorder="1" applyAlignment="1" applyProtection="1">
      <alignment vertical="top"/>
      <protection locked="0"/>
    </xf>
    <xf numFmtId="0" fontId="0" fillId="67" borderId="165" xfId="0" applyFill="1" applyBorder="1" applyAlignment="1" applyProtection="1">
      <alignment vertical="top"/>
      <protection locked="0"/>
    </xf>
    <xf numFmtId="0" fontId="0" fillId="67" borderId="0" xfId="0" applyFill="1" applyProtection="1">
      <protection locked="0"/>
    </xf>
    <xf numFmtId="0" fontId="0" fillId="0" borderId="102" xfId="0" applyFill="1" applyBorder="1" applyAlignment="1" applyProtection="1">
      <alignment vertical="top"/>
      <protection locked="0"/>
    </xf>
    <xf numFmtId="0" fontId="0" fillId="0" borderId="164" xfId="0" applyFill="1" applyBorder="1" applyAlignment="1" applyProtection="1">
      <alignment vertical="top"/>
      <protection locked="0"/>
    </xf>
    <xf numFmtId="0" fontId="0" fillId="0" borderId="127" xfId="0" applyFill="1" applyBorder="1" applyAlignment="1" applyProtection="1">
      <alignment vertical="top"/>
      <protection locked="0"/>
    </xf>
    <xf numFmtId="0" fontId="0" fillId="0" borderId="165" xfId="0" applyFill="1" applyBorder="1" applyAlignment="1" applyProtection="1">
      <alignment vertical="top"/>
      <protection locked="0"/>
    </xf>
    <xf numFmtId="0" fontId="18" fillId="0" borderId="162" xfId="0" applyFont="1" applyFill="1" applyBorder="1" applyAlignment="1" applyProtection="1">
      <alignment vertical="center"/>
      <protection locked="0"/>
    </xf>
    <xf numFmtId="0" fontId="18" fillId="0" borderId="102" xfId="0" applyFont="1" applyFill="1" applyBorder="1" applyAlignment="1" applyProtection="1">
      <alignment vertical="center"/>
      <protection locked="0"/>
    </xf>
    <xf numFmtId="0" fontId="18" fillId="0" borderId="164" xfId="0" applyFont="1" applyFill="1" applyBorder="1" applyAlignment="1" applyProtection="1">
      <alignment vertical="center"/>
      <protection locked="0"/>
    </xf>
    <xf numFmtId="0" fontId="18" fillId="0" borderId="163" xfId="0" applyFont="1" applyFill="1" applyBorder="1" applyAlignment="1" applyProtection="1">
      <alignment vertical="center"/>
      <protection locked="0"/>
    </xf>
    <xf numFmtId="0" fontId="18" fillId="0" borderId="127" xfId="0" applyFont="1" applyFill="1" applyBorder="1" applyAlignment="1" applyProtection="1">
      <alignment vertical="center"/>
      <protection locked="0"/>
    </xf>
    <xf numFmtId="0" fontId="18" fillId="0" borderId="165" xfId="0" applyFont="1" applyFill="1" applyBorder="1" applyAlignment="1" applyProtection="1">
      <alignment vertical="center"/>
      <protection locked="0"/>
    </xf>
    <xf numFmtId="0" fontId="0" fillId="0" borderId="0" xfId="0" applyFill="1" applyAlignment="1" applyProtection="1">
      <protection locked="0"/>
    </xf>
    <xf numFmtId="0" fontId="18" fillId="0" borderId="0" xfId="0" applyFont="1" applyFill="1" applyAlignment="1" applyProtection="1">
      <alignment vertical="center"/>
      <protection locked="0"/>
    </xf>
    <xf numFmtId="0" fontId="0" fillId="0" borderId="162" xfId="0" applyFill="1" applyBorder="1" applyAlignment="1" applyProtection="1">
      <alignment vertical="top"/>
      <protection locked="0"/>
    </xf>
    <xf numFmtId="0" fontId="0" fillId="0" borderId="163" xfId="0" applyFill="1" applyBorder="1" applyAlignment="1" applyProtection="1">
      <alignment vertical="top"/>
      <protection locked="0"/>
    </xf>
    <xf numFmtId="0" fontId="0" fillId="0" borderId="0" xfId="0" applyFill="1" applyAlignment="1" applyProtection="1">
      <alignment vertical="top"/>
      <protection locked="0"/>
    </xf>
    <xf numFmtId="0" fontId="131" fillId="0" borderId="0" xfId="0" applyFont="1" applyAlignment="1" applyProtection="1">
      <alignment vertical="center"/>
      <protection locked="0"/>
    </xf>
    <xf numFmtId="0" fontId="0" fillId="0" borderId="0" xfId="0" applyAlignment="1" applyProtection="1">
      <alignment horizontal="left" vertical="top"/>
      <protection locked="0"/>
    </xf>
    <xf numFmtId="0" fontId="125" fillId="0" borderId="0" xfId="0" applyFont="1" applyAlignment="1" applyProtection="1">
      <alignment vertical="center" wrapText="1"/>
      <protection locked="0"/>
    </xf>
    <xf numFmtId="0" fontId="126" fillId="0" borderId="0" xfId="0" applyFont="1" applyAlignment="1" applyProtection="1">
      <alignment vertical="center" wrapText="1"/>
      <protection locked="0"/>
    </xf>
    <xf numFmtId="0" fontId="61" fillId="0" borderId="0" xfId="0" applyFont="1" applyAlignment="1" applyProtection="1">
      <alignment vertical="center" wrapText="1"/>
      <protection locked="0"/>
    </xf>
    <xf numFmtId="0" fontId="121" fillId="0" borderId="0" xfId="0" applyFont="1" applyAlignment="1" applyProtection="1">
      <alignment vertical="center" wrapText="1"/>
      <protection locked="0"/>
    </xf>
    <xf numFmtId="0" fontId="127" fillId="0" borderId="0" xfId="0" applyFont="1" applyAlignment="1" applyProtection="1">
      <alignment vertical="center" wrapText="1"/>
      <protection locked="0"/>
    </xf>
    <xf numFmtId="0" fontId="11" fillId="0" borderId="0" xfId="101" applyProtection="1">
      <protection locked="0"/>
    </xf>
    <xf numFmtId="0" fontId="11" fillId="0" borderId="0" xfId="101" applyFill="1" applyProtection="1">
      <protection locked="0"/>
    </xf>
    <xf numFmtId="179" fontId="11" fillId="0" borderId="0" xfId="101" applyNumberFormat="1" applyProtection="1">
      <protection locked="0"/>
    </xf>
    <xf numFmtId="179" fontId="11" fillId="0" borderId="0" xfId="101" applyNumberFormat="1" applyFill="1" applyProtection="1">
      <protection locked="0"/>
    </xf>
    <xf numFmtId="15" fontId="22" fillId="0" borderId="0" xfId="99" applyNumberFormat="1" applyFont="1" applyProtection="1">
      <protection locked="0"/>
    </xf>
    <xf numFmtId="179" fontId="15" fillId="0" borderId="0" xfId="99" applyNumberFormat="1" applyProtection="1">
      <protection locked="0"/>
    </xf>
    <xf numFmtId="179" fontId="0" fillId="0" borderId="0" xfId="0" applyNumberFormat="1" applyFill="1" applyProtection="1">
      <protection locked="0"/>
    </xf>
    <xf numFmtId="179" fontId="0" fillId="0" borderId="0" xfId="0" applyNumberFormat="1" applyAlignment="1" applyProtection="1">
      <alignment horizontal="center"/>
      <protection locked="0"/>
    </xf>
    <xf numFmtId="179" fontId="17" fillId="0" borderId="0" xfId="0" applyNumberFormat="1" applyFont="1" applyFill="1" applyProtection="1">
      <protection locked="0"/>
    </xf>
    <xf numFmtId="179" fontId="0" fillId="0" borderId="0" xfId="0" applyNumberFormat="1" applyAlignment="1" applyProtection="1">
      <alignment horizontal="left"/>
      <protection locked="0"/>
    </xf>
    <xf numFmtId="179" fontId="85" fillId="0" borderId="0" xfId="0" applyNumberFormat="1" applyFont="1" applyFill="1" applyAlignment="1" applyProtection="1">
      <alignment vertical="top" wrapText="1"/>
      <protection locked="0"/>
    </xf>
    <xf numFmtId="0" fontId="85" fillId="0" borderId="0" xfId="0" applyFont="1" applyFill="1" applyAlignment="1" applyProtection="1">
      <alignment vertical="top" wrapText="1"/>
      <protection locked="0"/>
    </xf>
    <xf numFmtId="179" fontId="0" fillId="0" borderId="0" xfId="0" applyNumberFormat="1" applyAlignment="1" applyProtection="1">
      <alignment vertical="top" wrapText="1"/>
      <protection locked="0"/>
    </xf>
    <xf numFmtId="15" fontId="66" fillId="0" borderId="0" xfId="99" applyNumberFormat="1" applyFont="1" applyAlignment="1" applyProtection="1">
      <alignment vertical="top"/>
      <protection locked="0"/>
    </xf>
    <xf numFmtId="0" fontId="15" fillId="0" borderId="0" xfId="99" applyAlignment="1" applyProtection="1">
      <alignment vertical="top"/>
      <protection locked="0"/>
    </xf>
    <xf numFmtId="179" fontId="15" fillId="0" borderId="0" xfId="99" applyNumberFormat="1" applyAlignment="1" applyProtection="1">
      <alignment horizontal="left" vertical="top"/>
      <protection locked="0"/>
    </xf>
    <xf numFmtId="0" fontId="0" fillId="28" borderId="172" xfId="0" applyFill="1" applyBorder="1" applyAlignment="1" applyProtection="1">
      <alignment horizontal="left" vertical="center"/>
      <protection locked="0"/>
    </xf>
    <xf numFmtId="179" fontId="0" fillId="29" borderId="164" xfId="0" applyNumberFormat="1" applyFill="1" applyBorder="1" applyAlignment="1" applyProtection="1">
      <alignment horizontal="right" vertical="center"/>
      <protection locked="0"/>
    </xf>
    <xf numFmtId="179" fontId="0" fillId="0" borderId="0" xfId="0" applyNumberFormat="1" applyAlignment="1" applyProtection="1">
      <alignment horizontal="left" vertical="center"/>
      <protection locked="0"/>
    </xf>
    <xf numFmtId="0" fontId="15" fillId="0" borderId="0" xfId="99" applyAlignment="1" applyProtection="1">
      <alignment horizontal="center"/>
      <protection locked="0"/>
    </xf>
    <xf numFmtId="15" fontId="18" fillId="0" borderId="0" xfId="99" applyNumberFormat="1" applyFont="1" applyAlignment="1" applyProtection="1">
      <protection locked="0"/>
    </xf>
    <xf numFmtId="0" fontId="15" fillId="0" borderId="0" xfId="99" applyAlignment="1" applyProtection="1">
      <protection locked="0"/>
    </xf>
    <xf numFmtId="179" fontId="15" fillId="0" borderId="0" xfId="99" applyNumberFormat="1" applyAlignment="1" applyProtection="1">
      <protection locked="0"/>
    </xf>
    <xf numFmtId="179" fontId="0" fillId="0" borderId="0" xfId="0" applyNumberFormat="1" applyAlignment="1" applyProtection="1">
      <protection locked="0"/>
    </xf>
    <xf numFmtId="0" fontId="18" fillId="0" borderId="0" xfId="99" applyFont="1" applyProtection="1">
      <protection locked="0"/>
    </xf>
    <xf numFmtId="15" fontId="124" fillId="0" borderId="0" xfId="99" applyNumberFormat="1" applyFont="1" applyProtection="1">
      <protection locked="0"/>
    </xf>
    <xf numFmtId="0" fontId="122" fillId="0" borderId="0" xfId="0" applyFont="1" applyProtection="1">
      <protection locked="0"/>
    </xf>
    <xf numFmtId="0" fontId="128" fillId="0" borderId="0" xfId="101" applyFont="1" applyProtection="1">
      <protection locked="0"/>
    </xf>
    <xf numFmtId="0" fontId="15" fillId="0" borderId="0" xfId="100" applyProtection="1">
      <protection locked="0"/>
    </xf>
    <xf numFmtId="0" fontId="15" fillId="0" borderId="0" xfId="100" applyFill="1" applyBorder="1" applyProtection="1">
      <protection locked="0"/>
    </xf>
    <xf numFmtId="0" fontId="11" fillId="0" borderId="10" xfId="101" applyFill="1" applyBorder="1" applyProtection="1">
      <protection locked="0"/>
    </xf>
    <xf numFmtId="0" fontId="100" fillId="0" borderId="0" xfId="101" applyFont="1" applyAlignment="1" applyProtection="1">
      <alignment horizontal="left" vertical="top"/>
      <protection locked="0"/>
    </xf>
    <xf numFmtId="184" fontId="18" fillId="65" borderId="27" xfId="103" applyNumberFormat="1" applyFont="1" applyFill="1" applyBorder="1" applyAlignment="1" applyProtection="1">
      <alignment horizontal="left" vertical="top" wrapText="1"/>
      <protection locked="0"/>
    </xf>
    <xf numFmtId="184" fontId="18" fillId="65" borderId="10" xfId="103" applyNumberFormat="1" applyFont="1" applyFill="1" applyBorder="1" applyAlignment="1" applyProtection="1">
      <alignment horizontal="left" vertical="center"/>
      <protection locked="0"/>
    </xf>
    <xf numFmtId="186" fontId="18" fillId="65" borderId="10" xfId="105" applyNumberFormat="1" applyFont="1" applyFill="1" applyBorder="1" applyAlignment="1" applyProtection="1">
      <alignment horizontal="center" vertical="center"/>
      <protection locked="0"/>
    </xf>
    <xf numFmtId="186" fontId="18" fillId="65" borderId="51" xfId="105" applyNumberFormat="1" applyFont="1" applyFill="1" applyBorder="1" applyAlignment="1" applyProtection="1">
      <alignment horizontal="center" vertical="center"/>
      <protection locked="0"/>
    </xf>
    <xf numFmtId="0" fontId="15" fillId="0" borderId="0" xfId="106" applyFont="1" applyFill="1" applyBorder="1" applyAlignment="1" applyProtection="1">
      <alignment horizontal="right" vertical="center" wrapText="1"/>
      <protection locked="0"/>
    </xf>
    <xf numFmtId="0" fontId="15" fillId="0" borderId="0" xfId="107" applyProtection="1">
      <protection locked="0"/>
    </xf>
    <xf numFmtId="0" fontId="129" fillId="0" borderId="0" xfId="106" applyFont="1" applyFill="1" applyBorder="1" applyAlignment="1" applyProtection="1">
      <alignment horizontal="center" vertical="center" wrapText="1"/>
      <protection locked="0"/>
    </xf>
    <xf numFmtId="0" fontId="15" fillId="0" borderId="0" xfId="106" applyFont="1" applyFill="1" applyBorder="1" applyAlignment="1" applyProtection="1">
      <alignment horizontal="left" vertical="top"/>
      <protection locked="0"/>
    </xf>
    <xf numFmtId="0" fontId="15" fillId="0" borderId="27" xfId="103" applyFont="1" applyFill="1" applyBorder="1" applyAlignment="1" applyProtection="1">
      <alignment horizontal="left" vertical="top" wrapText="1"/>
      <protection locked="0"/>
    </xf>
    <xf numFmtId="4" fontId="15" fillId="0" borderId="10" xfId="103" applyNumberFormat="1" applyFont="1" applyFill="1" applyBorder="1" applyAlignment="1" applyProtection="1">
      <alignment horizontal="center" vertical="center"/>
      <protection locked="0"/>
    </xf>
    <xf numFmtId="184" fontId="15" fillId="0" borderId="10" xfId="103" applyNumberFormat="1" applyFont="1" applyFill="1" applyBorder="1" applyAlignment="1" applyProtection="1">
      <alignment horizontal="center" vertical="center"/>
      <protection locked="0"/>
    </xf>
    <xf numFmtId="184" fontId="15" fillId="0" borderId="10" xfId="108" applyNumberFormat="1" applyFont="1" applyFill="1" applyBorder="1" applyAlignment="1" applyProtection="1">
      <alignment horizontal="center" vertical="center"/>
      <protection locked="0"/>
    </xf>
    <xf numFmtId="186" fontId="15" fillId="0" borderId="10" xfId="105" applyNumberFormat="1" applyFont="1" applyFill="1" applyBorder="1" applyAlignment="1" applyProtection="1">
      <alignment horizontal="center" vertical="center"/>
      <protection locked="0"/>
    </xf>
    <xf numFmtId="186" fontId="15" fillId="0" borderId="51" xfId="105" applyNumberFormat="1" applyFont="1" applyFill="1" applyBorder="1" applyAlignment="1" applyProtection="1">
      <alignment horizontal="center" vertical="center"/>
      <protection locked="0"/>
    </xf>
    <xf numFmtId="3" fontId="15" fillId="0" borderId="10" xfId="103" applyNumberFormat="1" applyFont="1" applyFill="1" applyBorder="1" applyAlignment="1" applyProtection="1">
      <alignment horizontal="center" vertical="center"/>
      <protection locked="0"/>
    </xf>
    <xf numFmtId="4" fontId="15" fillId="0" borderId="10" xfId="109" applyNumberFormat="1" applyFont="1" applyFill="1" applyBorder="1" applyAlignment="1" applyProtection="1">
      <alignment horizontal="center" vertical="center"/>
      <protection locked="0"/>
    </xf>
    <xf numFmtId="186" fontId="15" fillId="65" borderId="10" xfId="105" applyNumberFormat="1" applyFont="1" applyFill="1" applyBorder="1" applyAlignment="1" applyProtection="1">
      <alignment horizontal="center" vertical="center"/>
      <protection locked="0"/>
    </xf>
    <xf numFmtId="184" fontId="18" fillId="0" borderId="27" xfId="103" applyNumberFormat="1" applyFont="1" applyFill="1" applyBorder="1" applyAlignment="1" applyProtection="1">
      <alignment horizontal="left" vertical="top" wrapText="1"/>
      <protection locked="0"/>
    </xf>
    <xf numFmtId="187" fontId="15" fillId="0" borderId="10" xfId="108" applyNumberFormat="1" applyFont="1" applyFill="1" applyBorder="1" applyAlignment="1" applyProtection="1">
      <alignment horizontal="center" vertical="center"/>
      <protection locked="0"/>
    </xf>
    <xf numFmtId="186" fontId="18" fillId="0" borderId="10" xfId="105" applyNumberFormat="1" applyFont="1" applyFill="1" applyBorder="1" applyAlignment="1" applyProtection="1">
      <alignment horizontal="center" vertical="center"/>
      <protection locked="0"/>
    </xf>
    <xf numFmtId="186" fontId="18" fillId="0" borderId="51" xfId="105" applyNumberFormat="1" applyFont="1" applyFill="1" applyBorder="1" applyAlignment="1" applyProtection="1">
      <alignment horizontal="center" vertical="center"/>
      <protection locked="0"/>
    </xf>
    <xf numFmtId="0" fontId="15" fillId="0" borderId="0" xfId="102" applyProtection="1">
      <protection locked="0"/>
    </xf>
    <xf numFmtId="184" fontId="18" fillId="72" borderId="91" xfId="103" applyNumberFormat="1" applyFont="1" applyFill="1" applyBorder="1" applyAlignment="1" applyProtection="1">
      <alignment horizontal="left" vertical="top" wrapText="1"/>
      <protection locked="0"/>
    </xf>
    <xf numFmtId="0" fontId="15" fillId="72" borderId="17" xfId="103" applyFont="1" applyFill="1" applyBorder="1" applyProtection="1">
      <protection locked="0"/>
    </xf>
    <xf numFmtId="185" fontId="18" fillId="72" borderId="17" xfId="104" applyNumberFormat="1" applyFont="1" applyFill="1" applyBorder="1" applyAlignment="1" applyProtection="1">
      <alignment horizontal="center" vertical="center"/>
      <protection locked="0"/>
    </xf>
    <xf numFmtId="188" fontId="18" fillId="72" borderId="17" xfId="104" applyNumberFormat="1" applyFont="1" applyFill="1" applyBorder="1" applyAlignment="1" applyProtection="1">
      <alignment horizontal="center" vertical="center"/>
      <protection locked="0"/>
    </xf>
    <xf numFmtId="186" fontId="15" fillId="72" borderId="17" xfId="105" applyNumberFormat="1" applyFont="1" applyFill="1" applyBorder="1" applyAlignment="1" applyProtection="1">
      <alignment horizontal="center" vertical="center"/>
      <protection locked="0"/>
    </xf>
    <xf numFmtId="186" fontId="18" fillId="72" borderId="17" xfId="105" applyNumberFormat="1" applyFont="1" applyFill="1" applyBorder="1" applyAlignment="1" applyProtection="1">
      <alignment horizontal="center" vertical="center"/>
      <protection locked="0"/>
    </xf>
    <xf numFmtId="186" fontId="18" fillId="72" borderId="59" xfId="105" applyNumberFormat="1" applyFont="1" applyFill="1" applyBorder="1" applyAlignment="1" applyProtection="1">
      <alignment horizontal="center" vertical="center"/>
      <protection locked="0"/>
    </xf>
    <xf numFmtId="184" fontId="18" fillId="0" borderId="10" xfId="103" applyNumberFormat="1" applyFont="1" applyFill="1" applyBorder="1" applyAlignment="1" applyProtection="1">
      <alignment horizontal="left" vertical="center"/>
      <protection locked="0"/>
    </xf>
    <xf numFmtId="184" fontId="15" fillId="0" borderId="10" xfId="103" applyNumberFormat="1" applyFont="1" applyFill="1" applyBorder="1" applyAlignment="1" applyProtection="1">
      <alignment horizontal="left" vertical="center"/>
      <protection locked="0"/>
    </xf>
    <xf numFmtId="184" fontId="18" fillId="0" borderId="27" xfId="103" applyNumberFormat="1" applyFont="1" applyFill="1" applyBorder="1" applyAlignment="1" applyProtection="1">
      <alignment horizontal="left" vertical="top" wrapText="1" indent="1"/>
      <protection locked="0"/>
    </xf>
    <xf numFmtId="185" fontId="15" fillId="0" borderId="10" xfId="108" applyNumberFormat="1" applyFont="1" applyFill="1" applyBorder="1" applyAlignment="1" applyProtection="1">
      <alignment horizontal="center" vertical="center"/>
      <protection locked="0"/>
    </xf>
    <xf numFmtId="9" fontId="15" fillId="0" borderId="10" xfId="105" applyFont="1" applyFill="1" applyBorder="1" applyAlignment="1" applyProtection="1">
      <alignment horizontal="center" vertical="center"/>
      <protection locked="0"/>
    </xf>
    <xf numFmtId="0" fontId="15" fillId="0" borderId="10" xfId="103" applyFont="1" applyFill="1" applyBorder="1" applyProtection="1">
      <protection locked="0"/>
    </xf>
    <xf numFmtId="189" fontId="88" fillId="0" borderId="10" xfId="105" applyNumberFormat="1" applyFont="1" applyFill="1" applyBorder="1" applyAlignment="1" applyProtection="1">
      <alignment horizontal="center" vertical="center"/>
      <protection locked="0"/>
    </xf>
    <xf numFmtId="185" fontId="47" fillId="0" borderId="10" xfId="104" applyNumberFormat="1" applyFont="1" applyFill="1" applyBorder="1" applyAlignment="1" applyProtection="1">
      <alignment horizontal="center" vertical="center"/>
      <protection locked="0"/>
    </xf>
    <xf numFmtId="189" fontId="47" fillId="0" borderId="10" xfId="105" applyNumberFormat="1" applyFont="1" applyFill="1" applyBorder="1" applyAlignment="1" applyProtection="1">
      <alignment horizontal="center" vertical="center"/>
      <protection locked="0"/>
    </xf>
    <xf numFmtId="184" fontId="18" fillId="65" borderId="28" xfId="103" applyNumberFormat="1" applyFont="1" applyFill="1" applyBorder="1" applyAlignment="1" applyProtection="1">
      <alignment horizontal="left" vertical="top" wrapText="1"/>
      <protection locked="0"/>
    </xf>
    <xf numFmtId="0" fontId="15" fillId="65" borderId="26" xfId="103" applyFont="1" applyFill="1" applyBorder="1" applyProtection="1">
      <protection locked="0"/>
    </xf>
    <xf numFmtId="188" fontId="18" fillId="65" borderId="26" xfId="104" applyNumberFormat="1" applyFont="1" applyFill="1" applyBorder="1" applyAlignment="1" applyProtection="1">
      <alignment horizontal="center" vertical="center"/>
      <protection locked="0"/>
    </xf>
    <xf numFmtId="186" fontId="15" fillId="65" borderId="26" xfId="105" applyNumberFormat="1" applyFont="1" applyFill="1" applyBorder="1" applyAlignment="1" applyProtection="1">
      <alignment horizontal="center" vertical="center"/>
      <protection locked="0"/>
    </xf>
    <xf numFmtId="186" fontId="18" fillId="65" borderId="26" xfId="105" applyNumberFormat="1" applyFont="1" applyFill="1" applyBorder="1" applyAlignment="1" applyProtection="1">
      <alignment horizontal="center" vertical="center"/>
      <protection locked="0"/>
    </xf>
    <xf numFmtId="186" fontId="18" fillId="65" borderId="82" xfId="105" applyNumberFormat="1" applyFont="1" applyFill="1" applyBorder="1" applyAlignment="1" applyProtection="1">
      <alignment horizontal="center" vertical="center"/>
      <protection locked="0"/>
    </xf>
    <xf numFmtId="0" fontId="25" fillId="0" borderId="10" xfId="110" applyFont="1" applyFill="1" applyBorder="1" applyProtection="1">
      <protection locked="0"/>
    </xf>
    <xf numFmtId="0" fontId="15" fillId="0" borderId="0" xfId="100" applyFill="1" applyAlignment="1" applyProtection="1">
      <protection locked="0"/>
    </xf>
    <xf numFmtId="0" fontId="11" fillId="0" borderId="10" xfId="101" applyBorder="1" applyProtection="1">
      <protection locked="0"/>
    </xf>
    <xf numFmtId="0" fontId="15" fillId="0" borderId="10" xfId="101" applyFont="1" applyFill="1" applyBorder="1" applyProtection="1">
      <protection locked="0"/>
    </xf>
    <xf numFmtId="0" fontId="15" fillId="0" borderId="0" xfId="107" applyFill="1" applyProtection="1">
      <protection locked="0"/>
    </xf>
    <xf numFmtId="0" fontId="135" fillId="0" borderId="0" xfId="0" applyFont="1" applyAlignment="1" applyProtection="1">
      <alignment vertical="center"/>
      <protection locked="0"/>
    </xf>
    <xf numFmtId="0" fontId="11" fillId="67" borderId="0" xfId="101" applyFill="1" applyProtection="1">
      <protection locked="0"/>
    </xf>
    <xf numFmtId="0" fontId="135" fillId="0" borderId="0" xfId="0" applyFont="1" applyProtection="1">
      <protection locked="0"/>
    </xf>
    <xf numFmtId="0" fontId="130" fillId="0" borderId="0" xfId="0" applyFont="1" applyProtection="1">
      <protection locked="0"/>
    </xf>
    <xf numFmtId="0" fontId="15" fillId="0" borderId="0" xfId="102" applyFont="1" applyProtection="1">
      <protection locked="0"/>
    </xf>
    <xf numFmtId="0" fontId="15" fillId="0" borderId="0" xfId="102" applyFont="1" applyFill="1" applyProtection="1">
      <protection locked="0"/>
    </xf>
    <xf numFmtId="0" fontId="11" fillId="0" borderId="0" xfId="101" applyAlignment="1" applyProtection="1">
      <alignment horizontal="center"/>
      <protection locked="0"/>
    </xf>
    <xf numFmtId="0" fontId="11" fillId="0" borderId="0" xfId="101" applyAlignment="1" applyProtection="1">
      <alignment horizontal="right"/>
      <protection locked="0"/>
    </xf>
    <xf numFmtId="0" fontId="17" fillId="0" borderId="0" xfId="0" applyFont="1" applyFill="1" applyProtection="1">
      <protection locked="0"/>
    </xf>
    <xf numFmtId="0" fontId="15" fillId="0" borderId="0" xfId="99" applyAlignment="1" applyProtection="1">
      <alignment horizontal="left" vertical="top"/>
      <protection locked="0"/>
    </xf>
    <xf numFmtId="2" fontId="0" fillId="29" borderId="164" xfId="0" applyNumberFormat="1" applyFill="1" applyBorder="1" applyAlignment="1" applyProtection="1">
      <alignment horizontal="right" vertical="center"/>
      <protection locked="0"/>
    </xf>
    <xf numFmtId="0" fontId="0" fillId="0" borderId="0" xfId="0" applyAlignment="1" applyProtection="1">
      <alignment horizontal="left" vertical="center"/>
      <protection locked="0"/>
    </xf>
    <xf numFmtId="0" fontId="18" fillId="0" borderId="0" xfId="0" applyFont="1" applyAlignment="1" applyProtection="1">
      <alignment horizontal="center" vertical="center"/>
      <protection locked="0"/>
    </xf>
    <xf numFmtId="0" fontId="15" fillId="0" borderId="0" xfId="46" applyFont="1" applyAlignment="1" applyProtection="1">
      <alignment vertical="center" wrapText="1"/>
      <protection locked="0"/>
    </xf>
    <xf numFmtId="0" fontId="0" fillId="0" borderId="10" xfId="0" applyBorder="1" applyAlignment="1" applyProtection="1">
      <alignment horizontal="center" vertical="center"/>
      <protection locked="0"/>
    </xf>
    <xf numFmtId="42" fontId="15" fillId="29" borderId="152" xfId="0" applyNumberFormat="1" applyFont="1" applyFill="1" applyBorder="1" applyAlignment="1" applyProtection="1">
      <alignment horizontal="center" vertical="center" wrapText="1"/>
      <protection locked="0"/>
    </xf>
    <xf numFmtId="42" fontId="15" fillId="29" borderId="153" xfId="0" applyNumberFormat="1" applyFont="1" applyFill="1" applyBorder="1" applyAlignment="1" applyProtection="1">
      <alignment horizontal="center" vertical="center" wrapText="1"/>
      <protection locked="0"/>
    </xf>
    <xf numFmtId="42" fontId="15" fillId="29" borderId="154" xfId="0" applyNumberFormat="1" applyFont="1" applyFill="1" applyBorder="1" applyAlignment="1" applyProtection="1">
      <alignment horizontal="center" vertical="center" wrapText="1"/>
      <protection locked="0"/>
    </xf>
    <xf numFmtId="0" fontId="18" fillId="67" borderId="0" xfId="46" applyFont="1" applyFill="1" applyAlignment="1" applyProtection="1">
      <alignment horizontal="left"/>
      <protection locked="0"/>
    </xf>
    <xf numFmtId="0" fontId="22" fillId="0" borderId="0" xfId="0" applyFont="1" applyAlignment="1" applyProtection="1">
      <alignment horizontal="center"/>
      <protection locked="0"/>
    </xf>
    <xf numFmtId="0" fontId="15" fillId="0" borderId="0" xfId="0" applyFont="1" applyAlignment="1" applyProtection="1">
      <alignment horizontal="left" vertical="top" wrapText="1"/>
      <protection locked="0"/>
    </xf>
    <xf numFmtId="0" fontId="15" fillId="0" borderId="44" xfId="0" applyFont="1" applyFill="1" applyBorder="1" applyAlignment="1" applyProtection="1">
      <alignment horizontal="center" vertical="center" wrapText="1"/>
      <protection locked="0"/>
    </xf>
    <xf numFmtId="0" fontId="15" fillId="0" borderId="0" xfId="46" applyFont="1" applyAlignment="1" applyProtection="1">
      <alignment horizontal="left" vertical="center" wrapText="1"/>
      <protection locked="0"/>
    </xf>
    <xf numFmtId="0" fontId="15" fillId="0" borderId="0" xfId="46" applyFont="1" applyFill="1" applyAlignment="1" applyProtection="1">
      <alignment horizontal="left" wrapText="1"/>
      <protection locked="0"/>
    </xf>
    <xf numFmtId="0" fontId="22" fillId="0" borderId="0" xfId="46" applyFont="1" applyAlignment="1" applyProtection="1">
      <alignment horizontal="center"/>
      <protection locked="0"/>
    </xf>
    <xf numFmtId="0" fontId="15" fillId="0" borderId="0" xfId="46" applyAlignment="1" applyProtection="1">
      <alignment horizontal="left" wrapText="1"/>
      <protection locked="0"/>
    </xf>
    <xf numFmtId="0" fontId="21" fillId="0" borderId="0" xfId="46" applyFont="1" applyAlignment="1" applyProtection="1">
      <alignment horizontal="left"/>
      <protection locked="0"/>
    </xf>
    <xf numFmtId="0" fontId="15" fillId="0" borderId="0" xfId="46" applyFont="1" applyFill="1" applyAlignment="1" applyProtection="1">
      <alignment horizontal="left" vertical="top" wrapText="1"/>
      <protection locked="0"/>
    </xf>
    <xf numFmtId="0" fontId="21" fillId="0" borderId="0" xfId="46" applyFont="1" applyFill="1" applyAlignment="1" applyProtection="1">
      <alignment horizontal="left"/>
      <protection locked="0"/>
    </xf>
    <xf numFmtId="0" fontId="15" fillId="0" borderId="0" xfId="46" applyFont="1" applyAlignment="1" applyProtection="1">
      <alignment horizontal="left" vertical="top" wrapText="1"/>
      <protection locked="0"/>
    </xf>
    <xf numFmtId="0" fontId="15" fillId="0" borderId="10" xfId="46" applyBorder="1" applyAlignment="1" applyProtection="1">
      <alignment horizontal="center" vertical="center"/>
      <protection locked="0"/>
    </xf>
    <xf numFmtId="0" fontId="15" fillId="0" borderId="10" xfId="46" applyFont="1" applyBorder="1" applyAlignment="1" applyProtection="1">
      <alignment horizontal="left" vertical="center"/>
      <protection locked="0"/>
    </xf>
    <xf numFmtId="0" fontId="15" fillId="0" borderId="10" xfId="46" applyBorder="1" applyAlignment="1" applyProtection="1">
      <alignment horizontal="left" vertical="center"/>
      <protection locked="0"/>
    </xf>
    <xf numFmtId="0" fontId="15" fillId="0" borderId="19" xfId="46" applyBorder="1" applyAlignment="1" applyProtection="1">
      <alignment horizontal="center" vertical="center"/>
      <protection locked="0"/>
    </xf>
    <xf numFmtId="0" fontId="15" fillId="0" borderId="27" xfId="46" applyBorder="1" applyAlignment="1" applyProtection="1">
      <alignment horizontal="center" vertical="center"/>
      <protection locked="0"/>
    </xf>
    <xf numFmtId="0" fontId="15" fillId="0" borderId="0" xfId="46" applyFont="1" applyAlignment="1" applyProtection="1">
      <alignment vertical="top" wrapText="1"/>
      <protection locked="0"/>
    </xf>
    <xf numFmtId="0" fontId="18" fillId="0" borderId="0" xfId="46" applyFont="1" applyAlignment="1" applyProtection="1">
      <alignment horizontal="center" vertical="center" wrapText="1"/>
      <protection locked="0"/>
    </xf>
    <xf numFmtId="0" fontId="15" fillId="0" borderId="0" xfId="46" applyFont="1" applyAlignment="1" applyProtection="1">
      <alignment wrapText="1"/>
      <protection locked="0"/>
    </xf>
    <xf numFmtId="0" fontId="59" fillId="0" borderId="0" xfId="47" applyFont="1" applyAlignment="1" applyProtection="1">
      <alignment horizontal="left" vertical="center" wrapText="1"/>
      <protection locked="0"/>
    </xf>
    <xf numFmtId="0" fontId="15" fillId="0" borderId="0" xfId="46" applyAlignment="1" applyProtection="1">
      <alignment horizontal="center"/>
      <protection locked="0"/>
    </xf>
    <xf numFmtId="0" fontId="15" fillId="0" borderId="0" xfId="46" applyAlignment="1" applyProtection="1">
      <protection locked="0"/>
    </xf>
    <xf numFmtId="0" fontId="18" fillId="0" borderId="0" xfId="46" applyFont="1" applyAlignment="1" applyProtection="1">
      <alignment horizontal="center" vertical="center"/>
      <protection locked="0"/>
    </xf>
    <xf numFmtId="0" fontId="15" fillId="0" borderId="0" xfId="0" applyFont="1" applyAlignment="1" applyProtection="1">
      <alignment horizontal="left" vertical="top"/>
      <protection locked="0"/>
    </xf>
    <xf numFmtId="0" fontId="59" fillId="0" borderId="0" xfId="0" applyFont="1" applyBorder="1" applyAlignment="1" applyProtection="1">
      <alignment horizontal="left"/>
      <protection locked="0"/>
    </xf>
    <xf numFmtId="0" fontId="15" fillId="0" borderId="0" xfId="0" applyFont="1" applyFill="1" applyBorder="1" applyAlignment="1" applyProtection="1">
      <protection locked="0"/>
    </xf>
    <xf numFmtId="0" fontId="0" fillId="0" borderId="0" xfId="0" applyFill="1" applyBorder="1" applyAlignment="1" applyProtection="1">
      <protection locked="0"/>
    </xf>
    <xf numFmtId="0" fontId="52" fillId="0" borderId="42" xfId="93"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left"/>
      <protection locked="0"/>
    </xf>
    <xf numFmtId="0" fontId="82" fillId="66" borderId="71" xfId="134" applyFont="1" applyFill="1" applyBorder="1" applyAlignment="1" applyProtection="1">
      <alignment horizontal="center"/>
      <protection locked="0"/>
    </xf>
    <xf numFmtId="0" fontId="9" fillId="0" borderId="0" xfId="134" applyFont="1" applyBorder="1" applyAlignment="1" applyProtection="1">
      <alignment horizontal="left" vertical="top" wrapText="1"/>
      <protection locked="0"/>
    </xf>
    <xf numFmtId="0" fontId="82" fillId="66" borderId="29" xfId="134" applyFont="1" applyFill="1" applyBorder="1" applyAlignment="1" applyProtection="1">
      <alignment horizontal="center" wrapText="1"/>
      <protection locked="0"/>
    </xf>
    <xf numFmtId="0" fontId="133" fillId="0" borderId="0" xfId="134" applyFont="1" applyBorder="1" applyAlignment="1" applyProtection="1">
      <alignment horizontal="center" vertical="top" wrapText="1"/>
      <protection locked="0"/>
    </xf>
    <xf numFmtId="0" fontId="0" fillId="0" borderId="0" xfId="0" applyAlignment="1" applyProtection="1">
      <alignment vertical="top" wrapText="1"/>
      <protection locked="0"/>
    </xf>
    <xf numFmtId="0" fontId="15" fillId="0" borderId="0" xfId="0" applyFont="1" applyAlignment="1" applyProtection="1">
      <alignment wrapText="1"/>
      <protection locked="0"/>
    </xf>
    <xf numFmtId="0" fontId="0" fillId="0" borderId="10" xfId="0" quotePrefix="1" applyBorder="1" applyAlignment="1" applyProtection="1">
      <alignment horizontal="center"/>
      <protection locked="0"/>
    </xf>
    <xf numFmtId="0" fontId="18" fillId="25" borderId="24" xfId="0" applyFont="1" applyFill="1" applyBorder="1" applyAlignment="1" applyProtection="1">
      <alignment horizontal="center"/>
      <protection locked="0"/>
    </xf>
    <xf numFmtId="0" fontId="88" fillId="0" borderId="0" xfId="46" applyFont="1" applyAlignment="1" applyProtection="1">
      <alignment horizontal="center" vertical="center"/>
      <protection locked="0"/>
    </xf>
    <xf numFmtId="0" fontId="18" fillId="0" borderId="12" xfId="46" applyFont="1" applyBorder="1" applyAlignment="1" applyProtection="1">
      <alignment horizontal="center" vertical="center"/>
      <protection locked="0"/>
    </xf>
    <xf numFmtId="0" fontId="18" fillId="0" borderId="24" xfId="0" applyFont="1" applyFill="1" applyBorder="1" applyAlignment="1" applyProtection="1">
      <alignment horizontal="center"/>
      <protection locked="0"/>
    </xf>
    <xf numFmtId="0" fontId="18" fillId="0" borderId="10" xfId="0" applyFont="1" applyFill="1" applyBorder="1" applyAlignment="1" applyProtection="1">
      <alignment horizontal="center" vertical="center" wrapText="1"/>
      <protection locked="0"/>
    </xf>
    <xf numFmtId="0" fontId="15" fillId="0" borderId="0" xfId="0" applyFont="1" applyFill="1" applyAlignment="1" applyProtection="1">
      <alignment horizontal="left" vertical="top"/>
      <protection locked="0"/>
    </xf>
    <xf numFmtId="0" fontId="15" fillId="0" borderId="0" xfId="0" applyFont="1" applyFill="1" applyAlignment="1" applyProtection="1">
      <alignment horizontal="left" vertical="top" wrapText="1"/>
      <protection locked="0"/>
    </xf>
    <xf numFmtId="0" fontId="18" fillId="0" borderId="62" xfId="46" applyFont="1" applyBorder="1" applyAlignment="1" applyProtection="1">
      <alignment horizontal="center"/>
      <protection locked="0"/>
    </xf>
    <xf numFmtId="0" fontId="15" fillId="0" borderId="0" xfId="0" applyFont="1" applyAlignment="1" applyProtection="1">
      <alignment vertical="top" wrapText="1"/>
      <protection locked="0"/>
    </xf>
    <xf numFmtId="0" fontId="22" fillId="0" borderId="0" xfId="46" applyFont="1" applyAlignment="1" applyProtection="1">
      <alignment horizontal="center" wrapText="1"/>
      <protection locked="0"/>
    </xf>
    <xf numFmtId="0" fontId="15" fillId="0" borderId="0" xfId="46" applyAlignment="1" applyProtection="1">
      <alignment wrapText="1"/>
      <protection locked="0"/>
    </xf>
    <xf numFmtId="0" fontId="18" fillId="0" borderId="0" xfId="46" applyFont="1" applyAlignment="1" applyProtection="1">
      <alignment horizontal="center" wrapText="1"/>
      <protection locked="0"/>
    </xf>
    <xf numFmtId="0" fontId="15" fillId="29" borderId="90" xfId="46" applyFill="1" applyBorder="1" applyAlignment="1" applyProtection="1">
      <alignment horizontal="left" wrapText="1"/>
      <protection locked="0"/>
    </xf>
    <xf numFmtId="0" fontId="85" fillId="0" borderId="0" xfId="0" applyFont="1" applyFill="1" applyAlignment="1" applyProtection="1">
      <alignment horizontal="left" vertical="top" wrapText="1"/>
      <protection locked="0"/>
    </xf>
    <xf numFmtId="0" fontId="17" fillId="0" borderId="0" xfId="46" applyFont="1" applyAlignment="1" applyProtection="1">
      <alignment horizontal="right" vertical="top"/>
      <protection locked="0"/>
    </xf>
    <xf numFmtId="0" fontId="17" fillId="29" borderId="0" xfId="46" applyFont="1" applyFill="1" applyAlignment="1" applyProtection="1">
      <alignment horizontal="right" vertical="top"/>
      <protection locked="0"/>
    </xf>
    <xf numFmtId="185" fontId="18" fillId="65" borderId="26" xfId="104" applyNumberFormat="1" applyFont="1" applyFill="1" applyBorder="1" applyAlignment="1" applyProtection="1">
      <alignment horizontal="center" vertical="center"/>
      <protection locked="0"/>
    </xf>
    <xf numFmtId="185" fontId="18" fillId="65" borderId="10" xfId="104" applyNumberFormat="1" applyFont="1" applyFill="1" applyBorder="1" applyAlignment="1" applyProtection="1">
      <alignment horizontal="center" vertical="center"/>
      <protection locked="0"/>
    </xf>
    <xf numFmtId="185" fontId="15" fillId="0" borderId="10" xfId="103" applyNumberFormat="1" applyFont="1" applyFill="1" applyBorder="1" applyAlignment="1" applyProtection="1">
      <alignment horizontal="center" vertical="center"/>
      <protection locked="0"/>
    </xf>
    <xf numFmtId="185" fontId="15" fillId="0" borderId="10" xfId="104" applyNumberFormat="1" applyFont="1" applyFill="1" applyBorder="1" applyAlignment="1" applyProtection="1">
      <alignment horizontal="center" vertical="center"/>
      <protection locked="0"/>
    </xf>
    <xf numFmtId="0" fontId="18" fillId="0" borderId="24" xfId="0" applyFont="1" applyFill="1" applyBorder="1" applyAlignment="1" applyProtection="1">
      <alignment horizontal="center"/>
      <protection locked="0"/>
    </xf>
    <xf numFmtId="0" fontId="0" fillId="28" borderId="96" xfId="0" applyNumberFormat="1" applyFill="1" applyBorder="1" applyAlignment="1" applyProtection="1">
      <alignment vertical="center"/>
      <protection locked="0"/>
    </xf>
    <xf numFmtId="0" fontId="18" fillId="0" borderId="10" xfId="46" applyFont="1" applyBorder="1" applyAlignment="1" applyProtection="1">
      <alignment horizontal="center"/>
      <protection locked="0"/>
    </xf>
    <xf numFmtId="0" fontId="18" fillId="0" borderId="12" xfId="46" applyFont="1" applyBorder="1" applyAlignment="1" applyProtection="1">
      <alignment horizontal="center" vertical="center"/>
      <protection locked="0"/>
    </xf>
    <xf numFmtId="0" fontId="16" fillId="29" borderId="96" xfId="36" applyNumberFormat="1" applyFill="1" applyBorder="1" applyAlignment="1" applyProtection="1">
      <alignment vertical="center"/>
      <protection locked="0"/>
    </xf>
    <xf numFmtId="0" fontId="15" fillId="0" borderId="10" xfId="46" applyBorder="1" applyAlignment="1" applyProtection="1">
      <alignment horizontal="left" vertical="center"/>
      <protection locked="0"/>
    </xf>
    <xf numFmtId="0" fontId="15" fillId="0" borderId="10" xfId="46" applyBorder="1" applyAlignment="1" applyProtection="1">
      <alignment horizontal="center" vertical="center"/>
      <protection locked="0"/>
    </xf>
    <xf numFmtId="0" fontId="15" fillId="0" borderId="0" xfId="46" applyAlignment="1" applyProtection="1">
      <alignment horizontal="center"/>
      <protection locked="0"/>
    </xf>
    <xf numFmtId="0" fontId="15" fillId="0" borderId="0" xfId="46" applyAlignment="1" applyProtection="1">
      <protection locked="0"/>
    </xf>
    <xf numFmtId="167" fontId="0" fillId="0" borderId="10" xfId="28" applyNumberFormat="1" applyFont="1" applyFill="1" applyBorder="1" applyAlignment="1">
      <alignment horizontal="right" vertical="center"/>
    </xf>
    <xf numFmtId="0" fontId="0" fillId="0" borderId="10" xfId="0" applyFill="1" applyBorder="1" applyAlignment="1">
      <alignment horizontal="right" vertical="center"/>
    </xf>
    <xf numFmtId="200" fontId="0" fillId="29" borderId="10" xfId="28" applyNumberFormat="1" applyFont="1" applyFill="1" applyBorder="1" applyAlignment="1">
      <alignment horizontal="right" vertical="center"/>
    </xf>
    <xf numFmtId="0" fontId="0" fillId="29" borderId="10" xfId="0" applyFill="1" applyBorder="1" applyAlignment="1">
      <alignment horizontal="right" vertical="center"/>
    </xf>
    <xf numFmtId="0" fontId="0" fillId="29" borderId="10" xfId="0" applyFill="1" applyBorder="1"/>
    <xf numFmtId="0" fontId="0" fillId="28" borderId="10" xfId="0" applyFill="1" applyBorder="1"/>
    <xf numFmtId="171" fontId="0" fillId="29" borderId="10" xfId="0" applyNumberFormat="1" applyFill="1" applyBorder="1"/>
    <xf numFmtId="166" fontId="0" fillId="29" borderId="10" xfId="29" applyNumberFormat="1" applyFont="1" applyFill="1" applyBorder="1"/>
    <xf numFmtId="0" fontId="0" fillId="29" borderId="10" xfId="0" applyFill="1" applyBorder="1" applyAlignment="1">
      <alignment horizontal="center"/>
    </xf>
    <xf numFmtId="44" fontId="0" fillId="0" borderId="25" xfId="29" applyFont="1" applyFill="1" applyBorder="1"/>
    <xf numFmtId="166" fontId="0" fillId="0" borderId="0" xfId="29" applyNumberFormat="1" applyFont="1" applyBorder="1" applyProtection="1">
      <protection locked="0"/>
    </xf>
    <xf numFmtId="44" fontId="0" fillId="0" borderId="0" xfId="0" applyNumberFormat="1" applyBorder="1" applyProtection="1">
      <protection locked="0"/>
    </xf>
    <xf numFmtId="171" fontId="0" fillId="29" borderId="17" xfId="0" applyNumberFormat="1" applyFill="1" applyBorder="1"/>
    <xf numFmtId="0" fontId="0" fillId="29" borderId="17" xfId="0" applyFill="1" applyBorder="1"/>
    <xf numFmtId="44" fontId="0" fillId="0" borderId="68" xfId="29" applyFont="1" applyFill="1" applyBorder="1"/>
    <xf numFmtId="0" fontId="0" fillId="0" borderId="51" xfId="0" applyBorder="1"/>
    <xf numFmtId="0" fontId="0" fillId="28" borderId="17" xfId="0" applyFill="1" applyBorder="1"/>
    <xf numFmtId="166" fontId="0" fillId="29" borderId="17" xfId="29" applyNumberFormat="1" applyFont="1" applyFill="1" applyBorder="1"/>
    <xf numFmtId="44" fontId="0" fillId="0" borderId="107" xfId="29" applyFont="1" applyFill="1" applyBorder="1"/>
    <xf numFmtId="0" fontId="0" fillId="0" borderId="51" xfId="0" applyFill="1" applyBorder="1"/>
    <xf numFmtId="0" fontId="0" fillId="0" borderId="51" xfId="0" applyBorder="1" applyAlignment="1">
      <alignment wrapText="1"/>
    </xf>
    <xf numFmtId="0" fontId="22" fillId="0" borderId="0" xfId="46" applyFont="1" applyAlignment="1" applyProtection="1">
      <alignment horizontal="center"/>
      <protection locked="0"/>
    </xf>
    <xf numFmtId="0" fontId="15" fillId="0" borderId="0" xfId="46" applyFont="1" applyAlignment="1" applyProtection="1">
      <alignment horizontal="left" vertical="top" wrapText="1"/>
      <protection locked="0"/>
    </xf>
    <xf numFmtId="0" fontId="15" fillId="0" borderId="10" xfId="46" applyBorder="1" applyAlignment="1" applyProtection="1">
      <alignment horizontal="center" vertical="center"/>
      <protection locked="0"/>
    </xf>
    <xf numFmtId="0" fontId="15" fillId="0" borderId="19" xfId="46" applyBorder="1" applyAlignment="1" applyProtection="1">
      <alignment horizontal="center" vertical="center"/>
      <protection locked="0"/>
    </xf>
    <xf numFmtId="0" fontId="15" fillId="0" borderId="27" xfId="46" applyBorder="1" applyAlignment="1" applyProtection="1">
      <alignment horizontal="center" vertical="center"/>
      <protection locked="0"/>
    </xf>
    <xf numFmtId="0" fontId="18" fillId="0" borderId="0" xfId="46" applyFont="1" applyAlignment="1" applyProtection="1">
      <alignment horizontal="left" vertical="top" wrapText="1"/>
      <protection locked="0"/>
    </xf>
    <xf numFmtId="0" fontId="18" fillId="0" borderId="0" xfId="46" applyFont="1" applyAlignment="1" applyProtection="1">
      <alignment horizontal="center" vertical="center" wrapText="1"/>
      <protection locked="0"/>
    </xf>
    <xf numFmtId="0" fontId="53" fillId="0" borderId="0" xfId="46" applyFont="1" applyAlignment="1" applyProtection="1">
      <alignment horizontal="left" vertical="top" wrapText="1"/>
      <protection locked="0"/>
    </xf>
    <xf numFmtId="0" fontId="15" fillId="0" borderId="0" xfId="46" applyAlignment="1" applyProtection="1">
      <protection locked="0"/>
    </xf>
    <xf numFmtId="0" fontId="17" fillId="0" borderId="0" xfId="46" applyFont="1" applyAlignment="1" applyProtection="1">
      <alignment horizontal="right" vertical="top"/>
      <protection locked="0"/>
    </xf>
    <xf numFmtId="0" fontId="17" fillId="29" borderId="0" xfId="46" applyFont="1" applyFill="1" applyAlignment="1" applyProtection="1">
      <alignment horizontal="right" vertical="top"/>
      <protection locked="0"/>
    </xf>
    <xf numFmtId="0" fontId="17" fillId="29" borderId="0" xfId="46" applyFont="1" applyFill="1" applyBorder="1" applyAlignment="1" applyProtection="1">
      <alignment horizontal="right" vertical="top"/>
      <protection locked="0"/>
    </xf>
    <xf numFmtId="0" fontId="17" fillId="0" borderId="0" xfId="0" applyFont="1" applyAlignment="1">
      <alignment horizontal="right" vertical="top"/>
    </xf>
    <xf numFmtId="0" fontId="17" fillId="29" borderId="102" xfId="0" applyFont="1" applyFill="1" applyBorder="1" applyAlignment="1">
      <alignment horizontal="right" vertical="top"/>
    </xf>
    <xf numFmtId="0" fontId="17" fillId="29" borderId="0" xfId="0" applyFont="1" applyFill="1" applyAlignment="1">
      <alignment horizontal="right" vertical="top"/>
    </xf>
    <xf numFmtId="0" fontId="22" fillId="0" borderId="0" xfId="0" applyFont="1" applyAlignment="1"/>
    <xf numFmtId="0" fontId="18" fillId="0" borderId="50" xfId="0" applyFont="1" applyFill="1" applyBorder="1"/>
    <xf numFmtId="0" fontId="18" fillId="0" borderId="24" xfId="0" applyFont="1" applyFill="1" applyBorder="1" applyAlignment="1">
      <alignment horizontal="center" vertical="center" wrapText="1"/>
    </xf>
    <xf numFmtId="0" fontId="18" fillId="0" borderId="16" xfId="0" applyFont="1" applyFill="1" applyBorder="1"/>
    <xf numFmtId="0" fontId="18" fillId="28" borderId="19" xfId="0" applyFont="1" applyFill="1" applyBorder="1" applyAlignment="1">
      <alignment horizontal="center"/>
    </xf>
    <xf numFmtId="0" fontId="0" fillId="0" borderId="10" xfId="0" applyBorder="1"/>
    <xf numFmtId="181" fontId="45" fillId="81" borderId="27" xfId="0" applyNumberFormat="1" applyFont="1" applyFill="1" applyBorder="1"/>
    <xf numFmtId="37" fontId="15" fillId="81" borderId="19" xfId="0" applyNumberFormat="1" applyFont="1" applyFill="1" applyBorder="1"/>
    <xf numFmtId="3" fontId="0" fillId="29" borderId="10" xfId="29" applyNumberFormat="1" applyFont="1" applyFill="1" applyBorder="1"/>
    <xf numFmtId="37" fontId="15" fillId="81" borderId="10" xfId="0" applyNumberFormat="1" applyFont="1" applyFill="1" applyBorder="1"/>
    <xf numFmtId="3" fontId="0" fillId="29" borderId="17" xfId="29" applyNumberFormat="1" applyFont="1" applyFill="1" applyBorder="1"/>
    <xf numFmtId="3" fontId="143" fillId="81" borderId="33" xfId="0" applyNumberFormat="1" applyFont="1" applyFill="1" applyBorder="1"/>
    <xf numFmtId="3" fontId="143" fillId="81" borderId="16" xfId="0" applyNumberFormat="1" applyFont="1" applyFill="1" applyBorder="1"/>
    <xf numFmtId="37" fontId="15" fillId="81" borderId="33" xfId="0" applyNumberFormat="1" applyFont="1" applyFill="1" applyBorder="1"/>
    <xf numFmtId="37" fontId="15" fillId="81" borderId="64" xfId="0" applyNumberFormat="1" applyFont="1" applyFill="1" applyBorder="1"/>
    <xf numFmtId="0" fontId="18" fillId="0" borderId="33" xfId="0" applyFont="1" applyFill="1" applyBorder="1"/>
    <xf numFmtId="3" fontId="18" fillId="0" borderId="10" xfId="0" applyNumberFormat="1" applyFont="1" applyFill="1" applyBorder="1"/>
    <xf numFmtId="3" fontId="0" fillId="0" borderId="10" xfId="0" applyNumberFormat="1" applyFill="1" applyBorder="1"/>
    <xf numFmtId="0" fontId="18" fillId="0" borderId="33" xfId="0" applyFont="1" applyFill="1" applyBorder="1" applyAlignment="1">
      <alignment wrapText="1"/>
    </xf>
    <xf numFmtId="3" fontId="0" fillId="0" borderId="10" xfId="29" applyNumberFormat="1" applyFont="1" applyFill="1" applyBorder="1"/>
    <xf numFmtId="3" fontId="0" fillId="0" borderId="19" xfId="0" applyNumberFormat="1" applyFill="1" applyBorder="1"/>
    <xf numFmtId="37" fontId="15" fillId="81" borderId="25" xfId="0" applyNumberFormat="1" applyFont="1" applyFill="1" applyBorder="1"/>
    <xf numFmtId="0" fontId="18" fillId="29" borderId="33" xfId="0" applyFont="1" applyFill="1" applyBorder="1"/>
    <xf numFmtId="3" fontId="0" fillId="29" borderId="11" xfId="29" applyNumberFormat="1" applyFont="1" applyFill="1" applyBorder="1"/>
    <xf numFmtId="39" fontId="15" fillId="81" borderId="25" xfId="0" applyNumberFormat="1" applyFont="1" applyFill="1" applyBorder="1"/>
    <xf numFmtId="37" fontId="15" fillId="82" borderId="10" xfId="0" applyNumberFormat="1" applyFont="1" applyFill="1" applyBorder="1"/>
    <xf numFmtId="37" fontId="15" fillId="81" borderId="75" xfId="0" applyNumberFormat="1" applyFont="1" applyFill="1" applyBorder="1"/>
    <xf numFmtId="0" fontId="18" fillId="29" borderId="33" xfId="0" applyFont="1" applyFill="1" applyBorder="1" applyAlignment="1">
      <alignment wrapText="1"/>
    </xf>
    <xf numFmtId="0" fontId="18" fillId="0" borderId="134" xfId="0" applyFont="1" applyFill="1" applyBorder="1"/>
    <xf numFmtId="3" fontId="18" fillId="0" borderId="57" xfId="0" applyNumberFormat="1" applyFont="1" applyFill="1" applyBorder="1"/>
    <xf numFmtId="0" fontId="18" fillId="0" borderId="10" xfId="0" applyFont="1" applyBorder="1" applyAlignment="1">
      <alignment vertical="top" wrapText="1"/>
    </xf>
    <xf numFmtId="0" fontId="18" fillId="0" borderId="57" xfId="0" applyFont="1" applyFill="1" applyBorder="1"/>
    <xf numFmtId="0" fontId="46" fillId="0" borderId="0" xfId="0" applyFont="1" applyAlignment="1">
      <alignment horizontal="left" vertical="top"/>
    </xf>
    <xf numFmtId="0" fontId="15" fillId="0" borderId="0" xfId="0" applyFont="1" applyAlignment="1">
      <alignment horizontal="left" vertical="top" wrapText="1"/>
    </xf>
    <xf numFmtId="41" fontId="15" fillId="29" borderId="31" xfId="0" applyNumberFormat="1" applyFont="1" applyFill="1" applyBorder="1" applyAlignment="1">
      <alignment horizontal="center" vertical="center" wrapText="1"/>
    </xf>
    <xf numFmtId="41" fontId="15" fillId="29" borderId="44" xfId="0" applyNumberFormat="1" applyFont="1" applyFill="1" applyBorder="1" applyAlignment="1">
      <alignment horizontal="center" vertical="center" wrapText="1"/>
    </xf>
    <xf numFmtId="41" fontId="15" fillId="29" borderId="41" xfId="0" applyNumberFormat="1" applyFont="1" applyFill="1" applyBorder="1" applyAlignment="1">
      <alignment horizontal="center" vertical="center" wrapText="1"/>
    </xf>
    <xf numFmtId="38" fontId="15" fillId="0" borderId="10" xfId="0" applyNumberFormat="1" applyFont="1" applyFill="1" applyBorder="1" applyAlignment="1">
      <alignment horizontal="center"/>
    </xf>
    <xf numFmtId="166" fontId="18" fillId="0" borderId="93" xfId="29" applyNumberFormat="1" applyFont="1" applyBorder="1" applyAlignment="1" applyProtection="1">
      <alignment horizontal="center"/>
      <protection locked="0"/>
    </xf>
    <xf numFmtId="0" fontId="52" fillId="0" borderId="42" xfId="93" applyFont="1" applyBorder="1" applyAlignment="1" applyProtection="1">
      <alignment horizontal="center" vertical="center"/>
      <protection locked="0"/>
    </xf>
    <xf numFmtId="0" fontId="66" fillId="0" borderId="0" xfId="93" applyFont="1" applyAlignment="1" applyProtection="1">
      <alignment horizontal="left"/>
      <protection locked="0"/>
    </xf>
    <xf numFmtId="0" fontId="18" fillId="0" borderId="24" xfId="0" applyFont="1" applyFill="1" applyBorder="1" applyAlignment="1" applyProtection="1">
      <alignment horizontal="center"/>
      <protection locked="0"/>
    </xf>
    <xf numFmtId="0" fontId="15" fillId="0" borderId="0" xfId="0" applyFont="1" applyAlignment="1" applyProtection="1">
      <alignment vertical="top" wrapText="1"/>
      <protection locked="0"/>
    </xf>
    <xf numFmtId="0" fontId="15" fillId="0" borderId="0" xfId="46" applyAlignment="1">
      <alignment horizontal="center"/>
    </xf>
    <xf numFmtId="0" fontId="15" fillId="0" borderId="0" xfId="46"/>
    <xf numFmtId="0" fontId="18" fillId="0" borderId="0" xfId="46" applyFont="1"/>
    <xf numFmtId="0" fontId="17" fillId="0" borderId="0" xfId="46" applyFont="1" applyAlignment="1">
      <alignment horizontal="right" vertical="top"/>
    </xf>
    <xf numFmtId="0" fontId="17" fillId="29" borderId="102" xfId="46" applyFont="1" applyFill="1" applyBorder="1" applyAlignment="1">
      <alignment horizontal="right" vertical="top"/>
    </xf>
    <xf numFmtId="0" fontId="17" fillId="29" borderId="0" xfId="46" applyFont="1" applyFill="1" applyAlignment="1">
      <alignment horizontal="right" vertical="top"/>
    </xf>
    <xf numFmtId="0" fontId="15" fillId="0" borderId="0" xfId="46" applyBorder="1"/>
    <xf numFmtId="0" fontId="22" fillId="0" borderId="0" xfId="46" applyFont="1" applyBorder="1" applyAlignment="1">
      <alignment horizontal="center" vertical="center" wrapText="1"/>
    </xf>
    <xf numFmtId="0" fontId="22" fillId="0" borderId="0" xfId="46" applyFont="1" applyAlignment="1">
      <alignment horizontal="center" vertical="top"/>
    </xf>
    <xf numFmtId="0" fontId="22" fillId="0" borderId="0" xfId="46" applyFont="1" applyAlignment="1">
      <alignment vertical="center" wrapText="1"/>
    </xf>
    <xf numFmtId="0" fontId="22" fillId="0" borderId="0" xfId="46" applyFont="1" applyAlignment="1">
      <alignment vertical="top"/>
    </xf>
    <xf numFmtId="0" fontId="15" fillId="66" borderId="10" xfId="46" applyFill="1" applyBorder="1"/>
    <xf numFmtId="0" fontId="18" fillId="76" borderId="10" xfId="46" applyFont="1" applyFill="1" applyBorder="1"/>
    <xf numFmtId="0" fontId="18" fillId="66" borderId="17" xfId="46" applyFont="1" applyFill="1" applyBorder="1" applyAlignment="1">
      <alignment horizontal="center" vertical="center"/>
    </xf>
    <xf numFmtId="0" fontId="18" fillId="66" borderId="17" xfId="46" applyFont="1" applyFill="1" applyBorder="1"/>
    <xf numFmtId="0" fontId="18" fillId="66" borderId="107" xfId="46" applyFont="1" applyFill="1" applyBorder="1"/>
    <xf numFmtId="0" fontId="15" fillId="76" borderId="10" xfId="46" applyFill="1" applyBorder="1" applyAlignment="1">
      <alignment horizontal="center" vertical="center"/>
    </xf>
    <xf numFmtId="0" fontId="98" fillId="66" borderId="17" xfId="46" applyFont="1" applyFill="1" applyBorder="1" applyAlignment="1">
      <alignment horizontal="center" vertical="center" wrapText="1"/>
    </xf>
    <xf numFmtId="0" fontId="98" fillId="66" borderId="175" xfId="46" applyFont="1" applyFill="1" applyBorder="1" applyAlignment="1">
      <alignment horizontal="center" vertical="center" wrapText="1"/>
    </xf>
    <xf numFmtId="0" fontId="98" fillId="66" borderId="178" xfId="46" applyFont="1" applyFill="1" applyBorder="1" applyAlignment="1">
      <alignment horizontal="center" vertical="center" wrapText="1"/>
    </xf>
    <xf numFmtId="0" fontId="98" fillId="66" borderId="10" xfId="46" applyFont="1" applyFill="1" applyBorder="1" applyAlignment="1">
      <alignment horizontal="center" vertical="center" wrapText="1"/>
    </xf>
    <xf numFmtId="0" fontId="15" fillId="0" borderId="24" xfId="46" applyBorder="1" applyAlignment="1">
      <alignment horizontal="center" vertical="center"/>
    </xf>
    <xf numFmtId="0" fontId="15" fillId="0" borderId="62" xfId="46" applyBorder="1" applyAlignment="1">
      <alignment horizontal="center" vertical="center"/>
    </xf>
    <xf numFmtId="0" fontId="15" fillId="76" borderId="33" xfId="46" applyFill="1" applyBorder="1" applyAlignment="1">
      <alignment horizontal="center" vertical="center"/>
    </xf>
    <xf numFmtId="1" fontId="0" fillId="29" borderId="10" xfId="0" applyNumberFormat="1" applyFill="1" applyBorder="1" applyAlignment="1">
      <alignment horizontal="center" vertical="center"/>
    </xf>
    <xf numFmtId="0" fontId="15" fillId="29" borderId="10" xfId="0" applyFont="1" applyFill="1" applyBorder="1" applyAlignment="1">
      <alignment horizontal="left" vertical="center"/>
    </xf>
    <xf numFmtId="0" fontId="0" fillId="29" borderId="10" xfId="0" applyFill="1" applyBorder="1" applyAlignment="1">
      <alignment horizontal="center" vertical="center"/>
    </xf>
    <xf numFmtId="9" fontId="0" fillId="0" borderId="10" xfId="42" applyFont="1" applyBorder="1" applyAlignment="1">
      <alignment horizontal="center" vertical="center"/>
    </xf>
    <xf numFmtId="9" fontId="0" fillId="0" borderId="75" xfId="42" applyFont="1" applyBorder="1" applyAlignment="1">
      <alignment horizontal="center" vertical="center"/>
    </xf>
    <xf numFmtId="0" fontId="15" fillId="0" borderId="10" xfId="46" applyBorder="1" applyAlignment="1">
      <alignment horizontal="center"/>
    </xf>
    <xf numFmtId="0" fontId="15" fillId="0" borderId="10" xfId="46" applyFont="1" applyBorder="1" applyAlignment="1">
      <alignment horizontal="left"/>
    </xf>
    <xf numFmtId="0" fontId="15" fillId="0" borderId="10" xfId="46" applyBorder="1" applyAlignment="1">
      <alignment horizontal="center" vertical="center"/>
    </xf>
    <xf numFmtId="0" fontId="15" fillId="0" borderId="25" xfId="46" applyBorder="1" applyAlignment="1">
      <alignment horizontal="center" vertical="center"/>
    </xf>
    <xf numFmtId="0" fontId="0" fillId="29" borderId="10" xfId="0" applyFill="1" applyBorder="1" applyAlignment="1">
      <alignment horizontal="left" vertical="center"/>
    </xf>
    <xf numFmtId="1" fontId="15" fillId="29" borderId="10" xfId="46" applyNumberFormat="1" applyFill="1" applyBorder="1" applyAlignment="1">
      <alignment horizontal="center" vertical="center"/>
    </xf>
    <xf numFmtId="0" fontId="15" fillId="29" borderId="10" xfId="46" applyFill="1" applyBorder="1" applyAlignment="1">
      <alignment horizontal="left" vertical="center"/>
    </xf>
    <xf numFmtId="0" fontId="15" fillId="29" borderId="10" xfId="46" applyFill="1" applyBorder="1" applyAlignment="1">
      <alignment horizontal="center" vertical="center"/>
    </xf>
    <xf numFmtId="0" fontId="15" fillId="0" borderId="75" xfId="46" applyFont="1" applyBorder="1" applyAlignment="1">
      <alignment horizontal="left" vertical="center"/>
    </xf>
    <xf numFmtId="0" fontId="15" fillId="0" borderId="13" xfId="46" applyBorder="1" applyAlignment="1">
      <alignment horizontal="left" vertical="center"/>
    </xf>
    <xf numFmtId="0" fontId="15" fillId="0" borderId="33" xfId="46" applyBorder="1" applyAlignment="1">
      <alignment horizontal="left" vertical="center"/>
    </xf>
    <xf numFmtId="0" fontId="15" fillId="0" borderId="10" xfId="46" applyBorder="1"/>
    <xf numFmtId="0" fontId="88" fillId="76" borderId="33" xfId="46" applyFont="1" applyFill="1" applyBorder="1" applyAlignment="1">
      <alignment horizontal="center" vertical="center"/>
    </xf>
    <xf numFmtId="0" fontId="15" fillId="76" borderId="33" xfId="46" applyFill="1" applyBorder="1"/>
    <xf numFmtId="0" fontId="15" fillId="0" borderId="26" xfId="46" applyBorder="1" applyAlignment="1">
      <alignment horizontal="center" vertical="center"/>
    </xf>
    <xf numFmtId="0" fontId="15" fillId="0" borderId="63" xfId="46" applyBorder="1" applyAlignment="1">
      <alignment horizontal="center" vertical="center"/>
    </xf>
    <xf numFmtId="0" fontId="15" fillId="0" borderId="10" xfId="46" applyFill="1" applyBorder="1" applyAlignment="1">
      <alignment horizontal="center" vertical="center"/>
    </xf>
    <xf numFmtId="0" fontId="15" fillId="0" borderId="26" xfId="46" applyFill="1" applyBorder="1" applyAlignment="1">
      <alignment horizontal="center" vertical="center"/>
    </xf>
    <xf numFmtId="0" fontId="18" fillId="0" borderId="20" xfId="46" applyFont="1" applyBorder="1" applyAlignment="1">
      <alignment horizontal="center" vertical="center"/>
    </xf>
    <xf numFmtId="0" fontId="15" fillId="0" borderId="21" xfId="46" applyBorder="1" applyAlignment="1">
      <alignment horizontal="center" vertical="center"/>
    </xf>
    <xf numFmtId="0" fontId="15" fillId="0" borderId="21" xfId="46" applyFill="1" applyBorder="1" applyAlignment="1">
      <alignment horizontal="center" vertical="center"/>
    </xf>
    <xf numFmtId="0" fontId="15" fillId="0" borderId="66" xfId="46" applyBorder="1" applyAlignment="1">
      <alignment horizontal="center" vertical="center"/>
    </xf>
    <xf numFmtId="0" fontId="18" fillId="66" borderId="10" xfId="46" applyFont="1" applyFill="1" applyBorder="1" applyAlignment="1">
      <alignment horizontal="center" vertical="center"/>
    </xf>
    <xf numFmtId="0" fontId="98" fillId="66" borderId="176" xfId="46" applyFont="1" applyFill="1" applyBorder="1" applyAlignment="1">
      <alignment horizontal="center" vertical="center" wrapText="1"/>
    </xf>
    <xf numFmtId="1" fontId="15" fillId="0" borderId="10" xfId="46" applyNumberFormat="1" applyBorder="1" applyAlignment="1">
      <alignment vertical="center"/>
    </xf>
    <xf numFmtId="0" fontId="15" fillId="29" borderId="10" xfId="0" quotePrefix="1" applyFont="1" applyFill="1" applyBorder="1" applyAlignment="1">
      <alignment horizontal="center" vertical="center"/>
    </xf>
    <xf numFmtId="0" fontId="88" fillId="0" borderId="0" xfId="46" applyFont="1" applyBorder="1" applyAlignment="1">
      <alignment horizontal="center" vertical="center"/>
    </xf>
    <xf numFmtId="0" fontId="15" fillId="0" borderId="0" xfId="46" applyFont="1"/>
    <xf numFmtId="0" fontId="15" fillId="67" borderId="0" xfId="46" applyFill="1"/>
    <xf numFmtId="0" fontId="18" fillId="25" borderId="0" xfId="46" applyFont="1" applyFill="1" applyBorder="1" applyAlignment="1" applyProtection="1">
      <alignment horizontal="center" vertical="center" wrapText="1"/>
      <protection locked="0"/>
    </xf>
    <xf numFmtId="166" fontId="15" fillId="0" borderId="0" xfId="46" applyNumberFormat="1"/>
    <xf numFmtId="44" fontId="15" fillId="0" borderId="0" xfId="46" applyNumberFormat="1"/>
    <xf numFmtId="166" fontId="15" fillId="0" borderId="0" xfId="46" applyNumberFormat="1" applyProtection="1">
      <protection locked="0"/>
    </xf>
    <xf numFmtId="0" fontId="18" fillId="25" borderId="0" xfId="46" applyFont="1" applyFill="1" applyBorder="1" applyAlignment="1" applyProtection="1">
      <alignment horizontal="center"/>
      <protection locked="0"/>
    </xf>
    <xf numFmtId="2" fontId="15" fillId="0" borderId="0" xfId="46" applyNumberFormat="1" applyProtection="1">
      <protection locked="0"/>
    </xf>
    <xf numFmtId="0" fontId="15" fillId="0" borderId="0" xfId="139"/>
    <xf numFmtId="167" fontId="18" fillId="0" borderId="0" xfId="28" applyNumberFormat="1" applyFont="1" applyFill="1"/>
    <xf numFmtId="0" fontId="18" fillId="0" borderId="24" xfId="0" applyFont="1" applyFill="1" applyBorder="1" applyAlignment="1" applyProtection="1">
      <alignment horizontal="center"/>
      <protection locked="0"/>
    </xf>
    <xf numFmtId="0" fontId="15" fillId="29" borderId="90" xfId="46" applyFill="1" applyBorder="1" applyAlignment="1">
      <alignment horizontal="left" wrapText="1"/>
    </xf>
    <xf numFmtId="166" fontId="15" fillId="29" borderId="25" xfId="29" applyNumberFormat="1" applyFont="1" applyFill="1" applyBorder="1"/>
    <xf numFmtId="166" fontId="15" fillId="29" borderId="25" xfId="29" applyNumberFormat="1" applyFill="1" applyBorder="1"/>
    <xf numFmtId="166" fontId="15" fillId="29" borderId="53" xfId="29" applyNumberFormat="1" applyFont="1" applyFill="1" applyBorder="1" applyAlignment="1">
      <alignment horizontal="center"/>
    </xf>
    <xf numFmtId="166" fontId="15" fillId="29" borderId="130" xfId="29" applyNumberFormat="1" applyFill="1" applyBorder="1" applyAlignment="1">
      <alignment horizontal="left" vertical="top" wrapText="1"/>
    </xf>
    <xf numFmtId="0" fontId="63" fillId="68" borderId="44" xfId="47" applyFont="1" applyFill="1" applyBorder="1" applyAlignment="1">
      <alignment horizontal="center"/>
    </xf>
    <xf numFmtId="0" fontId="15" fillId="68" borderId="0" xfId="46" applyFill="1" applyProtection="1">
      <protection locked="0"/>
    </xf>
    <xf numFmtId="0" fontId="102" fillId="68" borderId="0" xfId="90" applyFont="1" applyFill="1" applyProtection="1">
      <protection locked="0"/>
    </xf>
    <xf numFmtId="10" fontId="0" fillId="29" borderId="10" xfId="42" applyNumberFormat="1" applyFont="1" applyFill="1" applyBorder="1" applyAlignment="1">
      <alignment horizontal="center"/>
    </xf>
    <xf numFmtId="9" fontId="0" fillId="29" borderId="10" xfId="42" applyFont="1" applyFill="1" applyBorder="1" applyAlignment="1">
      <alignment horizontal="center"/>
    </xf>
    <xf numFmtId="0" fontId="15" fillId="29" borderId="10" xfId="0" applyFont="1" applyFill="1" applyBorder="1"/>
    <xf numFmtId="0" fontId="15" fillId="29" borderId="10" xfId="0" applyFont="1" applyFill="1" applyBorder="1" applyAlignment="1">
      <alignment wrapText="1"/>
    </xf>
    <xf numFmtId="166" fontId="0" fillId="29" borderId="10" xfId="0" applyNumberFormat="1" applyFill="1" applyBorder="1"/>
    <xf numFmtId="166" fontId="0" fillId="29" borderId="36" xfId="0" applyNumberFormat="1" applyFill="1" applyBorder="1"/>
    <xf numFmtId="0" fontId="18" fillId="0" borderId="0" xfId="0" applyFont="1" applyBorder="1" applyAlignment="1" applyProtection="1">
      <alignment horizontal="left"/>
      <protection locked="0"/>
    </xf>
    <xf numFmtId="0" fontId="15" fillId="0" borderId="53" xfId="0" applyFont="1" applyBorder="1" applyAlignment="1">
      <alignment horizontal="left"/>
    </xf>
    <xf numFmtId="0" fontId="0" fillId="0" borderId="16" xfId="0" applyBorder="1" applyAlignment="1">
      <alignment horizontal="left"/>
    </xf>
    <xf numFmtId="166" fontId="0" fillId="29" borderId="25" xfId="29" applyNumberFormat="1" applyFont="1" applyFill="1" applyBorder="1"/>
    <xf numFmtId="166" fontId="0" fillId="29" borderId="11" xfId="29" applyNumberFormat="1" applyFont="1" applyFill="1" applyBorder="1"/>
    <xf numFmtId="166" fontId="0" fillId="29" borderId="13" xfId="29" applyNumberFormat="1" applyFont="1" applyFill="1" applyBorder="1"/>
    <xf numFmtId="0" fontId="15" fillId="0" borderId="54" xfId="0" applyFont="1" applyBorder="1" applyAlignment="1">
      <alignment horizontal="left"/>
    </xf>
    <xf numFmtId="0" fontId="0" fillId="0" borderId="33" xfId="0" applyBorder="1" applyAlignment="1">
      <alignment horizontal="left"/>
    </xf>
    <xf numFmtId="201" fontId="85" fillId="0" borderId="59" xfId="51" applyNumberFormat="1" applyFont="1" applyFill="1" applyBorder="1" applyAlignment="1">
      <alignment vertical="center" wrapText="1"/>
    </xf>
    <xf numFmtId="0" fontId="85" fillId="0" borderId="15" xfId="51" applyFont="1" applyFill="1" applyBorder="1" applyAlignment="1">
      <alignment vertical="center" wrapText="1"/>
    </xf>
    <xf numFmtId="0" fontId="85" fillId="0" borderId="111" xfId="51" applyFont="1" applyFill="1" applyBorder="1" applyAlignment="1">
      <alignment vertical="center" wrapText="1"/>
    </xf>
    <xf numFmtId="0" fontId="85" fillId="0" borderId="0" xfId="51" applyFont="1" applyFill="1" applyBorder="1" applyAlignment="1">
      <alignment vertical="center" wrapText="1"/>
    </xf>
    <xf numFmtId="0" fontId="85" fillId="0" borderId="29" xfId="51" applyFont="1" applyFill="1" applyBorder="1" applyAlignment="1">
      <alignment vertical="center" wrapText="1"/>
    </xf>
    <xf numFmtId="0" fontId="85" fillId="0" borderId="13" xfId="51" applyFont="1" applyFill="1" applyBorder="1" applyAlignment="1">
      <alignment vertical="center" wrapText="1"/>
    </xf>
    <xf numFmtId="0" fontId="85" fillId="0" borderId="16" xfId="51" applyFont="1" applyFill="1" applyBorder="1" applyAlignment="1">
      <alignment vertical="center" wrapText="1"/>
    </xf>
    <xf numFmtId="0" fontId="85" fillId="0" borderId="77" xfId="51" applyFont="1" applyFill="1" applyBorder="1" applyAlignment="1">
      <alignment vertical="center" wrapText="1"/>
    </xf>
    <xf numFmtId="10" fontId="85" fillId="83" borderId="10" xfId="51" applyNumberFormat="1" applyFont="1" applyFill="1" applyBorder="1" applyAlignment="1">
      <alignment vertical="center" wrapText="1"/>
    </xf>
    <xf numFmtId="0" fontId="85" fillId="0" borderId="12" xfId="51" applyFont="1" applyFill="1" applyBorder="1" applyAlignment="1">
      <alignment vertical="center" wrapText="1"/>
    </xf>
    <xf numFmtId="0" fontId="85" fillId="0" borderId="55" xfId="51" applyFont="1" applyFill="1" applyBorder="1" applyAlignment="1">
      <alignment vertical="center" wrapText="1"/>
    </xf>
    <xf numFmtId="10" fontId="85" fillId="0" borderId="13" xfId="51" applyNumberFormat="1" applyFont="1" applyBorder="1" applyAlignment="1">
      <alignment vertical="center" wrapText="1"/>
    </xf>
    <xf numFmtId="0" fontId="85" fillId="0" borderId="30" xfId="51" applyFont="1" applyFill="1" applyBorder="1" applyAlignment="1">
      <alignment vertical="center" wrapText="1"/>
    </xf>
    <xf numFmtId="0" fontId="85" fillId="0" borderId="39" xfId="51" applyFont="1" applyFill="1" applyBorder="1" applyAlignment="1">
      <alignment vertical="center" wrapText="1"/>
    </xf>
    <xf numFmtId="10" fontId="85" fillId="83" borderId="26" xfId="51" applyNumberFormat="1" applyFont="1" applyFill="1" applyBorder="1" applyAlignment="1">
      <alignment vertical="center" wrapText="1"/>
    </xf>
    <xf numFmtId="0" fontId="85" fillId="0" borderId="78" xfId="51" applyFont="1" applyFill="1" applyBorder="1" applyAlignment="1">
      <alignment vertical="center" wrapText="1"/>
    </xf>
    <xf numFmtId="0" fontId="85" fillId="0" borderId="31" xfId="51" applyFont="1" applyFill="1" applyBorder="1" applyAlignment="1">
      <alignment vertical="center" wrapText="1"/>
    </xf>
    <xf numFmtId="166" fontId="15" fillId="29" borderId="53" xfId="29" applyNumberFormat="1" applyFont="1" applyFill="1" applyBorder="1"/>
    <xf numFmtId="166" fontId="18" fillId="29" borderId="53" xfId="29" applyNumberFormat="1" applyFont="1" applyFill="1" applyBorder="1"/>
    <xf numFmtId="0" fontId="18" fillId="0" borderId="53" xfId="0" applyFont="1" applyBorder="1" applyProtection="1">
      <protection locked="0"/>
    </xf>
    <xf numFmtId="0" fontId="18" fillId="28" borderId="11" xfId="0" applyFont="1" applyFill="1" applyBorder="1" applyAlignment="1" applyProtection="1">
      <alignment horizontal="center" vertical="top" wrapText="1"/>
      <protection locked="0"/>
    </xf>
    <xf numFmtId="3" fontId="0" fillId="0" borderId="10" xfId="137" applyNumberFormat="1" applyFont="1" applyFill="1" applyBorder="1"/>
    <xf numFmtId="3" fontId="0" fillId="0" borderId="19" xfId="137" applyNumberFormat="1" applyFont="1" applyFill="1" applyBorder="1"/>
    <xf numFmtId="3" fontId="0" fillId="67" borderId="10" xfId="137" applyNumberFormat="1" applyFont="1" applyFill="1" applyBorder="1"/>
    <xf numFmtId="3" fontId="0" fillId="67" borderId="17" xfId="137" applyNumberFormat="1" applyFont="1" applyFill="1" applyBorder="1"/>
    <xf numFmtId="3" fontId="0" fillId="0" borderId="17" xfId="0" applyNumberFormat="1" applyFill="1" applyBorder="1"/>
    <xf numFmtId="3" fontId="0" fillId="29" borderId="10" xfId="0" applyNumberFormat="1" applyFill="1" applyBorder="1"/>
    <xf numFmtId="166" fontId="15" fillId="29" borderId="10" xfId="29" applyNumberFormat="1" applyFill="1" applyBorder="1"/>
    <xf numFmtId="166" fontId="0" fillId="29" borderId="10" xfId="29" applyNumberFormat="1" applyFont="1" applyFill="1" applyBorder="1" applyAlignment="1">
      <alignment vertical="top"/>
    </xf>
    <xf numFmtId="166" fontId="0" fillId="29" borderId="26" xfId="29" applyNumberFormat="1" applyFont="1" applyFill="1" applyBorder="1" applyAlignment="1">
      <alignment vertical="top"/>
    </xf>
    <xf numFmtId="167" fontId="0" fillId="29" borderId="76" xfId="28" applyNumberFormat="1" applyFont="1" applyFill="1" applyBorder="1" applyAlignment="1" applyProtection="1">
      <alignment horizontal="right" vertical="center"/>
      <protection locked="0"/>
    </xf>
    <xf numFmtId="167" fontId="0" fillId="29" borderId="27" xfId="28" applyNumberFormat="1" applyFont="1" applyFill="1" applyBorder="1" applyAlignment="1" applyProtection="1">
      <alignment horizontal="right" vertical="center"/>
      <protection locked="0"/>
    </xf>
    <xf numFmtId="167" fontId="0" fillId="29" borderId="28" xfId="28" applyNumberFormat="1" applyFont="1" applyFill="1" applyBorder="1" applyAlignment="1" applyProtection="1">
      <alignment horizontal="right" vertical="center"/>
      <protection locked="0"/>
    </xf>
    <xf numFmtId="181" fontId="45" fillId="81" borderId="33" xfId="0" applyNumberFormat="1" applyFont="1" applyFill="1" applyBorder="1"/>
    <xf numFmtId="0" fontId="18" fillId="29" borderId="15" xfId="0" applyFont="1" applyFill="1" applyBorder="1"/>
    <xf numFmtId="0" fontId="18" fillId="0" borderId="50" xfId="0" applyFont="1" applyFill="1" applyBorder="1" applyAlignment="1">
      <alignment horizontal="center" wrapText="1"/>
    </xf>
    <xf numFmtId="37" fontId="15" fillId="81" borderId="18" xfId="0" applyNumberFormat="1" applyFont="1" applyFill="1" applyBorder="1"/>
    <xf numFmtId="37" fontId="15" fillId="81" borderId="111" xfId="0" applyNumberFormat="1" applyFont="1" applyFill="1" applyBorder="1"/>
    <xf numFmtId="3" fontId="0" fillId="0" borderId="0" xfId="0" applyNumberFormat="1"/>
    <xf numFmtId="0" fontId="15" fillId="29" borderId="27" xfId="0" applyFont="1" applyFill="1" applyBorder="1"/>
    <xf numFmtId="167" fontId="0" fillId="29" borderId="10" xfId="28" applyNumberFormat="1" applyFont="1" applyFill="1" applyBorder="1"/>
    <xf numFmtId="0" fontId="45" fillId="29" borderId="27" xfId="0" applyFont="1" applyFill="1" applyBorder="1"/>
    <xf numFmtId="0" fontId="45" fillId="29" borderId="10" xfId="0" applyFont="1" applyFill="1" applyBorder="1"/>
    <xf numFmtId="167" fontId="0" fillId="29" borderId="25" xfId="28" applyNumberFormat="1" applyFont="1" applyFill="1" applyBorder="1"/>
    <xf numFmtId="173" fontId="15" fillId="0" borderId="0" xfId="29" applyNumberFormat="1" applyFont="1" applyBorder="1" applyProtection="1"/>
    <xf numFmtId="173" fontId="15" fillId="0" borderId="12" xfId="29" applyNumberFormat="1" applyFont="1" applyBorder="1" applyProtection="1"/>
    <xf numFmtId="173" fontId="15" fillId="0" borderId="0" xfId="29" applyNumberFormat="1" applyFont="1" applyBorder="1" applyAlignment="1" applyProtection="1"/>
    <xf numFmtId="173" fontId="15" fillId="0" borderId="12" xfId="29" applyNumberFormat="1" applyFont="1" applyBorder="1" applyAlignment="1" applyProtection="1"/>
    <xf numFmtId="10" fontId="15" fillId="29" borderId="0" xfId="42" applyNumberFormat="1" applyFont="1" applyFill="1" applyBorder="1" applyProtection="1"/>
    <xf numFmtId="10" fontId="15" fillId="29" borderId="12" xfId="42" applyNumberFormat="1" applyFont="1" applyFill="1" applyBorder="1" applyProtection="1"/>
    <xf numFmtId="0" fontId="0" fillId="0" borderId="11" xfId="0" applyBorder="1" applyProtection="1">
      <protection locked="0"/>
    </xf>
    <xf numFmtId="166" fontId="15" fillId="0" borderId="93" xfId="29" applyNumberFormat="1" applyFont="1" applyBorder="1" applyAlignment="1" applyProtection="1">
      <alignment horizontal="left"/>
      <protection locked="0"/>
    </xf>
    <xf numFmtId="0" fontId="0" fillId="68" borderId="0" xfId="0" applyFill="1" applyProtection="1">
      <protection locked="0"/>
    </xf>
    <xf numFmtId="0" fontId="15" fillId="0" borderId="0" xfId="46" applyFont="1" applyAlignment="1" applyProtection="1">
      <alignment vertical="top" wrapText="1"/>
      <protection locked="0"/>
    </xf>
    <xf numFmtId="0" fontId="15" fillId="0" borderId="0" xfId="46" applyFont="1" applyAlignment="1" applyProtection="1">
      <alignment wrapText="1"/>
      <protection locked="0"/>
    </xf>
    <xf numFmtId="0" fontId="15" fillId="0" borderId="0" xfId="46" applyAlignment="1" applyProtection="1">
      <protection locked="0"/>
    </xf>
    <xf numFmtId="0" fontId="18" fillId="0" borderId="0" xfId="0" applyFont="1" applyAlignment="1" applyProtection="1">
      <alignment horizontal="left" vertical="top" wrapText="1"/>
      <protection locked="0"/>
    </xf>
    <xf numFmtId="0" fontId="15" fillId="0" borderId="0" xfId="46" applyFont="1" applyAlignment="1" applyProtection="1">
      <alignment horizontal="center" vertical="top"/>
      <protection locked="0"/>
    </xf>
    <xf numFmtId="0" fontId="15" fillId="0" borderId="0" xfId="46" applyAlignment="1" applyProtection="1">
      <alignment wrapText="1"/>
      <protection locked="0"/>
    </xf>
    <xf numFmtId="0" fontId="18" fillId="67" borderId="93" xfId="46" applyFont="1" applyFill="1" applyBorder="1" applyAlignment="1" applyProtection="1">
      <alignment horizontal="center" wrapText="1"/>
      <protection locked="0"/>
    </xf>
    <xf numFmtId="0" fontId="17" fillId="0" borderId="0" xfId="46" applyFont="1" applyAlignment="1" applyProtection="1">
      <alignment horizontal="right" vertical="top"/>
      <protection locked="0"/>
    </xf>
    <xf numFmtId="0" fontId="17" fillId="29" borderId="0" xfId="46" applyFont="1" applyFill="1" applyAlignment="1" applyProtection="1">
      <alignment horizontal="right" vertical="top"/>
      <protection locked="0"/>
    </xf>
    <xf numFmtId="0" fontId="15" fillId="29" borderId="10" xfId="0" applyFont="1" applyFill="1" applyBorder="1" applyProtection="1">
      <protection locked="0"/>
    </xf>
    <xf numFmtId="0" fontId="144" fillId="67" borderId="15" xfId="46" applyFont="1" applyFill="1" applyBorder="1" applyAlignment="1">
      <alignment horizontal="center" vertical="center" wrapText="1"/>
    </xf>
    <xf numFmtId="3" fontId="0" fillId="29" borderId="10" xfId="0" applyNumberFormat="1" applyFill="1" applyBorder="1" applyProtection="1">
      <protection locked="0"/>
    </xf>
    <xf numFmtId="3" fontId="0" fillId="29" borderId="10" xfId="29" applyNumberFormat="1" applyFont="1" applyFill="1" applyBorder="1" applyProtection="1">
      <protection locked="0"/>
    </xf>
    <xf numFmtId="3" fontId="0" fillId="29" borderId="17" xfId="137" applyNumberFormat="1" applyFont="1" applyFill="1" applyBorder="1"/>
    <xf numFmtId="3" fontId="0" fillId="29" borderId="19" xfId="0" applyNumberFormat="1" applyFill="1" applyBorder="1"/>
    <xf numFmtId="3" fontId="0" fillId="29" borderId="19" xfId="137" applyNumberFormat="1" applyFont="1" applyFill="1" applyBorder="1"/>
    <xf numFmtId="202" fontId="15" fillId="0" borderId="10" xfId="28" applyNumberFormat="1" applyBorder="1" applyProtection="1">
      <protection locked="0"/>
    </xf>
    <xf numFmtId="202" fontId="15" fillId="29" borderId="10" xfId="28" applyNumberFormat="1" applyFill="1" applyBorder="1"/>
    <xf numFmtId="0" fontId="0" fillId="0" borderId="88" xfId="0" applyBorder="1" applyProtection="1">
      <protection locked="0"/>
    </xf>
    <xf numFmtId="0" fontId="0" fillId="0" borderId="65" xfId="0" applyBorder="1" applyProtection="1">
      <protection locked="0"/>
    </xf>
    <xf numFmtId="167" fontId="0" fillId="0" borderId="22" xfId="28" applyNumberFormat="1" applyFont="1" applyBorder="1" applyProtection="1">
      <protection locked="0"/>
    </xf>
    <xf numFmtId="0" fontId="15" fillId="0" borderId="65" xfId="0" applyFont="1" applyBorder="1" applyProtection="1">
      <protection locked="0"/>
    </xf>
    <xf numFmtId="0" fontId="15" fillId="68" borderId="0" xfId="0" applyFont="1" applyFill="1" applyProtection="1">
      <protection locked="0"/>
    </xf>
    <xf numFmtId="196" fontId="0" fillId="0" borderId="10" xfId="28" applyNumberFormat="1" applyFont="1" applyBorder="1"/>
    <xf numFmtId="196" fontId="0" fillId="0" borderId="10" xfId="28" applyNumberFormat="1" applyFont="1" applyFill="1" applyBorder="1"/>
    <xf numFmtId="0" fontId="15" fillId="0" borderId="75" xfId="46" applyFont="1" applyBorder="1" applyAlignment="1">
      <alignment horizontal="left" vertical="center"/>
    </xf>
    <xf numFmtId="0" fontId="15" fillId="0" borderId="33" xfId="46" applyFont="1" applyBorder="1" applyAlignment="1">
      <alignment horizontal="left" vertical="center"/>
    </xf>
    <xf numFmtId="0" fontId="15" fillId="0" borderId="11" xfId="46" applyBorder="1" applyAlignment="1">
      <alignment horizontal="center" vertical="center"/>
    </xf>
    <xf numFmtId="0" fontId="15" fillId="0" borderId="11" xfId="46" applyFont="1" applyBorder="1" applyAlignment="1">
      <alignment horizontal="left" vertical="center"/>
    </xf>
    <xf numFmtId="167" fontId="0" fillId="67" borderId="10" xfId="28" applyNumberFormat="1" applyFont="1" applyFill="1" applyBorder="1"/>
    <xf numFmtId="167" fontId="0" fillId="0" borderId="10" xfId="28" applyNumberFormat="1" applyFont="1" applyBorder="1"/>
    <xf numFmtId="0" fontId="0" fillId="29" borderId="91" xfId="0" applyFill="1" applyBorder="1" applyAlignment="1" applyProtection="1">
      <alignment horizontal="right" vertical="center"/>
      <protection locked="0"/>
    </xf>
    <xf numFmtId="167" fontId="0" fillId="29" borderId="91" xfId="28" applyNumberFormat="1" applyFont="1" applyFill="1" applyBorder="1" applyAlignment="1" applyProtection="1">
      <alignment horizontal="right" vertical="center"/>
      <protection locked="0"/>
    </xf>
    <xf numFmtId="0" fontId="15" fillId="29" borderId="10" xfId="0" applyFont="1" applyFill="1" applyBorder="1" applyAlignment="1">
      <alignment horizontal="center"/>
    </xf>
    <xf numFmtId="0" fontId="0" fillId="29" borderId="87" xfId="0" applyFill="1" applyBorder="1" applyAlignment="1" applyProtection="1">
      <alignment horizontal="left"/>
      <protection locked="0"/>
    </xf>
    <xf numFmtId="0" fontId="18" fillId="0" borderId="39" xfId="0" applyFont="1" applyBorder="1" applyAlignment="1" applyProtection="1">
      <alignment horizontal="left"/>
      <protection locked="0"/>
    </xf>
    <xf numFmtId="0" fontId="0" fillId="0" borderId="33" xfId="0" applyBorder="1" applyAlignment="1">
      <alignment horizontal="left"/>
    </xf>
    <xf numFmtId="0" fontId="0" fillId="0" borderId="16" xfId="0" applyBorder="1" applyAlignment="1">
      <alignment horizontal="left"/>
    </xf>
    <xf numFmtId="0" fontId="0" fillId="0" borderId="15" xfId="0" applyBorder="1" applyAlignment="1">
      <alignment horizontal="left"/>
    </xf>
    <xf numFmtId="0" fontId="0" fillId="29" borderId="33" xfId="0" applyFill="1" applyBorder="1" applyAlignment="1" applyProtection="1">
      <alignment horizontal="left"/>
      <protection locked="0"/>
    </xf>
    <xf numFmtId="0" fontId="0" fillId="0" borderId="15" xfId="0" applyBorder="1" applyAlignment="1" applyProtection="1">
      <alignment horizontal="left"/>
      <protection locked="0"/>
    </xf>
    <xf numFmtId="0" fontId="0" fillId="0" borderId="33" xfId="0" applyBorder="1" applyAlignment="1" applyProtection="1">
      <alignment horizontal="left"/>
      <protection locked="0"/>
    </xf>
    <xf numFmtId="0" fontId="0" fillId="0" borderId="0" xfId="0" applyAlignment="1" applyProtection="1">
      <alignment horizontal="left"/>
      <protection locked="0"/>
    </xf>
    <xf numFmtId="0" fontId="15" fillId="0" borderId="0" xfId="0" applyFont="1" applyAlignment="1" applyProtection="1">
      <alignment wrapText="1"/>
      <protection locked="0"/>
    </xf>
    <xf numFmtId="0" fontId="18" fillId="0" borderId="24" xfId="0" applyFont="1" applyFill="1" applyBorder="1" applyAlignment="1" applyProtection="1">
      <alignment horizontal="center"/>
      <protection locked="0"/>
    </xf>
    <xf numFmtId="0" fontId="22" fillId="0" borderId="0" xfId="0" applyFont="1" applyAlignment="1">
      <alignment vertical="top"/>
    </xf>
    <xf numFmtId="0" fontId="18" fillId="68" borderId="33" xfId="0" applyFont="1" applyFill="1" applyBorder="1"/>
    <xf numFmtId="0" fontId="15" fillId="29" borderId="40" xfId="0" applyFont="1" applyFill="1" applyBorder="1" applyProtection="1">
      <protection locked="0"/>
    </xf>
    <xf numFmtId="2" fontId="0" fillId="29" borderId="10" xfId="0" applyNumberFormat="1" applyFill="1" applyBorder="1" applyProtection="1">
      <protection locked="0"/>
    </xf>
    <xf numFmtId="0" fontId="18" fillId="0" borderId="15" xfId="0" applyFont="1" applyBorder="1" applyAlignment="1" applyProtection="1">
      <alignment horizontal="left"/>
      <protection locked="0"/>
    </xf>
    <xf numFmtId="0" fontId="18" fillId="0" borderId="24" xfId="0" applyFont="1" applyBorder="1" applyAlignment="1" applyProtection="1">
      <alignment horizontal="center"/>
      <protection locked="0"/>
    </xf>
    <xf numFmtId="0" fontId="18" fillId="0" borderId="19" xfId="0" applyFont="1" applyBorder="1" applyAlignment="1" applyProtection="1">
      <alignment horizontal="center"/>
      <protection locked="0"/>
    </xf>
    <xf numFmtId="0" fontId="15" fillId="0" borderId="0" xfId="46" applyAlignment="1" applyProtection="1">
      <protection locked="0"/>
    </xf>
    <xf numFmtId="167" fontId="18" fillId="67" borderId="10" xfId="28" applyNumberFormat="1" applyFont="1" applyFill="1" applyBorder="1" applyAlignment="1" applyProtection="1">
      <alignment horizontal="center" vertical="center"/>
      <protection locked="0"/>
    </xf>
    <xf numFmtId="0" fontId="0" fillId="0" borderId="0" xfId="0" applyAlignment="1" applyProtection="1">
      <alignment vertical="top" wrapText="1"/>
      <protection locked="0"/>
    </xf>
    <xf numFmtId="179" fontId="85" fillId="0" borderId="0" xfId="0" applyNumberFormat="1" applyFont="1" applyFill="1" applyAlignment="1" applyProtection="1">
      <alignment horizontal="left" vertical="top" wrapText="1"/>
      <protection locked="0"/>
    </xf>
    <xf numFmtId="0" fontId="18" fillId="84" borderId="49" xfId="0" applyFont="1" applyFill="1" applyBorder="1" applyAlignment="1" applyProtection="1">
      <alignment vertical="center" wrapText="1"/>
      <protection locked="0"/>
    </xf>
    <xf numFmtId="0" fontId="18" fillId="84" borderId="24" xfId="0" applyFont="1" applyFill="1" applyBorder="1" applyAlignment="1" applyProtection="1">
      <alignment horizontal="center" vertical="center" wrapText="1"/>
      <protection locked="0"/>
    </xf>
    <xf numFmtId="0" fontId="18" fillId="84" borderId="62" xfId="0" applyFont="1" applyFill="1" applyBorder="1" applyAlignment="1" applyProtection="1">
      <alignment horizontal="center" vertical="center" wrapText="1"/>
      <protection locked="0"/>
    </xf>
    <xf numFmtId="0" fontId="18" fillId="84" borderId="24" xfId="0" applyFont="1" applyFill="1" applyBorder="1" applyAlignment="1" applyProtection="1">
      <alignment horizontal="center"/>
      <protection locked="0"/>
    </xf>
    <xf numFmtId="0" fontId="18" fillId="84" borderId="62" xfId="0" applyFont="1" applyFill="1" applyBorder="1" applyAlignment="1" applyProtection="1">
      <alignment horizontal="center"/>
      <protection locked="0"/>
    </xf>
    <xf numFmtId="0" fontId="18" fillId="84" borderId="24" xfId="0" applyFont="1" applyFill="1" applyBorder="1" applyAlignment="1" applyProtection="1">
      <alignment horizontal="center" wrapText="1"/>
      <protection locked="0"/>
    </xf>
    <xf numFmtId="0" fontId="18" fillId="84" borderId="10" xfId="0" applyFont="1" applyFill="1" applyBorder="1" applyAlignment="1" applyProtection="1">
      <alignment horizontal="center" vertical="center"/>
      <protection locked="0"/>
    </xf>
    <xf numFmtId="167" fontId="0" fillId="0" borderId="10" xfId="28" applyNumberFormat="1" applyFont="1" applyFill="1" applyBorder="1" applyAlignment="1" applyProtection="1">
      <alignment horizontal="right" vertical="center"/>
      <protection locked="0"/>
    </xf>
    <xf numFmtId="167" fontId="15" fillId="0" borderId="10" xfId="28" applyNumberFormat="1" applyFont="1" applyFill="1" applyBorder="1" applyAlignment="1">
      <alignment horizontal="right" vertical="center"/>
    </xf>
    <xf numFmtId="190" fontId="18" fillId="84" borderId="63" xfId="0" applyNumberFormat="1" applyFont="1" applyFill="1" applyBorder="1" applyAlignment="1" applyProtection="1">
      <alignment horizontal="right" vertical="center"/>
      <protection locked="0"/>
    </xf>
    <xf numFmtId="0" fontId="18" fillId="84" borderId="43" xfId="0" applyFont="1" applyFill="1" applyBorder="1" applyProtection="1">
      <protection locked="0"/>
    </xf>
    <xf numFmtId="0" fontId="18" fillId="84" borderId="41" xfId="0" applyFont="1" applyFill="1" applyBorder="1" applyAlignment="1" applyProtection="1">
      <alignment horizontal="center" vertical="center" wrapText="1"/>
      <protection locked="0"/>
    </xf>
    <xf numFmtId="0" fontId="18" fillId="84" borderId="41" xfId="0" applyFont="1" applyFill="1" applyBorder="1" applyAlignment="1" applyProtection="1">
      <alignment horizontal="center" vertical="center"/>
      <protection locked="0"/>
    </xf>
    <xf numFmtId="0" fontId="18" fillId="84" borderId="31" xfId="0" applyFont="1" applyFill="1" applyBorder="1" applyAlignment="1" applyProtection="1">
      <alignment horizontal="center" vertical="center"/>
      <protection locked="0"/>
    </xf>
    <xf numFmtId="0" fontId="18" fillId="84" borderId="40" xfId="0" applyFont="1" applyFill="1" applyBorder="1" applyProtection="1">
      <protection locked="0"/>
    </xf>
    <xf numFmtId="166" fontId="52" fillId="0" borderId="66" xfId="29" applyNumberFormat="1" applyFont="1" applyFill="1" applyBorder="1"/>
    <xf numFmtId="166" fontId="52" fillId="0" borderId="44" xfId="29" applyNumberFormat="1" applyFont="1" applyFill="1" applyBorder="1"/>
    <xf numFmtId="9" fontId="15" fillId="29" borderId="10" xfId="42" applyFont="1" applyFill="1" applyBorder="1" applyAlignment="1">
      <alignment horizontal="center"/>
    </xf>
    <xf numFmtId="0" fontId="18" fillId="84" borderId="32" xfId="0" applyFont="1" applyFill="1" applyBorder="1" applyAlignment="1" applyProtection="1">
      <alignment vertical="center"/>
      <protection locked="0"/>
    </xf>
    <xf numFmtId="0" fontId="18" fillId="84" borderId="21" xfId="0" applyFont="1" applyFill="1" applyBorder="1" applyAlignment="1" applyProtection="1">
      <alignment horizontal="center" vertical="center" wrapText="1"/>
      <protection locked="0"/>
    </xf>
    <xf numFmtId="0" fontId="18" fillId="84" borderId="66" xfId="0" applyFont="1" applyFill="1" applyBorder="1" applyAlignment="1" applyProtection="1">
      <alignment horizontal="center" vertical="center" wrapText="1"/>
      <protection locked="0"/>
    </xf>
    <xf numFmtId="0" fontId="2" fillId="0" borderId="0" xfId="134" applyFont="1" applyProtection="1">
      <protection locked="0"/>
    </xf>
    <xf numFmtId="167" fontId="82" fillId="29" borderId="0" xfId="28" applyNumberFormat="1" applyFont="1" applyFill="1" applyBorder="1" applyAlignment="1" applyProtection="1">
      <alignment vertical="top"/>
      <protection locked="0"/>
    </xf>
    <xf numFmtId="167" fontId="82" fillId="29" borderId="127" xfId="28" applyNumberFormat="1" applyFont="1" applyFill="1" applyBorder="1" applyAlignment="1" applyProtection="1">
      <alignment vertical="top"/>
      <protection locked="0"/>
    </xf>
    <xf numFmtId="167" fontId="82" fillId="29" borderId="121" xfId="28" applyNumberFormat="1" applyFont="1" applyFill="1" applyBorder="1" applyAlignment="1" applyProtection="1">
      <alignment vertical="top"/>
      <protection locked="0"/>
    </xf>
    <xf numFmtId="167" fontId="9" fillId="0" borderId="30" xfId="28" applyNumberFormat="1" applyFont="1" applyFill="1" applyBorder="1" applyProtection="1">
      <protection locked="0"/>
    </xf>
    <xf numFmtId="167" fontId="82" fillId="0" borderId="0" xfId="134" applyNumberFormat="1" applyFont="1" applyFill="1" applyBorder="1" applyAlignment="1" applyProtection="1">
      <alignment vertical="top"/>
      <protection locked="0"/>
    </xf>
    <xf numFmtId="167" fontId="9" fillId="0" borderId="30" xfId="28" applyNumberFormat="1" applyFont="1" applyBorder="1" applyProtection="1">
      <protection locked="0"/>
    </xf>
    <xf numFmtId="15" fontId="15" fillId="29" borderId="10" xfId="0" quotePrefix="1" applyNumberFormat="1" applyFont="1" applyFill="1" applyBorder="1" applyAlignment="1" applyProtection="1">
      <alignment horizontal="left" vertical="top" wrapText="1"/>
      <protection locked="0"/>
    </xf>
    <xf numFmtId="0" fontId="17" fillId="29" borderId="0" xfId="46" applyFont="1" applyFill="1" applyBorder="1" applyAlignment="1" applyProtection="1">
      <alignment horizontal="right" vertical="top"/>
      <protection locked="0"/>
    </xf>
    <xf numFmtId="0" fontId="67" fillId="0" borderId="0" xfId="46" applyFont="1" applyFill="1" applyBorder="1" applyAlignment="1" applyProtection="1">
      <alignment horizontal="center" vertical="center" wrapText="1"/>
      <protection locked="0"/>
    </xf>
    <xf numFmtId="15" fontId="17" fillId="29" borderId="0" xfId="0" quotePrefix="1" applyNumberFormat="1" applyFont="1" applyFill="1" applyAlignment="1" applyProtection="1">
      <alignment horizontal="right" vertical="top"/>
      <protection locked="0"/>
    </xf>
    <xf numFmtId="15" fontId="17" fillId="29" borderId="0" xfId="0" quotePrefix="1" applyNumberFormat="1" applyFont="1" applyFill="1" applyAlignment="1">
      <alignment horizontal="right" vertical="top"/>
    </xf>
    <xf numFmtId="15" fontId="17" fillId="29" borderId="0" xfId="46" quotePrefix="1" applyNumberFormat="1" applyFont="1" applyFill="1" applyAlignment="1" applyProtection="1">
      <alignment horizontal="right" vertical="top"/>
      <protection locked="0"/>
    </xf>
    <xf numFmtId="15" fontId="17" fillId="29" borderId="0" xfId="46" quotePrefix="1" applyNumberFormat="1" applyFont="1" applyFill="1" applyAlignment="1">
      <alignment horizontal="right" vertical="top"/>
    </xf>
    <xf numFmtId="15" fontId="17" fillId="29" borderId="0" xfId="46" quotePrefix="1" applyNumberFormat="1" applyFont="1" applyFill="1" applyAlignment="1" applyProtection="1">
      <alignment vertical="top"/>
      <protection locked="0"/>
    </xf>
    <xf numFmtId="16" fontId="17" fillId="29" borderId="0" xfId="0" quotePrefix="1" applyNumberFormat="1" applyFont="1" applyFill="1" applyAlignment="1" applyProtection="1">
      <alignment horizontal="right" vertical="top"/>
      <protection locked="0"/>
    </xf>
    <xf numFmtId="166" fontId="0" fillId="68" borderId="10" xfId="29" applyNumberFormat="1" applyFont="1" applyFill="1" applyBorder="1" applyProtection="1">
      <protection locked="0"/>
    </xf>
    <xf numFmtId="166" fontId="18" fillId="68" borderId="10" xfId="46" applyNumberFormat="1" applyFont="1" applyFill="1" applyBorder="1" applyProtection="1">
      <protection locked="0"/>
    </xf>
    <xf numFmtId="166" fontId="0" fillId="68" borderId="13" xfId="29" applyNumberFormat="1" applyFont="1" applyFill="1" applyBorder="1" applyProtection="1">
      <protection locked="0"/>
    </xf>
    <xf numFmtId="3" fontId="59" fillId="68" borderId="10" xfId="47" applyNumberFormat="1" applyFont="1" applyFill="1" applyBorder="1" applyAlignment="1" applyProtection="1">
      <protection locked="0"/>
    </xf>
    <xf numFmtId="167" fontId="59" fillId="68" borderId="10" xfId="28" applyNumberFormat="1" applyFont="1" applyFill="1" applyBorder="1" applyProtection="1">
      <protection locked="0"/>
    </xf>
    <xf numFmtId="0" fontId="18" fillId="0" borderId="21" xfId="0" applyFont="1" applyFill="1" applyBorder="1" applyAlignment="1">
      <alignment horizontal="center" vertical="center" wrapText="1"/>
    </xf>
    <xf numFmtId="0" fontId="18" fillId="28" borderId="21" xfId="0" applyFont="1" applyFill="1" applyBorder="1" applyAlignment="1">
      <alignment horizontal="center" vertical="top" wrapText="1"/>
    </xf>
    <xf numFmtId="166" fontId="66" fillId="29" borderId="24" xfId="137" applyNumberFormat="1" applyFont="1" applyFill="1" applyBorder="1" applyAlignment="1">
      <alignment vertical="center" wrapText="1"/>
    </xf>
    <xf numFmtId="166" fontId="66" fillId="29" borderId="24" xfId="137" applyNumberFormat="1" applyFont="1" applyFill="1" applyBorder="1" applyAlignment="1" applyProtection="1">
      <alignment vertical="center" wrapText="1"/>
      <protection locked="0"/>
    </xf>
    <xf numFmtId="166" fontId="66" fillId="29" borderId="62" xfId="137" applyNumberFormat="1" applyFont="1" applyFill="1" applyBorder="1" applyAlignment="1" applyProtection="1">
      <alignment vertical="center" wrapText="1"/>
      <protection locked="0"/>
    </xf>
    <xf numFmtId="166" fontId="66" fillId="29" borderId="10" xfId="137" applyNumberFormat="1" applyFont="1" applyFill="1" applyBorder="1" applyAlignment="1">
      <alignment vertical="center" wrapText="1"/>
    </xf>
    <xf numFmtId="166" fontId="66" fillId="29" borderId="10" xfId="137" applyNumberFormat="1" applyFont="1" applyFill="1" applyBorder="1" applyAlignment="1" applyProtection="1">
      <alignment vertical="center" wrapText="1"/>
      <protection locked="0"/>
    </xf>
    <xf numFmtId="166" fontId="66" fillId="29" borderId="25" xfId="137" applyNumberFormat="1" applyFont="1" applyFill="1" applyBorder="1" applyAlignment="1" applyProtection="1">
      <alignment vertical="center" wrapText="1"/>
      <protection locked="0"/>
    </xf>
    <xf numFmtId="166" fontId="67" fillId="0" borderId="10" xfId="137" applyNumberFormat="1" applyFont="1" applyBorder="1" applyAlignment="1" applyProtection="1">
      <alignment vertical="center" wrapText="1"/>
      <protection locked="0"/>
    </xf>
    <xf numFmtId="166" fontId="67" fillId="0" borderId="10" xfId="137" applyNumberFormat="1" applyFont="1" applyBorder="1" applyAlignment="1">
      <alignment vertical="center" wrapText="1"/>
    </xf>
    <xf numFmtId="166" fontId="67" fillId="0" borderId="25" xfId="137" applyNumberFormat="1" applyFont="1" applyBorder="1" applyAlignment="1" applyProtection="1">
      <alignment vertical="center" wrapText="1"/>
      <protection locked="0"/>
    </xf>
    <xf numFmtId="3" fontId="67" fillId="0" borderId="0" xfId="169" applyNumberFormat="1" applyFont="1" applyFill="1" applyBorder="1" applyAlignment="1" applyProtection="1">
      <alignment vertical="center" wrapText="1"/>
      <protection locked="0"/>
    </xf>
    <xf numFmtId="165" fontId="66" fillId="62" borderId="10" xfId="170" applyNumberFormat="1" applyFont="1" applyFill="1" applyBorder="1" applyAlignment="1" applyProtection="1">
      <alignment vertical="center" wrapText="1"/>
      <protection locked="0"/>
    </xf>
    <xf numFmtId="165" fontId="66" fillId="0" borderId="10" xfId="170" applyNumberFormat="1" applyFont="1" applyBorder="1" applyAlignment="1" applyProtection="1">
      <alignment vertical="center" wrapText="1"/>
      <protection locked="0"/>
    </xf>
    <xf numFmtId="165" fontId="66" fillId="0" borderId="10" xfId="170" applyNumberFormat="1" applyFont="1" applyBorder="1" applyAlignment="1">
      <alignment vertical="center" wrapText="1"/>
    </xf>
    <xf numFmtId="165" fontId="66" fillId="0" borderId="25" xfId="170" applyNumberFormat="1" applyFont="1" applyBorder="1" applyAlignment="1" applyProtection="1">
      <alignment vertical="center" wrapText="1"/>
      <protection locked="0"/>
    </xf>
    <xf numFmtId="3" fontId="66" fillId="0" borderId="0" xfId="170" applyNumberFormat="1" applyFont="1" applyFill="1" applyBorder="1" applyAlignment="1" applyProtection="1">
      <alignment vertical="center" wrapText="1"/>
      <protection locked="0"/>
    </xf>
    <xf numFmtId="165" fontId="66" fillId="0" borderId="75" xfId="170" applyNumberFormat="1" applyFont="1" applyBorder="1" applyAlignment="1" applyProtection="1">
      <alignment vertical="center" wrapText="1"/>
      <protection locked="0"/>
    </xf>
    <xf numFmtId="165" fontId="66" fillId="0" borderId="13" xfId="170" applyNumberFormat="1" applyFont="1" applyBorder="1" applyAlignment="1" applyProtection="1">
      <alignment vertical="center" wrapText="1"/>
      <protection locked="0"/>
    </xf>
    <xf numFmtId="165" fontId="66" fillId="0" borderId="13" xfId="170" applyNumberFormat="1" applyFont="1" applyBorder="1" applyAlignment="1">
      <alignment vertical="center" wrapText="1"/>
    </xf>
    <xf numFmtId="165" fontId="66" fillId="0" borderId="33" xfId="170" applyNumberFormat="1" applyFont="1" applyBorder="1" applyAlignment="1" applyProtection="1">
      <alignment vertical="center" wrapText="1"/>
      <protection locked="0"/>
    </xf>
    <xf numFmtId="167" fontId="0" fillId="0" borderId="0" xfId="0" applyNumberFormat="1" applyAlignment="1" applyProtection="1">
      <alignment vertical="center" wrapText="1"/>
      <protection locked="0"/>
    </xf>
    <xf numFmtId="3" fontId="66" fillId="62" borderId="26" xfId="169" applyNumberFormat="1" applyFont="1" applyFill="1" applyBorder="1" applyAlignment="1" applyProtection="1">
      <alignment vertical="center" wrapText="1"/>
      <protection locked="0"/>
    </xf>
    <xf numFmtId="165" fontId="66" fillId="62" borderId="26" xfId="170" applyNumberFormat="1" applyFont="1" applyFill="1" applyBorder="1" applyAlignment="1" applyProtection="1">
      <alignment vertical="center" wrapText="1"/>
      <protection locked="0"/>
    </xf>
    <xf numFmtId="165" fontId="66" fillId="0" borderId="26" xfId="170" applyNumberFormat="1" applyFont="1" applyBorder="1" applyAlignment="1" applyProtection="1">
      <alignment vertical="center" wrapText="1"/>
      <protection locked="0"/>
    </xf>
    <xf numFmtId="165" fontId="66" fillId="0" borderId="26" xfId="170" applyNumberFormat="1" applyFont="1" applyBorder="1" applyAlignment="1">
      <alignment vertical="center" wrapText="1"/>
    </xf>
    <xf numFmtId="165" fontId="66" fillId="0" borderId="63" xfId="170" applyNumberFormat="1" applyFont="1" applyBorder="1" applyAlignment="1" applyProtection="1">
      <alignment vertical="center" wrapText="1"/>
      <protection locked="0"/>
    </xf>
    <xf numFmtId="167" fontId="15" fillId="0" borderId="0" xfId="169" applyNumberFormat="1" applyFont="1" applyAlignment="1" applyProtection="1">
      <alignment vertical="center" wrapText="1"/>
      <protection locked="0"/>
    </xf>
    <xf numFmtId="167" fontId="17" fillId="0" borderId="0" xfId="169" applyNumberFormat="1" applyFont="1" applyAlignment="1">
      <alignment vertical="center" wrapText="1"/>
    </xf>
    <xf numFmtId="167" fontId="17" fillId="0" borderId="0" xfId="169" applyNumberFormat="1" applyFont="1" applyAlignment="1" applyProtection="1">
      <alignment vertical="center" wrapText="1"/>
      <protection locked="0"/>
    </xf>
    <xf numFmtId="0" fontId="15" fillId="0" borderId="0" xfId="46" applyAlignment="1">
      <alignment vertical="center" wrapText="1"/>
    </xf>
    <xf numFmtId="0" fontId="67" fillId="0" borderId="24" xfId="46" applyFont="1" applyFill="1" applyBorder="1" applyAlignment="1">
      <alignment horizontal="center" vertical="center" wrapText="1"/>
    </xf>
    <xf numFmtId="166" fontId="66" fillId="0" borderId="10" xfId="137" applyNumberFormat="1" applyFont="1" applyBorder="1" applyAlignment="1" applyProtection="1">
      <alignment vertical="center" wrapText="1"/>
      <protection locked="0"/>
    </xf>
    <xf numFmtId="166" fontId="66" fillId="0" borderId="10" xfId="137" applyNumberFormat="1" applyFont="1" applyBorder="1" applyAlignment="1">
      <alignment vertical="center" wrapText="1"/>
    </xf>
    <xf numFmtId="166" fontId="66" fillId="0" borderId="25" xfId="137" applyNumberFormat="1" applyFont="1" applyBorder="1" applyAlignment="1" applyProtection="1">
      <alignment vertical="center" wrapText="1"/>
      <protection locked="0"/>
    </xf>
    <xf numFmtId="0" fontId="0" fillId="0" borderId="0" xfId="0" applyAlignment="1">
      <alignment vertical="center" wrapText="1"/>
    </xf>
    <xf numFmtId="0" fontId="86" fillId="0" borderId="21" xfId="51" applyFont="1" applyBorder="1" applyAlignment="1">
      <alignment horizontal="center" vertical="center" wrapText="1"/>
    </xf>
    <xf numFmtId="166" fontId="66" fillId="0" borderId="19" xfId="137" applyNumberFormat="1" applyFont="1" applyBorder="1" applyAlignment="1" applyProtection="1">
      <alignment vertical="center" wrapText="1"/>
      <protection locked="0"/>
    </xf>
    <xf numFmtId="166" fontId="85" fillId="0" borderId="19" xfId="137" applyNumberFormat="1" applyFont="1" applyBorder="1" applyAlignment="1" applyProtection="1">
      <alignment vertical="center" wrapText="1"/>
      <protection locked="0"/>
    </xf>
    <xf numFmtId="166" fontId="66" fillId="0" borderId="19" xfId="137" applyNumberFormat="1" applyFont="1" applyBorder="1" applyAlignment="1">
      <alignment vertical="center" wrapText="1"/>
    </xf>
    <xf numFmtId="166" fontId="85" fillId="0" borderId="64" xfId="137" applyNumberFormat="1" applyFont="1" applyBorder="1" applyAlignment="1" applyProtection="1">
      <alignment vertical="center" wrapText="1"/>
      <protection locked="0"/>
    </xf>
    <xf numFmtId="166" fontId="85" fillId="0" borderId="10" xfId="137" applyNumberFormat="1" applyFont="1" applyBorder="1" applyAlignment="1" applyProtection="1">
      <alignment vertical="center" wrapText="1"/>
      <protection locked="0"/>
    </xf>
    <xf numFmtId="166" fontId="85" fillId="0" borderId="25" xfId="137" applyNumberFormat="1" applyFont="1" applyBorder="1" applyAlignment="1" applyProtection="1">
      <alignment vertical="center" wrapText="1"/>
      <protection locked="0"/>
    </xf>
    <xf numFmtId="166" fontId="85" fillId="0" borderId="10" xfId="137" applyNumberFormat="1" applyFont="1" applyBorder="1" applyAlignment="1">
      <alignment vertical="center" wrapText="1"/>
    </xf>
    <xf numFmtId="201" fontId="85" fillId="72" borderId="10" xfId="137" applyNumberFormat="1" applyFont="1" applyFill="1" applyBorder="1" applyAlignment="1">
      <alignment vertical="center" wrapText="1"/>
    </xf>
    <xf numFmtId="201" fontId="85" fillId="0" borderId="18" xfId="137" applyNumberFormat="1" applyFont="1" applyFill="1" applyBorder="1" applyAlignment="1">
      <alignment vertical="center" wrapText="1"/>
    </xf>
    <xf numFmtId="201" fontId="85" fillId="0" borderId="107" xfId="137" applyNumberFormat="1" applyFont="1" applyFill="1" applyBorder="1" applyAlignment="1">
      <alignment vertical="center" wrapText="1"/>
    </xf>
    <xf numFmtId="201" fontId="85" fillId="0" borderId="83" xfId="137" applyNumberFormat="1" applyFont="1" applyFill="1" applyBorder="1" applyAlignment="1">
      <alignment vertical="center" wrapText="1"/>
    </xf>
    <xf numFmtId="9" fontId="85" fillId="72" borderId="10" xfId="170" applyFont="1" applyFill="1" applyBorder="1" applyAlignment="1">
      <alignment vertical="center" wrapText="1"/>
    </xf>
    <xf numFmtId="165" fontId="85" fillId="83" borderId="25" xfId="170" applyNumberFormat="1" applyFont="1" applyFill="1" applyBorder="1" applyAlignment="1">
      <alignment vertical="center" wrapText="1"/>
    </xf>
    <xf numFmtId="166" fontId="0" fillId="0" borderId="0" xfId="0" applyNumberFormat="1" applyProtection="1">
      <protection locked="0"/>
    </xf>
    <xf numFmtId="167" fontId="0" fillId="0" borderId="0" xfId="28" applyNumberFormat="1" applyFont="1" applyProtection="1">
      <protection locked="0"/>
    </xf>
    <xf numFmtId="0" fontId="0" fillId="68" borderId="10" xfId="0" applyFill="1" applyBorder="1"/>
    <xf numFmtId="44" fontId="0" fillId="68" borderId="25" xfId="29" applyFont="1" applyFill="1" applyBorder="1"/>
    <xf numFmtId="0" fontId="0" fillId="68" borderId="17" xfId="0" applyFill="1" applyBorder="1"/>
    <xf numFmtId="44" fontId="0" fillId="68" borderId="107" xfId="29" applyFont="1" applyFill="1" applyBorder="1"/>
    <xf numFmtId="2" fontId="15" fillId="0" borderId="75" xfId="46" applyNumberFormat="1" applyBorder="1" applyProtection="1">
      <protection locked="0"/>
    </xf>
    <xf numFmtId="14" fontId="17" fillId="29" borderId="0" xfId="46" quotePrefix="1" applyNumberFormat="1" applyFont="1" applyFill="1" applyAlignment="1" applyProtection="1">
      <alignment horizontal="right" vertical="top"/>
      <protection locked="0"/>
    </xf>
    <xf numFmtId="0" fontId="17" fillId="29" borderId="0" xfId="46" quotePrefix="1" applyFont="1" applyFill="1" applyAlignment="1" applyProtection="1">
      <alignment horizontal="right" vertical="top"/>
      <protection locked="0"/>
    </xf>
    <xf numFmtId="167" fontId="15" fillId="0" borderId="40" xfId="28" applyNumberFormat="1" applyBorder="1" applyProtection="1">
      <protection locked="0"/>
    </xf>
    <xf numFmtId="44" fontId="15" fillId="29" borderId="40" xfId="29" applyNumberFormat="1" applyFill="1" applyBorder="1" applyProtection="1">
      <protection locked="0"/>
    </xf>
    <xf numFmtId="0" fontId="18" fillId="0" borderId="24" xfId="0" applyFont="1" applyFill="1" applyBorder="1" applyAlignment="1" applyProtection="1">
      <alignment horizontal="center" wrapText="1"/>
      <protection locked="0"/>
    </xf>
    <xf numFmtId="0" fontId="18" fillId="0" borderId="17" xfId="0" applyFont="1" applyFill="1" applyBorder="1" applyAlignment="1" applyProtection="1">
      <alignment horizontal="center" vertical="center" wrapText="1"/>
      <protection locked="0"/>
    </xf>
    <xf numFmtId="0" fontId="18" fillId="0" borderId="19" xfId="0" applyFont="1" applyFill="1" applyBorder="1" applyAlignment="1" applyProtection="1">
      <alignment horizontal="center" vertical="center"/>
      <protection locked="0"/>
    </xf>
    <xf numFmtId="10" fontId="85" fillId="0" borderId="10" xfId="51" applyNumberFormat="1" applyFont="1" applyFill="1" applyBorder="1" applyAlignment="1">
      <alignment vertical="center" wrapText="1"/>
    </xf>
    <xf numFmtId="0" fontId="0" fillId="0" borderId="10" xfId="0" applyFill="1" applyBorder="1"/>
    <xf numFmtId="190" fontId="15" fillId="0" borderId="107" xfId="46" applyNumberFormat="1" applyBorder="1" applyProtection="1">
      <protection locked="0"/>
    </xf>
    <xf numFmtId="0" fontId="19" fillId="0" borderId="0" xfId="46" applyFont="1" applyAlignment="1" applyProtection="1">
      <alignment horizontal="left"/>
      <protection locked="0"/>
    </xf>
    <xf numFmtId="0" fontId="0" fillId="28" borderId="96" xfId="0" applyNumberFormat="1" applyFill="1" applyBorder="1" applyAlignment="1" applyProtection="1">
      <alignment horizontal="center" vertical="center"/>
      <protection locked="0"/>
    </xf>
    <xf numFmtId="0" fontId="0" fillId="28" borderId="97" xfId="0" applyNumberFormat="1" applyFill="1" applyBorder="1" applyAlignment="1" applyProtection="1">
      <alignment horizontal="center" vertical="center"/>
      <protection locked="0"/>
    </xf>
    <xf numFmtId="0" fontId="0" fillId="28" borderId="98" xfId="0" applyNumberFormat="1" applyFill="1" applyBorder="1" applyAlignment="1" applyProtection="1">
      <alignment horizontal="center" vertical="center"/>
      <protection locked="0"/>
    </xf>
    <xf numFmtId="0" fontId="61" fillId="0" borderId="0" xfId="0" applyFont="1" applyAlignment="1" applyProtection="1">
      <alignment horizontal="right" vertical="center" wrapText="1"/>
    </xf>
    <xf numFmtId="0" fontId="61" fillId="0" borderId="166" xfId="0" applyFont="1" applyBorder="1" applyAlignment="1" applyProtection="1">
      <alignment horizontal="right" vertical="center" wrapText="1"/>
    </xf>
    <xf numFmtId="0" fontId="0" fillId="0" borderId="0" xfId="0" applyAlignment="1">
      <alignment horizontal="left"/>
    </xf>
    <xf numFmtId="0" fontId="15" fillId="0" borderId="0" xfId="0" applyFont="1" applyAlignment="1">
      <alignment horizontal="left" wrapText="1"/>
    </xf>
    <xf numFmtId="0" fontId="0" fillId="0" borderId="0" xfId="0" applyAlignment="1">
      <alignment horizontal="left" wrapText="1"/>
    </xf>
    <xf numFmtId="0" fontId="38" fillId="0" borderId="48" xfId="0" applyFont="1" applyBorder="1" applyAlignment="1">
      <alignment horizontal="left" vertical="top" wrapText="1"/>
    </xf>
    <xf numFmtId="0" fontId="38" fillId="0" borderId="0" xfId="0" applyFont="1" applyBorder="1" applyAlignment="1">
      <alignment horizontal="left" vertical="top" wrapText="1"/>
    </xf>
    <xf numFmtId="0" fontId="61" fillId="0" borderId="0" xfId="0" applyFont="1" applyAlignment="1" applyProtection="1">
      <alignment horizontal="right" vertical="center" wrapText="1" indent="1"/>
    </xf>
    <xf numFmtId="0" fontId="61" fillId="0" borderId="0" xfId="0" applyFont="1" applyAlignment="1" applyProtection="1">
      <alignment horizontal="right" wrapText="1" indent="1"/>
    </xf>
    <xf numFmtId="0" fontId="15" fillId="29" borderId="99" xfId="0" applyFont="1" applyFill="1" applyBorder="1" applyAlignment="1" applyProtection="1">
      <alignment vertical="center"/>
      <protection locked="0"/>
    </xf>
    <xf numFmtId="0" fontId="0" fillId="29" borderId="100" xfId="0" applyFill="1" applyBorder="1" applyAlignment="1" applyProtection="1">
      <alignment vertical="center"/>
      <protection locked="0"/>
    </xf>
    <xf numFmtId="0" fontId="0" fillId="29" borderId="101" xfId="0" applyFill="1" applyBorder="1" applyAlignment="1" applyProtection="1">
      <alignment vertical="center"/>
      <protection locked="0"/>
    </xf>
    <xf numFmtId="0" fontId="0" fillId="28" borderId="96" xfId="0" applyFill="1" applyBorder="1" applyAlignment="1" applyProtection="1">
      <alignment horizontal="left" vertical="center" wrapText="1"/>
      <protection locked="0"/>
    </xf>
    <xf numFmtId="0" fontId="0" fillId="28" borderId="97" xfId="0" applyFill="1" applyBorder="1" applyAlignment="1" applyProtection="1">
      <alignment horizontal="left" vertical="center" wrapText="1"/>
      <protection locked="0"/>
    </xf>
    <xf numFmtId="0" fontId="0" fillId="28" borderId="98" xfId="0" applyFill="1" applyBorder="1" applyAlignment="1" applyProtection="1">
      <alignment horizontal="left" vertical="center" wrapText="1"/>
      <protection locked="0"/>
    </xf>
    <xf numFmtId="0" fontId="15" fillId="29" borderId="96" xfId="0" applyFont="1" applyFill="1" applyBorder="1" applyAlignment="1" applyProtection="1">
      <alignment vertical="center"/>
      <protection locked="0"/>
    </xf>
    <xf numFmtId="0" fontId="0" fillId="29" borderId="97" xfId="0" applyFill="1" applyBorder="1" applyAlignment="1" applyProtection="1">
      <alignment vertical="center"/>
      <protection locked="0"/>
    </xf>
    <xf numFmtId="0" fontId="0" fillId="29" borderId="98" xfId="0" applyFill="1" applyBorder="1" applyAlignment="1" applyProtection="1">
      <alignment vertical="center"/>
      <protection locked="0"/>
    </xf>
    <xf numFmtId="0" fontId="0" fillId="67" borderId="96" xfId="0" applyNumberFormat="1" applyFill="1" applyBorder="1" applyAlignment="1" applyProtection="1">
      <alignment horizontal="center" vertical="center"/>
      <protection locked="0"/>
    </xf>
    <xf numFmtId="0" fontId="0" fillId="67" borderId="97" xfId="0" applyNumberFormat="1" applyFill="1" applyBorder="1" applyAlignment="1" applyProtection="1">
      <alignment horizontal="center" vertical="center"/>
      <protection locked="0"/>
    </xf>
    <xf numFmtId="0" fontId="0" fillId="67" borderId="98" xfId="0" applyNumberFormat="1" applyFill="1" applyBorder="1" applyAlignment="1" applyProtection="1">
      <alignment horizontal="center" vertical="center"/>
      <protection locked="0"/>
    </xf>
    <xf numFmtId="0" fontId="0" fillId="0" borderId="0" xfId="0" applyAlignment="1" applyProtection="1">
      <alignment horizontal="left" wrapText="1"/>
      <protection locked="0"/>
    </xf>
    <xf numFmtId="0" fontId="22" fillId="0" borderId="0" xfId="0" applyFont="1" applyAlignment="1" applyProtection="1">
      <alignment horizontal="center"/>
      <protection locked="0"/>
    </xf>
    <xf numFmtId="0" fontId="22" fillId="0" borderId="0" xfId="0" applyFont="1" applyAlignment="1" applyProtection="1">
      <alignment horizontal="center" vertical="center"/>
      <protection locked="0"/>
    </xf>
    <xf numFmtId="0" fontId="108" fillId="0" borderId="0" xfId="0" applyFont="1" applyAlignment="1" applyProtection="1">
      <alignment vertical="center" wrapText="1"/>
      <protection locked="0"/>
    </xf>
    <xf numFmtId="0" fontId="0" fillId="0" borderId="0" xfId="0" applyAlignment="1" applyProtection="1">
      <alignment wrapText="1"/>
      <protection locked="0"/>
    </xf>
    <xf numFmtId="0" fontId="18" fillId="0" borderId="0" xfId="0" applyFont="1" applyAlignment="1">
      <alignment horizontal="left" wrapText="1"/>
    </xf>
    <xf numFmtId="0" fontId="15" fillId="0" borderId="0" xfId="0" applyFont="1" applyAlignment="1">
      <alignment horizontal="left" vertical="top" wrapText="1"/>
    </xf>
    <xf numFmtId="0" fontId="22" fillId="0" borderId="0" xfId="0" applyFont="1" applyAlignment="1">
      <alignment horizontal="center" vertical="top"/>
    </xf>
    <xf numFmtId="0" fontId="119" fillId="29" borderId="107" xfId="0" applyFont="1" applyFill="1" applyBorder="1" applyAlignment="1" applyProtection="1">
      <alignment horizontal="left" vertical="top"/>
      <protection locked="0"/>
    </xf>
    <xf numFmtId="0" fontId="119" fillId="29" borderId="83" xfId="0" applyFont="1" applyFill="1" applyBorder="1" applyAlignment="1" applyProtection="1">
      <alignment horizontal="left" vertical="top"/>
      <protection locked="0"/>
    </xf>
    <xf numFmtId="0" fontId="119" fillId="29" borderId="18" xfId="0" applyFont="1" applyFill="1" applyBorder="1" applyAlignment="1" applyProtection="1">
      <alignment horizontal="left" vertical="top"/>
      <protection locked="0"/>
    </xf>
    <xf numFmtId="0" fontId="119" fillId="29" borderId="77" xfId="0" applyFont="1" applyFill="1" applyBorder="1" applyAlignment="1" applyProtection="1">
      <alignment horizontal="left" vertical="top"/>
      <protection locked="0"/>
    </xf>
    <xf numFmtId="0" fontId="119" fillId="29" borderId="12" xfId="0" applyFont="1" applyFill="1" applyBorder="1" applyAlignment="1" applyProtection="1">
      <alignment horizontal="left" vertical="top"/>
      <protection locked="0"/>
    </xf>
    <xf numFmtId="0" fontId="119" fillId="29" borderId="16" xfId="0" applyFont="1" applyFill="1" applyBorder="1" applyAlignment="1" applyProtection="1">
      <alignment horizontal="left" vertical="top"/>
      <protection locked="0"/>
    </xf>
    <xf numFmtId="0" fontId="82" fillId="0" borderId="75" xfId="0" applyFont="1" applyBorder="1" applyProtection="1">
      <protection locked="0"/>
    </xf>
    <xf numFmtId="0" fontId="82" fillId="0" borderId="13" xfId="0" applyFont="1" applyBorder="1" applyProtection="1">
      <protection locked="0"/>
    </xf>
    <xf numFmtId="0" fontId="82" fillId="0" borderId="33" xfId="0" applyFont="1" applyBorder="1" applyProtection="1">
      <protection locked="0"/>
    </xf>
    <xf numFmtId="0" fontId="118" fillId="0" borderId="75" xfId="0" applyFont="1" applyBorder="1" applyProtection="1">
      <protection locked="0"/>
    </xf>
    <xf numFmtId="0" fontId="118" fillId="0" borderId="13" xfId="0" applyFont="1" applyBorder="1" applyProtection="1">
      <protection locked="0"/>
    </xf>
    <xf numFmtId="0" fontId="118" fillId="0" borderId="33" xfId="0" applyFont="1" applyBorder="1" applyProtection="1">
      <protection locked="0"/>
    </xf>
    <xf numFmtId="0" fontId="45" fillId="0" borderId="88" xfId="0" applyFont="1" applyFill="1" applyBorder="1" applyAlignment="1" applyProtection="1">
      <alignment horizontal="center" vertical="center" wrapText="1"/>
      <protection locked="0"/>
    </xf>
    <xf numFmtId="0" fontId="45" fillId="0" borderId="65" xfId="0" applyFont="1" applyFill="1" applyBorder="1" applyAlignment="1" applyProtection="1">
      <alignment horizontal="center" vertical="center" wrapText="1"/>
      <protection locked="0"/>
    </xf>
    <xf numFmtId="0" fontId="45" fillId="0" borderId="146" xfId="0" applyFont="1" applyFill="1" applyBorder="1" applyAlignment="1" applyProtection="1">
      <alignment horizontal="center" vertical="center" wrapText="1"/>
      <protection locked="0"/>
    </xf>
    <xf numFmtId="0" fontId="22" fillId="0" borderId="139" xfId="0" applyFont="1" applyFill="1" applyBorder="1" applyAlignment="1" applyProtection="1">
      <alignment horizontal="center" vertical="center" wrapText="1"/>
      <protection locked="0"/>
    </xf>
    <xf numFmtId="0" fontId="22" fillId="0" borderId="144" xfId="0" applyFont="1" applyFill="1" applyBorder="1" applyAlignment="1" applyProtection="1">
      <alignment horizontal="center" vertical="center" wrapText="1"/>
      <protection locked="0"/>
    </xf>
    <xf numFmtId="0" fontId="15" fillId="0" borderId="145" xfId="0" applyFont="1" applyFill="1" applyBorder="1" applyAlignment="1" applyProtection="1">
      <alignment vertical="center" wrapText="1"/>
      <protection locked="0"/>
    </xf>
    <xf numFmtId="0" fontId="18" fillId="0" borderId="140" xfId="0" applyFont="1" applyFill="1" applyBorder="1" applyAlignment="1" applyProtection="1">
      <alignment horizontal="center" vertical="center" wrapText="1"/>
      <protection locked="0"/>
    </xf>
    <xf numFmtId="0" fontId="18" fillId="0" borderId="141" xfId="0" applyFont="1" applyFill="1" applyBorder="1" applyAlignment="1" applyProtection="1">
      <alignment horizontal="center" vertical="center" wrapText="1"/>
      <protection locked="0"/>
    </xf>
    <xf numFmtId="0" fontId="18" fillId="0" borderId="142" xfId="0" applyFont="1" applyFill="1" applyBorder="1" applyAlignment="1" applyProtection="1">
      <alignment horizontal="center" vertical="center" wrapText="1"/>
      <protection locked="0"/>
    </xf>
    <xf numFmtId="0" fontId="45" fillId="0" borderId="44" xfId="0" applyFont="1" applyFill="1" applyBorder="1" applyAlignment="1" applyProtection="1">
      <alignment horizontal="center" vertical="center" wrapText="1"/>
      <protection locked="0"/>
    </xf>
    <xf numFmtId="0" fontId="15" fillId="0" borderId="44" xfId="0" applyFont="1" applyFill="1" applyBorder="1" applyAlignment="1" applyProtection="1">
      <alignment horizontal="center" vertical="center" wrapText="1"/>
      <protection locked="0"/>
    </xf>
    <xf numFmtId="0" fontId="18" fillId="0" borderId="143" xfId="0" applyFont="1" applyFill="1" applyBorder="1" applyAlignment="1" applyProtection="1">
      <alignment horizontal="center" vertical="center" wrapText="1"/>
      <protection locked="0"/>
    </xf>
    <xf numFmtId="0" fontId="18" fillId="0" borderId="88" xfId="0" applyFont="1" applyFill="1" applyBorder="1" applyAlignment="1" applyProtection="1">
      <alignment horizontal="center" vertical="center" wrapText="1"/>
      <protection locked="0"/>
    </xf>
    <xf numFmtId="0" fontId="18" fillId="0" borderId="65" xfId="0" applyFont="1" applyFill="1" applyBorder="1" applyAlignment="1" applyProtection="1">
      <alignment horizontal="center" vertical="center" wrapText="1"/>
      <protection locked="0"/>
    </xf>
    <xf numFmtId="0" fontId="18" fillId="0" borderId="22" xfId="0" applyFont="1" applyFill="1" applyBorder="1" applyAlignment="1" applyProtection="1">
      <alignment horizontal="center" vertical="center" wrapText="1"/>
      <protection locked="0"/>
    </xf>
    <xf numFmtId="0" fontId="67" fillId="0" borderId="43" xfId="0" applyFont="1" applyFill="1" applyBorder="1" applyAlignment="1" applyProtection="1">
      <alignment horizontal="center" vertical="center" wrapText="1"/>
      <protection locked="0"/>
    </xf>
    <xf numFmtId="0" fontId="67" fillId="0" borderId="41" xfId="0" applyFont="1" applyFill="1" applyBorder="1" applyAlignment="1" applyProtection="1">
      <alignment horizontal="center" vertical="center" wrapText="1"/>
      <protection locked="0"/>
    </xf>
    <xf numFmtId="0" fontId="22" fillId="0" borderId="0" xfId="0" applyFont="1" applyAlignment="1" applyProtection="1">
      <alignment horizontal="center" vertical="top"/>
      <protection locked="0"/>
    </xf>
    <xf numFmtId="0" fontId="22" fillId="0" borderId="0" xfId="0" applyFont="1" applyAlignment="1" applyProtection="1">
      <alignment horizontal="center" vertical="center" wrapText="1"/>
      <protection locked="0"/>
    </xf>
    <xf numFmtId="0" fontId="15" fillId="0" borderId="0" xfId="46" applyFont="1" applyFill="1" applyAlignment="1" applyProtection="1">
      <alignment horizontal="left" wrapText="1"/>
      <protection locked="0"/>
    </xf>
    <xf numFmtId="0" fontId="22" fillId="0" borderId="0" xfId="46" applyFont="1" applyAlignment="1" applyProtection="1">
      <alignment horizontal="center"/>
      <protection locked="0"/>
    </xf>
    <xf numFmtId="0" fontId="15" fillId="0" borderId="0" xfId="46" applyFont="1" applyFill="1" applyAlignment="1" applyProtection="1">
      <alignment horizontal="left" vertical="center" wrapText="1"/>
      <protection locked="0"/>
    </xf>
    <xf numFmtId="0" fontId="15" fillId="0" borderId="0" xfId="46" applyAlignment="1" applyProtection="1">
      <alignment horizontal="left" wrapText="1"/>
      <protection locked="0"/>
    </xf>
    <xf numFmtId="0" fontId="18" fillId="71" borderId="90" xfId="46" applyFont="1" applyFill="1" applyBorder="1" applyAlignment="1" applyProtection="1">
      <alignment horizontal="center" wrapText="1"/>
      <protection locked="0"/>
    </xf>
    <xf numFmtId="0" fontId="18" fillId="71" borderId="59" xfId="46" applyFont="1" applyFill="1" applyBorder="1" applyAlignment="1" applyProtection="1">
      <alignment horizontal="center" wrapText="1"/>
      <protection locked="0"/>
    </xf>
    <xf numFmtId="0" fontId="15" fillId="0" borderId="0" xfId="46" applyFont="1" applyAlignment="1" applyProtection="1">
      <alignment horizontal="left" vertical="center" wrapText="1"/>
      <protection locked="0"/>
    </xf>
    <xf numFmtId="0" fontId="104" fillId="0" borderId="0" xfId="46" applyFont="1" applyAlignment="1" applyProtection="1">
      <alignment horizontal="left" vertical="center" wrapText="1"/>
      <protection locked="0"/>
    </xf>
    <xf numFmtId="0" fontId="21" fillId="0" borderId="0" xfId="46" applyFont="1" applyAlignment="1" applyProtection="1">
      <alignment horizontal="left"/>
      <protection locked="0"/>
    </xf>
    <xf numFmtId="0" fontId="15" fillId="0" borderId="0" xfId="46" applyFont="1" applyAlignment="1" applyProtection="1">
      <alignment horizontal="left" wrapText="1"/>
      <protection locked="0"/>
    </xf>
    <xf numFmtId="0" fontId="15" fillId="0" borderId="0" xfId="46" applyFont="1" applyFill="1" applyAlignment="1" applyProtection="1">
      <alignment horizontal="left" vertical="top" wrapText="1"/>
      <protection locked="0"/>
    </xf>
    <xf numFmtId="0" fontId="21" fillId="0" borderId="0" xfId="46" applyFont="1" applyFill="1" applyAlignment="1" applyProtection="1">
      <alignment horizontal="left"/>
      <protection locked="0"/>
    </xf>
    <xf numFmtId="0" fontId="18" fillId="71" borderId="70" xfId="46" applyFont="1" applyFill="1" applyBorder="1" applyAlignment="1" applyProtection="1">
      <alignment horizontal="center" vertical="center" wrapText="1"/>
      <protection locked="0"/>
    </xf>
    <xf numFmtId="0" fontId="18" fillId="71" borderId="48" xfId="46" applyFont="1" applyFill="1" applyBorder="1" applyAlignment="1" applyProtection="1">
      <alignment horizontal="center" vertical="center" wrapText="1"/>
      <protection locked="0"/>
    </xf>
    <xf numFmtId="0" fontId="18" fillId="71" borderId="46" xfId="46" applyFont="1" applyFill="1" applyBorder="1" applyAlignment="1" applyProtection="1">
      <alignment horizontal="center" vertical="center" wrapText="1"/>
      <protection locked="0"/>
    </xf>
    <xf numFmtId="0" fontId="15" fillId="0" borderId="0" xfId="46" applyFont="1" applyAlignment="1" applyProtection="1">
      <alignment horizontal="left" vertical="center" wrapText="1" indent="2"/>
      <protection locked="0"/>
    </xf>
    <xf numFmtId="0" fontId="18" fillId="0" borderId="75" xfId="46" applyFont="1" applyFill="1" applyBorder="1" applyAlignment="1" applyProtection="1">
      <alignment horizontal="left"/>
      <protection locked="0"/>
    </xf>
    <xf numFmtId="0" fontId="18" fillId="0" borderId="13" xfId="46" applyFont="1" applyFill="1" applyBorder="1" applyAlignment="1" applyProtection="1">
      <alignment horizontal="left"/>
      <protection locked="0"/>
    </xf>
    <xf numFmtId="0" fontId="18" fillId="0" borderId="33" xfId="46" applyFont="1" applyFill="1" applyBorder="1" applyAlignment="1" applyProtection="1">
      <alignment horizontal="left"/>
      <protection locked="0"/>
    </xf>
    <xf numFmtId="0" fontId="22" fillId="0" borderId="0" xfId="46" applyFont="1" applyAlignment="1" applyProtection="1">
      <alignment horizontal="center" vertical="top"/>
      <protection locked="0"/>
    </xf>
    <xf numFmtId="0" fontId="18" fillId="25" borderId="75" xfId="46" applyFont="1" applyFill="1" applyBorder="1" applyAlignment="1" applyProtection="1">
      <alignment horizontal="center"/>
      <protection locked="0"/>
    </xf>
    <xf numFmtId="0" fontId="18" fillId="25" borderId="13" xfId="46" applyFont="1" applyFill="1" applyBorder="1" applyAlignment="1" applyProtection="1">
      <alignment horizontal="center"/>
      <protection locked="0"/>
    </xf>
    <xf numFmtId="0" fontId="18" fillId="25" borderId="33" xfId="46" applyFont="1" applyFill="1" applyBorder="1" applyAlignment="1" applyProtection="1">
      <alignment horizontal="center"/>
      <protection locked="0"/>
    </xf>
    <xf numFmtId="0" fontId="15" fillId="0" borderId="0" xfId="46" applyFont="1" applyAlignment="1" applyProtection="1">
      <alignment horizontal="left" vertical="top" wrapText="1"/>
      <protection locked="0"/>
    </xf>
    <xf numFmtId="0" fontId="15" fillId="0" borderId="0" xfId="46" applyAlignment="1" applyProtection="1">
      <alignment horizontal="left" vertical="top" wrapText="1"/>
      <protection locked="0"/>
    </xf>
    <xf numFmtId="1" fontId="15" fillId="0" borderId="10" xfId="46" applyNumberFormat="1" applyBorder="1" applyAlignment="1">
      <alignment horizontal="center" vertical="center"/>
    </xf>
    <xf numFmtId="0" fontId="15" fillId="0" borderId="75" xfId="46" applyFont="1" applyBorder="1" applyAlignment="1">
      <alignment horizontal="left" vertical="center"/>
    </xf>
    <xf numFmtId="0" fontId="15" fillId="0" borderId="13" xfId="46" applyFont="1" applyBorder="1" applyAlignment="1">
      <alignment horizontal="left" vertical="center"/>
    </xf>
    <xf numFmtId="0" fontId="15" fillId="0" borderId="33" xfId="46" applyFont="1" applyBorder="1" applyAlignment="1">
      <alignment horizontal="left" vertical="center"/>
    </xf>
    <xf numFmtId="0" fontId="88" fillId="0" borderId="0" xfId="46" applyFont="1" applyBorder="1" applyAlignment="1">
      <alignment horizontal="center" vertical="center"/>
    </xf>
    <xf numFmtId="0" fontId="15" fillId="0" borderId="17" xfId="46" applyBorder="1" applyAlignment="1">
      <alignment horizontal="center" vertical="center"/>
    </xf>
    <xf numFmtId="0" fontId="15" fillId="0" borderId="19" xfId="46" applyBorder="1" applyAlignment="1">
      <alignment horizontal="center" vertical="center"/>
    </xf>
    <xf numFmtId="0" fontId="15" fillId="0" borderId="17" xfId="46" applyFont="1" applyBorder="1" applyAlignment="1">
      <alignment horizontal="left" vertical="center"/>
    </xf>
    <xf numFmtId="0" fontId="15" fillId="0" borderId="19" xfId="46" applyFont="1" applyBorder="1" applyAlignment="1">
      <alignment horizontal="left" vertical="center"/>
    </xf>
    <xf numFmtId="0" fontId="15" fillId="0" borderId="11" xfId="46" applyBorder="1" applyAlignment="1">
      <alignment horizontal="center" vertical="center"/>
    </xf>
    <xf numFmtId="0" fontId="15" fillId="0" borderId="11" xfId="46" applyFont="1" applyBorder="1" applyAlignment="1">
      <alignment horizontal="left" vertical="center"/>
    </xf>
    <xf numFmtId="2" fontId="15" fillId="0" borderId="10" xfId="46" quotePrefix="1" applyNumberFormat="1" applyFont="1" applyBorder="1" applyAlignment="1">
      <alignment horizontal="center" vertical="center"/>
    </xf>
    <xf numFmtId="0" fontId="98" fillId="66" borderId="123" xfId="46" applyFont="1" applyFill="1" applyBorder="1" applyAlignment="1">
      <alignment horizontal="center" vertical="center" wrapText="1"/>
    </xf>
    <xf numFmtId="0" fontId="98" fillId="66" borderId="122" xfId="46" applyFont="1" applyFill="1" applyBorder="1" applyAlignment="1">
      <alignment horizontal="center" vertical="center" wrapText="1"/>
    </xf>
    <xf numFmtId="0" fontId="98" fillId="66" borderId="10" xfId="46" applyFont="1" applyFill="1" applyBorder="1" applyAlignment="1">
      <alignment horizontal="center" vertical="center" wrapText="1"/>
    </xf>
    <xf numFmtId="0" fontId="18" fillId="66" borderId="10" xfId="46" applyFont="1" applyFill="1" applyBorder="1" applyAlignment="1">
      <alignment horizontal="center" vertical="center"/>
    </xf>
    <xf numFmtId="0" fontId="18" fillId="66" borderId="10" xfId="46" applyFont="1" applyFill="1" applyBorder="1" applyAlignment="1">
      <alignment horizontal="center" vertical="center" wrapText="1"/>
    </xf>
    <xf numFmtId="0" fontId="18" fillId="66" borderId="17" xfId="46" applyFont="1" applyFill="1" applyBorder="1" applyAlignment="1">
      <alignment horizontal="center" vertical="center" wrapText="1"/>
    </xf>
    <xf numFmtId="0" fontId="22" fillId="0" borderId="0" xfId="46" applyFont="1" applyBorder="1" applyAlignment="1">
      <alignment horizontal="center" vertical="center" wrapText="1"/>
    </xf>
    <xf numFmtId="0" fontId="18" fillId="66" borderId="107" xfId="46" applyFont="1" applyFill="1" applyBorder="1" applyAlignment="1">
      <alignment horizontal="center" vertical="center"/>
    </xf>
    <xf numFmtId="0" fontId="18" fillId="66" borderId="83" xfId="46" applyFont="1" applyFill="1" applyBorder="1" applyAlignment="1">
      <alignment horizontal="center" vertical="center"/>
    </xf>
    <xf numFmtId="0" fontId="18" fillId="66" borderId="18" xfId="46" applyFont="1" applyFill="1" applyBorder="1" applyAlignment="1">
      <alignment horizontal="center" vertical="center"/>
    </xf>
    <xf numFmtId="0" fontId="18" fillId="66" borderId="77" xfId="46" applyFont="1" applyFill="1" applyBorder="1" applyAlignment="1">
      <alignment horizontal="center" vertical="center"/>
    </xf>
    <xf numFmtId="0" fontId="18" fillId="66" borderId="12" xfId="46" applyFont="1" applyFill="1" applyBorder="1" applyAlignment="1">
      <alignment horizontal="center" vertical="center"/>
    </xf>
    <xf numFmtId="0" fontId="18" fillId="66" borderId="16" xfId="46" applyFont="1" applyFill="1" applyBorder="1" applyAlignment="1">
      <alignment horizontal="center" vertical="center"/>
    </xf>
    <xf numFmtId="0" fontId="15" fillId="0" borderId="21" xfId="46" applyFont="1" applyBorder="1" applyAlignment="1">
      <alignment horizontal="left" vertical="center"/>
    </xf>
    <xf numFmtId="0" fontId="15" fillId="0" borderId="21" xfId="46" applyBorder="1" applyAlignment="1">
      <alignment horizontal="left" vertical="center"/>
    </xf>
    <xf numFmtId="0" fontId="15" fillId="0" borderId="75" xfId="46" applyFont="1" applyBorder="1" applyAlignment="1">
      <alignment horizontal="left"/>
    </xf>
    <xf numFmtId="0" fontId="15" fillId="0" borderId="33" xfId="46" applyFont="1" applyBorder="1" applyAlignment="1">
      <alignment horizontal="left"/>
    </xf>
    <xf numFmtId="0" fontId="15" fillId="0" borderId="80" xfId="46" applyFont="1" applyBorder="1" applyAlignment="1">
      <alignment horizontal="left" vertical="center"/>
    </xf>
    <xf numFmtId="0" fontId="15" fillId="0" borderId="105" xfId="46" applyBorder="1" applyAlignment="1">
      <alignment horizontal="left" vertical="center"/>
    </xf>
    <xf numFmtId="0" fontId="15" fillId="0" borderId="81" xfId="46" applyBorder="1" applyAlignment="1">
      <alignment horizontal="left" vertical="center"/>
    </xf>
    <xf numFmtId="0" fontId="18" fillId="0" borderId="32" xfId="46" applyFont="1" applyBorder="1" applyAlignment="1">
      <alignment horizontal="center" vertical="center"/>
    </xf>
    <xf numFmtId="0" fontId="15" fillId="0" borderId="27" xfId="46" applyBorder="1" applyAlignment="1">
      <alignment horizontal="center" vertical="center"/>
    </xf>
    <xf numFmtId="0" fontId="15" fillId="0" borderId="28" xfId="46" applyBorder="1" applyAlignment="1">
      <alignment horizontal="center" vertical="center"/>
    </xf>
    <xf numFmtId="0" fontId="15" fillId="0" borderId="79" xfId="46" applyFont="1" applyBorder="1" applyAlignment="1">
      <alignment horizontal="left" vertical="center"/>
    </xf>
    <xf numFmtId="0" fontId="15" fillId="0" borderId="89" xfId="46" applyBorder="1" applyAlignment="1">
      <alignment horizontal="left" vertical="center"/>
    </xf>
    <xf numFmtId="0" fontId="15" fillId="0" borderId="50" xfId="46" applyBorder="1" applyAlignment="1">
      <alignment horizontal="left" vertical="center"/>
    </xf>
    <xf numFmtId="0" fontId="15" fillId="0" borderId="13" xfId="46" applyBorder="1" applyAlignment="1">
      <alignment horizontal="left" vertical="center"/>
    </xf>
    <xf numFmtId="0" fontId="15" fillId="0" borderId="33" xfId="46" applyBorder="1" applyAlignment="1">
      <alignment horizontal="left" vertical="center"/>
    </xf>
    <xf numFmtId="0" fontId="15" fillId="0" borderId="75" xfId="46" applyFont="1" applyBorder="1" applyAlignment="1">
      <alignment horizontal="left" vertical="center" wrapText="1"/>
    </xf>
    <xf numFmtId="0" fontId="15" fillId="0" borderId="13" xfId="46" applyBorder="1" applyAlignment="1">
      <alignment horizontal="left" vertical="center" wrapText="1"/>
    </xf>
    <xf numFmtId="0" fontId="15" fillId="0" borderId="33" xfId="46" applyBorder="1" applyAlignment="1">
      <alignment horizontal="left" vertical="center" wrapText="1"/>
    </xf>
    <xf numFmtId="0" fontId="15" fillId="0" borderId="10" xfId="46" applyFont="1" applyBorder="1" applyAlignment="1">
      <alignment horizontal="left" vertical="center"/>
    </xf>
    <xf numFmtId="0" fontId="15" fillId="0" borderId="10" xfId="46" applyBorder="1" applyAlignment="1">
      <alignment horizontal="left" vertical="center"/>
    </xf>
    <xf numFmtId="0" fontId="15" fillId="0" borderId="26" xfId="46" applyFont="1" applyBorder="1" applyAlignment="1">
      <alignment horizontal="left" vertical="center"/>
    </xf>
    <xf numFmtId="0" fontId="15" fillId="0" borderId="26" xfId="46" applyBorder="1" applyAlignment="1">
      <alignment horizontal="left" vertical="center"/>
    </xf>
    <xf numFmtId="0" fontId="18" fillId="0" borderId="27" xfId="46" applyFont="1" applyBorder="1" applyAlignment="1">
      <alignment horizontal="center" vertical="center"/>
    </xf>
    <xf numFmtId="0" fontId="18" fillId="0" borderId="28" xfId="46" applyFont="1" applyBorder="1" applyAlignment="1">
      <alignment horizontal="center" vertical="center"/>
    </xf>
    <xf numFmtId="0" fontId="15" fillId="0" borderId="73" xfId="46" applyBorder="1" applyAlignment="1">
      <alignment horizontal="center" vertical="center"/>
    </xf>
    <xf numFmtId="0" fontId="15" fillId="0" borderId="24" xfId="46" applyBorder="1" applyAlignment="1">
      <alignment horizontal="left" vertical="center"/>
    </xf>
    <xf numFmtId="0" fontId="15" fillId="0" borderId="50" xfId="46" applyFont="1" applyBorder="1" applyAlignment="1">
      <alignment horizontal="left" vertical="center"/>
    </xf>
    <xf numFmtId="0" fontId="15" fillId="0" borderId="75" xfId="46" applyBorder="1" applyAlignment="1">
      <alignment horizontal="left" vertical="center"/>
    </xf>
    <xf numFmtId="0" fontId="18" fillId="0" borderId="94" xfId="46" applyFont="1" applyBorder="1" applyAlignment="1">
      <alignment horizontal="center" vertical="center"/>
    </xf>
    <xf numFmtId="0" fontId="18" fillId="0" borderId="110" xfId="46" applyFont="1" applyBorder="1" applyAlignment="1">
      <alignment horizontal="center" vertical="center"/>
    </xf>
    <xf numFmtId="0" fontId="15" fillId="0" borderId="24" xfId="46" applyBorder="1" applyAlignment="1">
      <alignment horizontal="center" vertical="center"/>
    </xf>
    <xf numFmtId="0" fontId="15" fillId="0" borderId="10" xfId="46" applyBorder="1" applyAlignment="1">
      <alignment horizontal="center" vertical="center"/>
    </xf>
    <xf numFmtId="0" fontId="15" fillId="0" borderId="24" xfId="46" applyFont="1" applyBorder="1" applyAlignment="1">
      <alignment horizontal="left" vertical="center"/>
    </xf>
    <xf numFmtId="0" fontId="15" fillId="0" borderId="24" xfId="46" applyFont="1" applyBorder="1" applyAlignment="1">
      <alignment horizontal="left"/>
    </xf>
    <xf numFmtId="0" fontId="15" fillId="0" borderId="13" xfId="46" applyFont="1" applyBorder="1" applyAlignment="1">
      <alignment horizontal="left"/>
    </xf>
    <xf numFmtId="0" fontId="15" fillId="0" borderId="10" xfId="46" applyFont="1" applyBorder="1" applyAlignment="1">
      <alignment horizontal="left"/>
    </xf>
    <xf numFmtId="0" fontId="18" fillId="66" borderId="75" xfId="46" applyFont="1" applyFill="1" applyBorder="1" applyAlignment="1">
      <alignment horizontal="center" vertical="center"/>
    </xf>
    <xf numFmtId="0" fontId="22" fillId="0" borderId="0" xfId="46" applyFont="1" applyAlignment="1">
      <alignment horizontal="center" vertical="center"/>
    </xf>
    <xf numFmtId="0" fontId="22" fillId="0" borderId="0" xfId="46" applyFont="1" applyAlignment="1">
      <alignment horizontal="center" vertical="center" wrapText="1"/>
    </xf>
    <xf numFmtId="0" fontId="18" fillId="66" borderId="17" xfId="46" applyFont="1" applyFill="1" applyBorder="1" applyAlignment="1">
      <alignment horizontal="center" vertical="center"/>
    </xf>
    <xf numFmtId="0" fontId="15" fillId="0" borderId="0" xfId="46" applyFont="1" applyAlignment="1" applyProtection="1">
      <alignment vertical="top" wrapText="1"/>
      <protection locked="0"/>
    </xf>
    <xf numFmtId="0" fontId="18" fillId="0" borderId="0" xfId="46" applyFont="1" applyAlignment="1" applyProtection="1">
      <alignment horizontal="left" vertical="top" wrapText="1"/>
      <protection locked="0"/>
    </xf>
    <xf numFmtId="0" fontId="18" fillId="25" borderId="94" xfId="46" applyFont="1" applyFill="1" applyBorder="1" applyAlignment="1" applyProtection="1">
      <alignment vertical="center"/>
      <protection locked="0"/>
    </xf>
    <xf numFmtId="0" fontId="18" fillId="25" borderId="76" xfId="46" applyFont="1" applyFill="1" applyBorder="1" applyAlignment="1" applyProtection="1">
      <alignment vertical="center"/>
      <protection locked="0"/>
    </xf>
    <xf numFmtId="0" fontId="18" fillId="25" borderId="73" xfId="46" applyFont="1" applyFill="1" applyBorder="1" applyAlignment="1" applyProtection="1">
      <alignment vertical="center"/>
      <protection locked="0"/>
    </xf>
    <xf numFmtId="0" fontId="18" fillId="25" borderId="19" xfId="46" applyFont="1" applyFill="1" applyBorder="1" applyAlignment="1" applyProtection="1">
      <alignment vertical="center"/>
      <protection locked="0"/>
    </xf>
    <xf numFmtId="176" fontId="18" fillId="25" borderId="43" xfId="46" applyNumberFormat="1" applyFont="1" applyFill="1" applyBorder="1" applyAlignment="1" applyProtection="1">
      <alignment horizontal="center" vertical="center" wrapText="1"/>
      <protection locked="0"/>
    </xf>
    <xf numFmtId="176" fontId="15" fillId="0" borderId="93" xfId="46" applyNumberFormat="1" applyBorder="1" applyAlignment="1" applyProtection="1">
      <alignment horizontal="center" wrapText="1"/>
      <protection locked="0"/>
    </xf>
    <xf numFmtId="0" fontId="18" fillId="0" borderId="0" xfId="46" applyFont="1" applyAlignment="1" applyProtection="1">
      <alignment horizontal="center" vertical="center" wrapText="1"/>
      <protection locked="0"/>
    </xf>
    <xf numFmtId="0" fontId="18" fillId="25" borderId="38" xfId="46" applyFont="1" applyFill="1" applyBorder="1" applyAlignment="1" applyProtection="1">
      <alignment vertical="center"/>
      <protection locked="0"/>
    </xf>
    <xf numFmtId="0" fontId="18" fillId="25" borderId="34" xfId="46" applyFont="1" applyFill="1" applyBorder="1" applyAlignment="1" applyProtection="1">
      <alignment vertical="center"/>
      <protection locked="0"/>
    </xf>
    <xf numFmtId="0" fontId="18" fillId="25" borderId="43" xfId="46" applyFont="1" applyFill="1" applyBorder="1" applyAlignment="1" applyProtection="1">
      <alignment horizontal="center" vertical="center" wrapText="1"/>
      <protection locked="0"/>
    </xf>
    <xf numFmtId="0" fontId="15" fillId="0" borderId="41" xfId="46" applyBorder="1" applyAlignment="1" applyProtection="1">
      <alignment horizontal="center" wrapText="1"/>
      <protection locked="0"/>
    </xf>
    <xf numFmtId="0" fontId="18" fillId="25" borderId="41" xfId="46" applyFont="1" applyFill="1" applyBorder="1" applyAlignment="1" applyProtection="1">
      <alignment horizontal="center" vertical="center" wrapText="1"/>
      <protection locked="0"/>
    </xf>
    <xf numFmtId="0" fontId="53" fillId="0" borderId="0" xfId="46" applyFont="1" applyAlignment="1" applyProtection="1">
      <alignment horizontal="left" vertical="top" wrapText="1"/>
      <protection locked="0"/>
    </xf>
    <xf numFmtId="0" fontId="22" fillId="0" borderId="0" xfId="46" applyFont="1" applyAlignment="1" applyProtection="1">
      <alignment horizontal="center" vertical="center"/>
      <protection locked="0"/>
    </xf>
    <xf numFmtId="0" fontId="18" fillId="0" borderId="15" xfId="46" applyFont="1" applyBorder="1" applyAlignment="1" applyProtection="1">
      <alignment horizontal="left" vertical="top" wrapText="1"/>
      <protection locked="0"/>
    </xf>
    <xf numFmtId="0" fontId="15" fillId="0" borderId="93" xfId="46" applyBorder="1" applyAlignment="1" applyProtection="1">
      <alignment horizontal="center" wrapText="1"/>
      <protection locked="0"/>
    </xf>
    <xf numFmtId="167" fontId="123" fillId="83" borderId="43" xfId="28" applyNumberFormat="1" applyFont="1" applyFill="1" applyBorder="1" applyAlignment="1">
      <alignment horizontal="center" vertical="center" wrapText="1"/>
    </xf>
    <xf numFmtId="167" fontId="123" fillId="83" borderId="41" xfId="28" applyNumberFormat="1" applyFont="1" applyFill="1" applyBorder="1" applyAlignment="1">
      <alignment horizontal="center" vertical="center" wrapText="1"/>
    </xf>
    <xf numFmtId="0" fontId="18" fillId="0" borderId="70" xfId="46" applyFont="1" applyFill="1" applyBorder="1" applyAlignment="1" applyProtection="1">
      <alignment vertical="center" wrapText="1"/>
      <protection locked="0"/>
    </xf>
    <xf numFmtId="0" fontId="18" fillId="0" borderId="48" xfId="46" applyFont="1" applyFill="1" applyBorder="1" applyAlignment="1" applyProtection="1">
      <alignment vertical="center" wrapText="1"/>
      <protection locked="0"/>
    </xf>
    <xf numFmtId="0" fontId="18" fillId="0" borderId="53" xfId="46" applyFont="1" applyFill="1" applyBorder="1" applyAlignment="1" applyProtection="1">
      <alignment vertical="center" wrapText="1"/>
      <protection locked="0"/>
    </xf>
    <xf numFmtId="0" fontId="18" fillId="0" borderId="43" xfId="46" applyFont="1" applyFill="1" applyBorder="1" applyAlignment="1" applyProtection="1">
      <alignment vertical="center" wrapText="1"/>
      <protection locked="0"/>
    </xf>
    <xf numFmtId="0" fontId="18" fillId="0" borderId="40" xfId="46" applyFont="1" applyFill="1" applyBorder="1" applyAlignment="1" applyProtection="1">
      <alignment vertical="center" wrapText="1"/>
      <protection locked="0"/>
    </xf>
    <xf numFmtId="0" fontId="18" fillId="0" borderId="93" xfId="46" applyFont="1" applyFill="1" applyBorder="1" applyAlignment="1" applyProtection="1">
      <alignment vertical="center" wrapText="1"/>
      <protection locked="0"/>
    </xf>
    <xf numFmtId="166" fontId="18" fillId="0" borderId="43" xfId="29" applyNumberFormat="1" applyFont="1" applyBorder="1" applyAlignment="1" applyProtection="1">
      <alignment horizontal="center"/>
      <protection locked="0"/>
    </xf>
    <xf numFmtId="166" fontId="18" fillId="0" borderId="40" xfId="29" applyNumberFormat="1" applyFont="1" applyBorder="1" applyAlignment="1" applyProtection="1">
      <alignment horizontal="center"/>
      <protection locked="0"/>
    </xf>
    <xf numFmtId="166" fontId="18" fillId="0" borderId="93" xfId="29" applyNumberFormat="1" applyFont="1" applyBorder="1" applyAlignment="1" applyProtection="1">
      <alignment horizontal="center"/>
      <protection locked="0"/>
    </xf>
    <xf numFmtId="0" fontId="15" fillId="0" borderId="0" xfId="46" applyFont="1" applyFill="1" applyBorder="1" applyAlignment="1" applyProtection="1">
      <alignment horizontal="left" vertical="top" wrapText="1"/>
      <protection locked="0"/>
    </xf>
    <xf numFmtId="0" fontId="18" fillId="0" borderId="0" xfId="46" applyFont="1" applyAlignment="1" applyProtection="1">
      <alignment horizontal="center" vertical="top"/>
      <protection locked="0"/>
    </xf>
    <xf numFmtId="0" fontId="15" fillId="0" borderId="0" xfId="46" applyFont="1" applyAlignment="1" applyProtection="1">
      <alignment wrapText="1"/>
      <protection locked="0"/>
    </xf>
    <xf numFmtId="0" fontId="18" fillId="0" borderId="0" xfId="46" applyFont="1" applyAlignment="1" applyProtection="1">
      <alignment horizontal="center" vertical="top" wrapText="1"/>
      <protection locked="0"/>
    </xf>
    <xf numFmtId="0" fontId="59" fillId="0" borderId="75" xfId="47" applyFont="1" applyBorder="1" applyAlignment="1" applyProtection="1">
      <alignment horizontal="center"/>
      <protection locked="0"/>
    </xf>
    <xf numFmtId="0" fontId="59" fillId="0" borderId="13" xfId="47" applyFont="1" applyBorder="1" applyAlignment="1" applyProtection="1">
      <alignment horizontal="center"/>
      <protection locked="0"/>
    </xf>
    <xf numFmtId="0" fontId="59" fillId="0" borderId="33" xfId="47" applyFont="1" applyBorder="1" applyAlignment="1" applyProtection="1">
      <alignment horizontal="center"/>
      <protection locked="0"/>
    </xf>
    <xf numFmtId="0" fontId="15" fillId="0" borderId="0" xfId="46" applyAlignment="1" applyProtection="1">
      <alignment horizontal="center"/>
      <protection locked="0"/>
    </xf>
    <xf numFmtId="0" fontId="15" fillId="0" borderId="0" xfId="46" applyAlignment="1" applyProtection="1">
      <protection locked="0"/>
    </xf>
    <xf numFmtId="0" fontId="63" fillId="0" borderId="0" xfId="47" applyFont="1" applyAlignment="1" applyProtection="1">
      <alignment horizontal="center" vertical="center"/>
      <protection locked="0"/>
    </xf>
    <xf numFmtId="0" fontId="59" fillId="0" borderId="0" xfId="47" applyFont="1" applyAlignment="1" applyProtection="1">
      <alignment horizontal="left" wrapText="1"/>
      <protection locked="0"/>
    </xf>
    <xf numFmtId="0" fontId="59" fillId="0" borderId="0" xfId="47" applyFont="1" applyAlignment="1" applyProtection="1">
      <alignment horizontal="left" vertical="center" wrapText="1"/>
      <protection locked="0"/>
    </xf>
    <xf numFmtId="0" fontId="59" fillId="0" borderId="107" xfId="47" applyFont="1" applyBorder="1" applyAlignment="1" applyProtection="1">
      <alignment horizontal="center"/>
      <protection locked="0"/>
    </xf>
    <xf numFmtId="0" fontId="59" fillId="0" borderId="83" xfId="47" applyFont="1" applyBorder="1" applyAlignment="1" applyProtection="1">
      <alignment horizontal="center"/>
      <protection locked="0"/>
    </xf>
    <xf numFmtId="0" fontId="59" fillId="0" borderId="18" xfId="47" applyFont="1" applyBorder="1" applyAlignment="1" applyProtection="1">
      <alignment horizontal="center"/>
      <protection locked="0"/>
    </xf>
    <xf numFmtId="0" fontId="59" fillId="0" borderId="77" xfId="47" applyFont="1" applyBorder="1" applyAlignment="1" applyProtection="1">
      <alignment horizontal="center"/>
      <protection locked="0"/>
    </xf>
    <xf numFmtId="0" fontId="59" fillId="0" borderId="12" xfId="47" applyFont="1" applyBorder="1" applyAlignment="1" applyProtection="1">
      <alignment horizontal="center"/>
      <protection locked="0"/>
    </xf>
    <xf numFmtId="0" fontId="59" fillId="0" borderId="16" xfId="47" applyFont="1" applyBorder="1" applyAlignment="1" applyProtection="1">
      <alignment horizontal="center"/>
      <protection locked="0"/>
    </xf>
    <xf numFmtId="0" fontId="63" fillId="0" borderId="0" xfId="47" applyFont="1" applyAlignment="1" applyProtection="1">
      <alignment horizontal="right" wrapText="1"/>
      <protection locked="0"/>
    </xf>
    <xf numFmtId="167" fontId="59" fillId="29" borderId="129" xfId="28" applyNumberFormat="1" applyFont="1" applyFill="1" applyBorder="1" applyAlignment="1" applyProtection="1">
      <alignment horizontal="center"/>
      <protection locked="0"/>
    </xf>
    <xf numFmtId="167" fontId="59" fillId="29" borderId="102" xfId="28" applyNumberFormat="1" applyFont="1" applyFill="1" applyBorder="1" applyAlignment="1" applyProtection="1">
      <alignment horizontal="center"/>
      <protection locked="0"/>
    </xf>
    <xf numFmtId="0" fontId="18" fillId="0" borderId="0" xfId="46" applyFont="1" applyAlignment="1" applyProtection="1">
      <alignment horizontal="center" vertical="center"/>
      <protection locked="0"/>
    </xf>
    <xf numFmtId="0" fontId="59" fillId="0" borderId="0" xfId="47" applyFont="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0" xfId="0" applyFont="1" applyAlignment="1" applyProtection="1">
      <alignment horizontal="left" vertical="top"/>
      <protection locked="0"/>
    </xf>
    <xf numFmtId="0" fontId="15" fillId="0" borderId="0" xfId="0" applyFont="1" applyAlignment="1" applyProtection="1">
      <alignment horizontal="left" vertical="top" indent="2"/>
      <protection locked="0"/>
    </xf>
    <xf numFmtId="0" fontId="18" fillId="0" borderId="88" xfId="0" applyFont="1" applyBorder="1" applyAlignment="1" applyProtection="1">
      <alignment horizontal="center"/>
      <protection locked="0"/>
    </xf>
    <xf numFmtId="0" fontId="18" fillId="0" borderId="22" xfId="0" applyFont="1" applyBorder="1" applyAlignment="1" applyProtection="1">
      <alignment horizontal="center"/>
      <protection locked="0"/>
    </xf>
    <xf numFmtId="0" fontId="59" fillId="0" borderId="0" xfId="0" applyFont="1" applyBorder="1" applyAlignment="1" applyProtection="1">
      <alignment horizontal="left"/>
      <protection locked="0"/>
    </xf>
    <xf numFmtId="0" fontId="15" fillId="0" borderId="0" xfId="0" applyFont="1" applyFill="1" applyBorder="1" applyAlignment="1" applyProtection="1">
      <protection locked="0"/>
    </xf>
    <xf numFmtId="0" fontId="18" fillId="0" borderId="88"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22" fillId="0" borderId="0" xfId="46" applyFont="1" applyAlignment="1" applyProtection="1">
      <alignment horizontal="center" vertical="center" wrapText="1"/>
      <protection locked="0"/>
    </xf>
    <xf numFmtId="9" fontId="137" fillId="0" borderId="0" xfId="28" applyNumberFormat="1" applyFont="1" applyFill="1" applyBorder="1" applyAlignment="1" applyProtection="1">
      <alignment horizontal="left" vertical="top"/>
      <protection locked="0"/>
    </xf>
    <xf numFmtId="0" fontId="15" fillId="0" borderId="0" xfId="0" applyFont="1" applyAlignment="1" applyProtection="1">
      <alignment horizontal="left"/>
      <protection locked="0"/>
    </xf>
    <xf numFmtId="0" fontId="0" fillId="0" borderId="0" xfId="0" applyFill="1" applyBorder="1" applyAlignment="1" applyProtection="1">
      <protection locked="0"/>
    </xf>
    <xf numFmtId="9" fontId="137" fillId="0" borderId="0" xfId="28" applyNumberFormat="1" applyFont="1" applyFill="1" applyBorder="1" applyAlignment="1" applyProtection="1">
      <alignment horizontal="left"/>
      <protection locked="0"/>
    </xf>
    <xf numFmtId="9" fontId="137" fillId="0" borderId="0" xfId="28" applyNumberFormat="1" applyFont="1" applyFill="1" applyBorder="1" applyAlignment="1" applyProtection="1">
      <alignment horizontal="left" vertical="center" wrapText="1"/>
      <protection locked="0"/>
    </xf>
    <xf numFmtId="0" fontId="12" fillId="77" borderId="44" xfId="93" applyFill="1" applyBorder="1" applyAlignment="1" applyProtection="1">
      <alignment horizontal="center"/>
      <protection locked="0"/>
    </xf>
    <xf numFmtId="0" fontId="12" fillId="77" borderId="22" xfId="93" applyFill="1" applyBorder="1" applyAlignment="1" applyProtection="1">
      <alignment horizontal="center"/>
      <protection locked="0"/>
    </xf>
    <xf numFmtId="0" fontId="66" fillId="0" borderId="0" xfId="93" applyFont="1" applyAlignment="1" applyProtection="1">
      <alignment horizontal="left"/>
      <protection locked="0"/>
    </xf>
    <xf numFmtId="0" fontId="52" fillId="0" borderId="42" xfId="93" applyFont="1" applyBorder="1" applyAlignment="1" applyProtection="1">
      <alignment horizontal="center" vertical="center"/>
      <protection locked="0"/>
    </xf>
    <xf numFmtId="0" fontId="52" fillId="0" borderId="130" xfId="93" applyFont="1" applyBorder="1" applyAlignment="1" applyProtection="1">
      <alignment horizontal="center" vertical="center"/>
      <protection locked="0"/>
    </xf>
    <xf numFmtId="0" fontId="18" fillId="0" borderId="88" xfId="93" applyFont="1" applyBorder="1" applyAlignment="1" applyProtection="1">
      <alignment horizontal="center" vertical="center"/>
      <protection locked="0"/>
    </xf>
    <xf numFmtId="0" fontId="18" fillId="0" borderId="65" xfId="93" applyFont="1" applyBorder="1" applyAlignment="1" applyProtection="1">
      <alignment horizontal="center" vertical="center"/>
      <protection locked="0"/>
    </xf>
    <xf numFmtId="0" fontId="18" fillId="0" borderId="135" xfId="93" applyFont="1" applyBorder="1" applyAlignment="1" applyProtection="1">
      <alignment horizontal="center" vertical="center"/>
      <protection locked="0"/>
    </xf>
    <xf numFmtId="0" fontId="18" fillId="0" borderId="22" xfId="93" applyFont="1" applyBorder="1" applyAlignment="1" applyProtection="1">
      <alignment horizontal="center" vertical="center"/>
      <protection locked="0"/>
    </xf>
    <xf numFmtId="0" fontId="82" fillId="0" borderId="137" xfId="0" applyFont="1" applyBorder="1" applyAlignment="1" applyProtection="1">
      <alignment horizontal="center"/>
      <protection locked="0"/>
    </xf>
    <xf numFmtId="0" fontId="12" fillId="77" borderId="41" xfId="93" applyFill="1" applyBorder="1" applyAlignment="1" applyProtection="1">
      <alignment horizontal="center"/>
      <protection locked="0"/>
    </xf>
    <xf numFmtId="0" fontId="12" fillId="77" borderId="31" xfId="93" applyFill="1" applyBorder="1" applyAlignment="1" applyProtection="1">
      <alignment horizontal="center"/>
      <protection locked="0"/>
    </xf>
    <xf numFmtId="0" fontId="82" fillId="0" borderId="76" xfId="90" applyFont="1" applyBorder="1" applyAlignment="1" applyProtection="1">
      <alignment horizontal="left" vertical="center"/>
      <protection locked="0"/>
    </xf>
    <xf numFmtId="0" fontId="82" fillId="0" borderId="19" xfId="90" applyFont="1" applyBorder="1" applyAlignment="1" applyProtection="1">
      <alignment horizontal="left" vertical="center"/>
      <protection locked="0"/>
    </xf>
    <xf numFmtId="0" fontId="82" fillId="0" borderId="38" xfId="90" applyFont="1" applyBorder="1" applyAlignment="1" applyProtection="1">
      <alignment horizontal="left" vertical="center"/>
      <protection locked="0"/>
    </xf>
    <xf numFmtId="0" fontId="82" fillId="0" borderId="34" xfId="90" applyFont="1" applyBorder="1" applyAlignment="1" applyProtection="1">
      <alignment horizontal="left" vertical="center"/>
      <protection locked="0"/>
    </xf>
    <xf numFmtId="0" fontId="52" fillId="0" borderId="88" xfId="93" applyFont="1" applyBorder="1" applyAlignment="1" applyProtection="1">
      <alignment horizontal="center" vertical="center" wrapText="1"/>
      <protection locked="0"/>
    </xf>
    <xf numFmtId="0" fontId="52" fillId="0" borderId="22" xfId="93" applyFont="1" applyBorder="1" applyAlignment="1" applyProtection="1">
      <alignment horizontal="center" vertical="center" wrapText="1"/>
      <protection locked="0"/>
    </xf>
    <xf numFmtId="0" fontId="82" fillId="0" borderId="32" xfId="90" applyFont="1" applyBorder="1" applyAlignment="1" applyProtection="1">
      <alignment horizontal="left" vertical="center"/>
      <protection locked="0"/>
    </xf>
    <xf numFmtId="0" fontId="82" fillId="0" borderId="24" xfId="90" applyFont="1" applyBorder="1" applyAlignment="1" applyProtection="1">
      <alignment horizontal="left" vertical="center"/>
      <protection locked="0"/>
    </xf>
    <xf numFmtId="0" fontId="0" fillId="29" borderId="58" xfId="0" applyFill="1" applyBorder="1" applyAlignment="1" applyProtection="1">
      <alignment horizontal="left"/>
      <protection locked="0"/>
    </xf>
    <xf numFmtId="0" fontId="0" fillId="29" borderId="87" xfId="0" applyFill="1" applyBorder="1" applyAlignment="1" applyProtection="1">
      <alignment horizontal="left"/>
      <protection locked="0"/>
    </xf>
    <xf numFmtId="0" fontId="18" fillId="0" borderId="46" xfId="0" applyFont="1" applyBorder="1" applyAlignment="1" applyProtection="1">
      <alignment horizontal="left"/>
      <protection locked="0"/>
    </xf>
    <xf numFmtId="0" fontId="18" fillId="0" borderId="39" xfId="0" applyFont="1" applyBorder="1" applyAlignment="1" applyProtection="1">
      <alignment horizontal="left"/>
      <protection locked="0"/>
    </xf>
    <xf numFmtId="0" fontId="15" fillId="0" borderId="54" xfId="0" applyFont="1" applyBorder="1" applyAlignment="1">
      <alignment horizontal="left"/>
    </xf>
    <xf numFmtId="0" fontId="0" fillId="0" borderId="33" xfId="0" applyBorder="1" applyAlignment="1">
      <alignment horizontal="left"/>
    </xf>
    <xf numFmtId="0" fontId="18" fillId="0" borderId="53" xfId="0" applyFont="1" applyBorder="1" applyAlignment="1" applyProtection="1">
      <alignment horizontal="left"/>
      <protection locked="0"/>
    </xf>
    <xf numFmtId="0" fontId="18" fillId="0" borderId="16" xfId="0" applyFont="1" applyBorder="1" applyAlignment="1" applyProtection="1">
      <alignment horizontal="left"/>
      <protection locked="0"/>
    </xf>
    <xf numFmtId="0" fontId="15" fillId="0" borderId="53" xfId="0" applyFont="1" applyBorder="1" applyAlignment="1">
      <alignment horizontal="left"/>
    </xf>
    <xf numFmtId="0" fontId="0" fillId="0" borderId="16" xfId="0" applyBorder="1" applyAlignment="1">
      <alignment horizontal="left"/>
    </xf>
    <xf numFmtId="0" fontId="0" fillId="0" borderId="48" xfId="0" applyBorder="1" applyAlignment="1">
      <alignment horizontal="left"/>
    </xf>
    <xf numFmtId="0" fontId="0" fillId="0" borderId="15" xfId="0" applyBorder="1" applyAlignment="1">
      <alignment horizontal="left"/>
    </xf>
    <xf numFmtId="0" fontId="0" fillId="29" borderId="54" xfId="0" applyFill="1" applyBorder="1" applyAlignment="1" applyProtection="1">
      <alignment horizontal="left"/>
      <protection locked="0"/>
    </xf>
    <xf numFmtId="0" fontId="0" fillId="29" borderId="33" xfId="0" applyFill="1" applyBorder="1" applyAlignment="1" applyProtection="1">
      <alignment horizontal="left"/>
      <protection locked="0"/>
    </xf>
    <xf numFmtId="0" fontId="0" fillId="0" borderId="48" xfId="0" applyBorder="1" applyAlignment="1" applyProtection="1">
      <alignment horizontal="left"/>
      <protection locked="0"/>
    </xf>
    <xf numFmtId="0" fontId="0" fillId="0" borderId="15" xfId="0" applyBorder="1" applyAlignment="1" applyProtection="1">
      <alignment horizontal="left"/>
      <protection locked="0"/>
    </xf>
    <xf numFmtId="0" fontId="0" fillId="0" borderId="54" xfId="0" applyBorder="1" applyAlignment="1" applyProtection="1">
      <alignment horizontal="left"/>
      <protection locked="0"/>
    </xf>
    <xf numFmtId="0" fontId="0" fillId="0" borderId="33" xfId="0" applyBorder="1" applyAlignment="1" applyProtection="1">
      <alignment horizontal="left"/>
      <protection locked="0"/>
    </xf>
    <xf numFmtId="0" fontId="54" fillId="0" borderId="0" xfId="0" applyFont="1" applyAlignment="1" applyProtection="1">
      <alignment horizontal="left" vertical="top" wrapText="1"/>
      <protection locked="0"/>
    </xf>
    <xf numFmtId="0" fontId="18" fillId="0" borderId="27" xfId="0" applyFont="1" applyBorder="1" applyAlignment="1" applyProtection="1">
      <alignment horizontal="left"/>
      <protection locked="0"/>
    </xf>
    <xf numFmtId="0" fontId="18" fillId="0" borderId="10" xfId="0" applyFont="1" applyBorder="1" applyAlignment="1" applyProtection="1">
      <alignment horizontal="left"/>
      <protection locked="0"/>
    </xf>
    <xf numFmtId="0" fontId="0" fillId="26" borderId="27" xfId="0" applyFill="1" applyBorder="1" applyAlignment="1" applyProtection="1">
      <alignment horizontal="center"/>
      <protection locked="0"/>
    </xf>
    <xf numFmtId="0" fontId="0" fillId="26" borderId="10" xfId="0" applyFill="1" applyBorder="1" applyAlignment="1" applyProtection="1">
      <alignment horizontal="center"/>
      <protection locked="0"/>
    </xf>
    <xf numFmtId="0" fontId="0" fillId="26" borderId="75" xfId="0" applyFill="1" applyBorder="1" applyAlignment="1" applyProtection="1">
      <alignment horizontal="center"/>
      <protection locked="0"/>
    </xf>
    <xf numFmtId="0" fontId="0" fillId="26" borderId="25" xfId="0" applyFill="1" applyBorder="1" applyAlignment="1" applyProtection="1">
      <alignment horizontal="center"/>
      <protection locked="0"/>
    </xf>
    <xf numFmtId="0" fontId="0" fillId="0" borderId="0" xfId="0" applyAlignment="1" applyProtection="1">
      <alignment horizontal="left"/>
      <protection locked="0"/>
    </xf>
    <xf numFmtId="0" fontId="18" fillId="0" borderId="72" xfId="0" applyFont="1" applyBorder="1" applyAlignment="1" applyProtection="1">
      <alignment horizontal="left"/>
      <protection locked="0"/>
    </xf>
    <xf numFmtId="0" fontId="18" fillId="0" borderId="36" xfId="0" applyFont="1" applyBorder="1" applyAlignment="1" applyProtection="1">
      <alignment horizontal="left"/>
      <protection locked="0"/>
    </xf>
    <xf numFmtId="0" fontId="18" fillId="0" borderId="38" xfId="0" applyFont="1" applyBorder="1" applyAlignment="1" applyProtection="1">
      <alignment horizontal="left"/>
      <protection locked="0"/>
    </xf>
    <xf numFmtId="0" fontId="18" fillId="0" borderId="34" xfId="0" applyFont="1" applyBorder="1" applyAlignment="1" applyProtection="1">
      <alignment horizontal="left"/>
      <protection locked="0"/>
    </xf>
    <xf numFmtId="0" fontId="15"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51" fillId="0" borderId="0" xfId="0" applyFont="1" applyAlignment="1" applyProtection="1">
      <alignment wrapText="1"/>
      <protection locked="0"/>
    </xf>
    <xf numFmtId="0" fontId="15" fillId="0" borderId="0" xfId="0" applyFont="1" applyAlignment="1" applyProtection="1">
      <alignment horizontal="left" wrapText="1"/>
      <protection locked="0"/>
    </xf>
    <xf numFmtId="0" fontId="15" fillId="0" borderId="48" xfId="0" applyFont="1" applyBorder="1" applyAlignment="1">
      <alignment horizontal="left"/>
    </xf>
    <xf numFmtId="0" fontId="9" fillId="0" borderId="0" xfId="134" applyFont="1" applyAlignment="1" applyProtection="1">
      <alignment horizontal="left" vertical="top" wrapText="1"/>
      <protection locked="0"/>
    </xf>
    <xf numFmtId="0" fontId="96" fillId="0" borderId="0" xfId="134" applyFont="1" applyBorder="1" applyAlignment="1" applyProtection="1">
      <alignment horizontal="left" vertical="top" wrapText="1"/>
      <protection locked="0"/>
    </xf>
    <xf numFmtId="0" fontId="82" fillId="0" borderId="0" xfId="134" applyFont="1" applyBorder="1" applyAlignment="1" applyProtection="1">
      <alignment horizontal="center" vertical="top" wrapText="1"/>
      <protection locked="0"/>
    </xf>
    <xf numFmtId="0" fontId="133" fillId="0" borderId="0" xfId="134" applyFont="1" applyBorder="1" applyAlignment="1" applyProtection="1">
      <alignment horizontal="center" vertical="top" wrapText="1"/>
      <protection locked="0"/>
    </xf>
    <xf numFmtId="0" fontId="100" fillId="0" borderId="0" xfId="134" applyFont="1" applyAlignment="1" applyProtection="1">
      <alignment horizontal="left" vertical="top"/>
      <protection locked="0"/>
    </xf>
    <xf numFmtId="0" fontId="6" fillId="0" borderId="0" xfId="134" applyFont="1" applyAlignment="1" applyProtection="1">
      <alignment horizontal="left" vertical="top" wrapText="1"/>
      <protection locked="0"/>
    </xf>
    <xf numFmtId="0" fontId="4" fillId="0" borderId="0" xfId="134" applyFont="1" applyBorder="1" applyAlignment="1" applyProtection="1">
      <alignment horizontal="left" vertical="top" wrapText="1"/>
      <protection locked="0"/>
    </xf>
    <xf numFmtId="0" fontId="9" fillId="0" borderId="0" xfId="134" applyFont="1" applyBorder="1" applyAlignment="1" applyProtection="1">
      <alignment horizontal="left" vertical="top" wrapText="1"/>
      <protection locked="0"/>
    </xf>
    <xf numFmtId="174" fontId="100" fillId="29" borderId="48" xfId="135" applyNumberFormat="1" applyFont="1" applyFill="1" applyBorder="1" applyAlignment="1" applyProtection="1">
      <alignment horizontal="center" vertical="top"/>
      <protection locked="0"/>
    </xf>
    <xf numFmtId="174" fontId="100" fillId="29" borderId="0" xfId="135" applyNumberFormat="1" applyFont="1" applyFill="1" applyBorder="1" applyAlignment="1" applyProtection="1">
      <alignment horizontal="center" vertical="top"/>
      <protection locked="0"/>
    </xf>
    <xf numFmtId="174" fontId="100" fillId="29" borderId="29" xfId="135" applyNumberFormat="1" applyFont="1" applyFill="1" applyBorder="1" applyAlignment="1" applyProtection="1">
      <alignment horizontal="center" vertical="top"/>
      <protection locked="0"/>
    </xf>
    <xf numFmtId="0" fontId="82" fillId="66" borderId="48" xfId="134" applyFont="1" applyFill="1" applyBorder="1" applyAlignment="1" applyProtection="1">
      <alignment horizontal="center" vertical="top"/>
      <protection locked="0"/>
    </xf>
    <xf numFmtId="0" fontId="82" fillId="66" borderId="0" xfId="134" applyFont="1" applyFill="1" applyBorder="1" applyAlignment="1" applyProtection="1">
      <alignment horizontal="center" vertical="top"/>
      <protection locked="0"/>
    </xf>
    <xf numFmtId="0" fontId="82" fillId="66" borderId="29" xfId="134" applyFont="1" applyFill="1" applyBorder="1" applyAlignment="1" applyProtection="1">
      <alignment horizontal="center" vertical="top"/>
      <protection locked="0"/>
    </xf>
    <xf numFmtId="0" fontId="82" fillId="66" borderId="54" xfId="134" applyFont="1" applyFill="1" applyBorder="1" applyAlignment="1" applyProtection="1">
      <alignment horizontal="center" vertical="center"/>
      <protection locked="0"/>
    </xf>
    <xf numFmtId="0" fontId="82" fillId="66" borderId="13" xfId="134" applyFont="1" applyFill="1" applyBorder="1" applyAlignment="1" applyProtection="1">
      <alignment horizontal="center" vertical="center"/>
      <protection locked="0"/>
    </xf>
    <xf numFmtId="0" fontId="82" fillId="66" borderId="51" xfId="134" applyFont="1" applyFill="1" applyBorder="1" applyAlignment="1" applyProtection="1">
      <alignment horizontal="center" vertical="center"/>
      <protection locked="0"/>
    </xf>
    <xf numFmtId="0" fontId="133" fillId="0" borderId="0" xfId="134" applyFont="1" applyBorder="1" applyAlignment="1" applyProtection="1">
      <alignment horizontal="center"/>
      <protection locked="0"/>
    </xf>
    <xf numFmtId="0" fontId="6" fillId="0" borderId="0" xfId="134" applyFont="1" applyBorder="1" applyAlignment="1" applyProtection="1">
      <alignment horizontal="left" vertical="top" wrapText="1"/>
      <protection locked="0"/>
    </xf>
    <xf numFmtId="0" fontId="82" fillId="66" borderId="70" xfId="134" applyFont="1" applyFill="1" applyBorder="1" applyAlignment="1" applyProtection="1">
      <alignment horizontal="center"/>
      <protection locked="0"/>
    </xf>
    <xf numFmtId="0" fontId="82" fillId="66" borderId="71" xfId="134" applyFont="1" applyFill="1" applyBorder="1" applyAlignment="1" applyProtection="1">
      <alignment horizontal="center"/>
      <protection locked="0"/>
    </xf>
    <xf numFmtId="0" fontId="82" fillId="66" borderId="45" xfId="134" applyFont="1" applyFill="1" applyBorder="1" applyAlignment="1" applyProtection="1">
      <alignment horizontal="center"/>
      <protection locked="0"/>
    </xf>
    <xf numFmtId="0" fontId="82" fillId="66" borderId="48" xfId="134" applyFont="1" applyFill="1" applyBorder="1" applyAlignment="1" applyProtection="1">
      <alignment horizontal="left" vertical="center"/>
      <protection locked="0"/>
    </xf>
    <xf numFmtId="0" fontId="82" fillId="66" borderId="0" xfId="134" applyFont="1" applyFill="1" applyBorder="1" applyAlignment="1" applyProtection="1">
      <alignment horizontal="left" vertical="center"/>
      <protection locked="0"/>
    </xf>
    <xf numFmtId="0" fontId="9" fillId="66" borderId="53" xfId="134" applyFont="1" applyFill="1" applyBorder="1" applyAlignment="1" applyProtection="1">
      <alignment vertical="top" wrapText="1"/>
      <protection locked="0"/>
    </xf>
    <xf numFmtId="0" fontId="9" fillId="66" borderId="12" xfId="134" applyFont="1" applyFill="1" applyBorder="1" applyAlignment="1" applyProtection="1">
      <alignment vertical="top" wrapText="1"/>
      <protection locked="0"/>
    </xf>
    <xf numFmtId="0" fontId="82" fillId="0" borderId="46" xfId="134" applyFont="1" applyBorder="1" applyAlignment="1" applyProtection="1">
      <alignment vertical="top" wrapText="1"/>
      <protection locked="0"/>
    </xf>
    <xf numFmtId="0" fontId="82" fillId="0" borderId="30" xfId="134" applyFont="1" applyBorder="1" applyAlignment="1" applyProtection="1">
      <alignment vertical="top" wrapText="1"/>
      <protection locked="0"/>
    </xf>
    <xf numFmtId="0" fontId="82" fillId="72" borderId="70" xfId="134" applyFont="1" applyFill="1" applyBorder="1" applyAlignment="1" applyProtection="1">
      <alignment horizontal="center" vertical="top"/>
      <protection locked="0"/>
    </xf>
    <xf numFmtId="0" fontId="82" fillId="72" borderId="71" xfId="134" applyFont="1" applyFill="1" applyBorder="1" applyAlignment="1" applyProtection="1">
      <alignment horizontal="center" vertical="top"/>
      <protection locked="0"/>
    </xf>
    <xf numFmtId="0" fontId="82" fillId="72" borderId="45" xfId="134" applyFont="1" applyFill="1" applyBorder="1" applyAlignment="1" applyProtection="1">
      <alignment horizontal="center" vertical="top"/>
      <protection locked="0"/>
    </xf>
    <xf numFmtId="0" fontId="118" fillId="0" borderId="0" xfId="134" applyFont="1" applyAlignment="1" applyProtection="1">
      <alignment horizontal="center" vertical="top"/>
      <protection locked="0"/>
    </xf>
    <xf numFmtId="0" fontId="9" fillId="0" borderId="0" xfId="134" applyFont="1" applyAlignment="1" applyProtection="1">
      <alignment horizontal="left" vertical="top"/>
      <protection locked="0"/>
    </xf>
    <xf numFmtId="49" fontId="100" fillId="0" borderId="0" xfId="135" applyNumberFormat="1" applyFont="1" applyBorder="1" applyAlignment="1" applyProtection="1">
      <alignment horizontal="left" vertical="top" wrapText="1"/>
      <protection locked="0"/>
    </xf>
    <xf numFmtId="174" fontId="100" fillId="29" borderId="48" xfId="135" applyNumberFormat="1" applyFont="1" applyFill="1" applyBorder="1" applyAlignment="1" applyProtection="1">
      <alignment horizontal="center"/>
      <protection locked="0"/>
    </xf>
    <xf numFmtId="174" fontId="100" fillId="29" borderId="0" xfId="135" applyNumberFormat="1" applyFont="1" applyFill="1" applyBorder="1" applyAlignment="1" applyProtection="1">
      <alignment horizontal="center"/>
      <protection locked="0"/>
    </xf>
    <xf numFmtId="174" fontId="100" fillId="29" borderId="29" xfId="135" applyNumberFormat="1" applyFont="1" applyFill="1" applyBorder="1" applyAlignment="1" applyProtection="1">
      <alignment horizontal="center"/>
      <protection locked="0"/>
    </xf>
    <xf numFmtId="0" fontId="82" fillId="66" borderId="70" xfId="134" applyFont="1" applyFill="1" applyBorder="1" applyAlignment="1" applyProtection="1">
      <alignment horizontal="center" wrapText="1"/>
      <protection locked="0"/>
    </xf>
    <xf numFmtId="0" fontId="82" fillId="66" borderId="45" xfId="134" applyFont="1" applyFill="1" applyBorder="1" applyAlignment="1" applyProtection="1">
      <alignment horizontal="center" wrapText="1"/>
      <protection locked="0"/>
    </xf>
    <xf numFmtId="0" fontId="82" fillId="66" borderId="48" xfId="134" applyFont="1" applyFill="1" applyBorder="1" applyAlignment="1" applyProtection="1">
      <alignment horizontal="center" wrapText="1"/>
      <protection locked="0"/>
    </xf>
    <xf numFmtId="0" fontId="82" fillId="66" borderId="29" xfId="134" applyFont="1" applyFill="1" applyBorder="1" applyAlignment="1" applyProtection="1">
      <alignment horizontal="center" wrapText="1"/>
      <protection locked="0"/>
    </xf>
    <xf numFmtId="0" fontId="4" fillId="0" borderId="0" xfId="134" applyFont="1" applyAlignment="1" applyProtection="1">
      <alignment horizontal="left" vertical="top" wrapText="1"/>
      <protection locked="0"/>
    </xf>
    <xf numFmtId="0" fontId="7" fillId="0" borderId="0" xfId="134" applyFont="1" applyAlignment="1" applyProtection="1">
      <alignment horizontal="left" vertical="top" wrapText="1"/>
      <protection locked="0"/>
    </xf>
    <xf numFmtId="0" fontId="22" fillId="68" borderId="0" xfId="0" applyFont="1" applyFill="1" applyAlignment="1" applyProtection="1">
      <alignment horizontal="center" vertical="center"/>
      <protection locked="0"/>
    </xf>
    <xf numFmtId="0" fontId="67" fillId="0" borderId="0" xfId="46" applyFont="1" applyFill="1" applyBorder="1" applyAlignment="1" applyProtection="1">
      <alignment horizontal="center" vertical="center" wrapText="1"/>
      <protection locked="0"/>
    </xf>
    <xf numFmtId="0" fontId="0" fillId="0" borderId="0" xfId="0" applyAlignment="1" applyProtection="1">
      <alignment vertical="top" wrapText="1"/>
      <protection locked="0"/>
    </xf>
    <xf numFmtId="0" fontId="0" fillId="0" borderId="0" xfId="0" applyAlignment="1" applyProtection="1">
      <alignment horizontal="left" vertical="top" wrapText="1"/>
      <protection locked="0"/>
    </xf>
    <xf numFmtId="0" fontId="18" fillId="0" borderId="0" xfId="0" applyFont="1" applyAlignment="1" applyProtection="1">
      <alignment horizontal="left" wrapText="1"/>
      <protection locked="0"/>
    </xf>
    <xf numFmtId="0" fontId="38" fillId="0" borderId="0" xfId="0" applyFont="1" applyAlignment="1" applyProtection="1">
      <alignment horizontal="left" vertical="top" wrapText="1"/>
      <protection locked="0"/>
    </xf>
    <xf numFmtId="0" fontId="18" fillId="27" borderId="75" xfId="0" applyFont="1" applyFill="1" applyBorder="1" applyAlignment="1" applyProtection="1">
      <alignment horizontal="left"/>
      <protection locked="0"/>
    </xf>
    <xf numFmtId="0" fontId="18" fillId="27" borderId="13" xfId="0" applyFont="1" applyFill="1" applyBorder="1" applyAlignment="1" applyProtection="1">
      <alignment horizontal="left"/>
      <protection locked="0"/>
    </xf>
    <xf numFmtId="0" fontId="18" fillId="27" borderId="33" xfId="0" applyFont="1" applyFill="1" applyBorder="1" applyAlignment="1" applyProtection="1">
      <alignment horizontal="left"/>
      <protection locked="0"/>
    </xf>
    <xf numFmtId="0" fontId="18" fillId="27" borderId="77" xfId="0" applyFont="1" applyFill="1" applyBorder="1" applyAlignment="1" applyProtection="1">
      <alignment horizontal="left"/>
      <protection locked="0"/>
    </xf>
    <xf numFmtId="0" fontId="18" fillId="27" borderId="12" xfId="0" applyFont="1" applyFill="1" applyBorder="1" applyAlignment="1" applyProtection="1">
      <alignment horizontal="left"/>
      <protection locked="0"/>
    </xf>
    <xf numFmtId="0" fontId="18" fillId="27" borderId="16" xfId="0" applyFont="1" applyFill="1" applyBorder="1" applyAlignment="1" applyProtection="1">
      <alignment horizontal="left"/>
      <protection locked="0"/>
    </xf>
    <xf numFmtId="0" fontId="15" fillId="0" borderId="0" xfId="0" applyFont="1" applyAlignment="1" applyProtection="1">
      <alignment wrapText="1"/>
      <protection locked="0"/>
    </xf>
    <xf numFmtId="0" fontId="18" fillId="0" borderId="54" xfId="0" applyFont="1" applyBorder="1" applyAlignment="1" applyProtection="1">
      <alignment horizontal="left"/>
      <protection locked="0"/>
    </xf>
    <xf numFmtId="0" fontId="18" fillId="0" borderId="33" xfId="0" applyFont="1" applyBorder="1" applyAlignment="1" applyProtection="1">
      <alignment horizontal="left"/>
      <protection locked="0"/>
    </xf>
    <xf numFmtId="0" fontId="18" fillId="0" borderId="92" xfId="0" applyFont="1" applyBorder="1" applyAlignment="1" applyProtection="1">
      <alignment horizontal="left"/>
      <protection locked="0"/>
    </xf>
    <xf numFmtId="0" fontId="18" fillId="0" borderId="81" xfId="0" applyFont="1" applyBorder="1" applyAlignment="1" applyProtection="1">
      <alignment horizontal="left"/>
      <protection locked="0"/>
    </xf>
    <xf numFmtId="0" fontId="18" fillId="0" borderId="54" xfId="0" applyFont="1" applyBorder="1" applyAlignment="1" applyProtection="1">
      <alignment horizontal="left" vertical="top" wrapText="1"/>
      <protection locked="0"/>
    </xf>
    <xf numFmtId="0" fontId="18" fillId="0" borderId="33" xfId="0" applyFont="1" applyBorder="1" applyAlignment="1" applyProtection="1">
      <alignment horizontal="left" vertical="top" wrapText="1"/>
      <protection locked="0"/>
    </xf>
    <xf numFmtId="0" fontId="88" fillId="0" borderId="88" xfId="0" applyFont="1" applyBorder="1" applyAlignment="1" applyProtection="1">
      <alignment horizontal="left" vertical="center"/>
      <protection locked="0"/>
    </xf>
    <xf numFmtId="0" fontId="88" fillId="0" borderId="23" xfId="0" applyFont="1" applyBorder="1" applyAlignment="1" applyProtection="1">
      <alignment horizontal="left" vertical="center"/>
      <protection locked="0"/>
    </xf>
    <xf numFmtId="0" fontId="18" fillId="0" borderId="32" xfId="0" applyFont="1" applyBorder="1" applyAlignment="1" applyProtection="1">
      <alignment horizontal="left" vertical="center"/>
      <protection locked="0"/>
    </xf>
    <xf numFmtId="0" fontId="18" fillId="0" borderId="24" xfId="0" applyFont="1" applyBorder="1" applyAlignment="1" applyProtection="1">
      <alignment horizontal="left" vertical="center"/>
      <protection locked="0"/>
    </xf>
    <xf numFmtId="0" fontId="0" fillId="0" borderId="27" xfId="0" quotePrefix="1" applyBorder="1" applyAlignment="1" applyProtection="1">
      <alignment horizontal="center"/>
      <protection locked="0"/>
    </xf>
    <xf numFmtId="0" fontId="0" fillId="0" borderId="10" xfId="0" quotePrefix="1" applyBorder="1" applyAlignment="1" applyProtection="1">
      <alignment horizontal="center"/>
      <protection locked="0"/>
    </xf>
    <xf numFmtId="0" fontId="18" fillId="0" borderId="0" xfId="0" applyFont="1" applyAlignment="1" applyProtection="1">
      <alignment horizontal="left" vertical="center" wrapText="1" indent="4"/>
      <protection locked="0"/>
    </xf>
    <xf numFmtId="0" fontId="20" fillId="0" borderId="0" xfId="0" applyFont="1" applyAlignment="1" applyProtection="1">
      <alignment horizontal="center"/>
      <protection locked="0"/>
    </xf>
    <xf numFmtId="0" fontId="18" fillId="0" borderId="0" xfId="0" applyFont="1" applyAlignment="1" applyProtection="1">
      <alignment horizontal="left" vertical="top" wrapText="1"/>
      <protection locked="0"/>
    </xf>
    <xf numFmtId="0" fontId="18" fillId="25" borderId="91" xfId="0" applyFont="1" applyFill="1" applyBorder="1" applyAlignment="1" applyProtection="1">
      <protection locked="0"/>
    </xf>
    <xf numFmtId="0" fontId="0" fillId="25" borderId="76" xfId="0" applyFill="1" applyBorder="1" applyAlignment="1" applyProtection="1">
      <protection locked="0"/>
    </xf>
    <xf numFmtId="0" fontId="18" fillId="25" borderId="17" xfId="0" applyFont="1" applyFill="1" applyBorder="1" applyAlignment="1" applyProtection="1">
      <protection locked="0"/>
    </xf>
    <xf numFmtId="0" fontId="0" fillId="25" borderId="19" xfId="0" applyFill="1" applyBorder="1" applyAlignment="1" applyProtection="1">
      <protection locked="0"/>
    </xf>
    <xf numFmtId="0" fontId="18" fillId="25" borderId="73" xfId="0" applyFont="1" applyFill="1" applyBorder="1" applyAlignment="1" applyProtection="1">
      <alignment horizontal="center" vertical="center" wrapText="1"/>
      <protection locked="0"/>
    </xf>
    <xf numFmtId="0" fontId="18" fillId="25" borderId="11" xfId="0" applyFont="1" applyFill="1" applyBorder="1" applyAlignment="1" applyProtection="1">
      <alignment horizontal="center" vertical="center" wrapText="1"/>
      <protection locked="0"/>
    </xf>
    <xf numFmtId="0" fontId="0" fillId="25" borderId="19" xfId="0" applyFill="1" applyBorder="1" applyAlignment="1" applyProtection="1">
      <alignment horizontal="center" vertical="center" wrapText="1"/>
      <protection locked="0"/>
    </xf>
    <xf numFmtId="0" fontId="18" fillId="25" borderId="32" xfId="0" applyFont="1" applyFill="1" applyBorder="1" applyAlignment="1" applyProtection="1">
      <alignment horizontal="center"/>
      <protection locked="0"/>
    </xf>
    <xf numFmtId="0" fontId="18" fillId="25" borderId="24" xfId="0" applyFont="1" applyFill="1" applyBorder="1" applyAlignment="1" applyProtection="1">
      <alignment horizontal="center"/>
      <protection locked="0"/>
    </xf>
    <xf numFmtId="0" fontId="18" fillId="25" borderId="24" xfId="0" applyFont="1" applyFill="1" applyBorder="1" applyAlignment="1" applyProtection="1">
      <alignment horizontal="center" wrapText="1"/>
      <protection locked="0"/>
    </xf>
    <xf numFmtId="0" fontId="18" fillId="25" borderId="10" xfId="0" applyFont="1" applyFill="1" applyBorder="1" applyAlignment="1" applyProtection="1">
      <alignment horizontal="center" wrapText="1"/>
      <protection locked="0"/>
    </xf>
    <xf numFmtId="0" fontId="18" fillId="25" borderId="0" xfId="0" applyFont="1" applyFill="1" applyBorder="1" applyAlignment="1" applyProtection="1">
      <alignment horizontal="center" wrapText="1"/>
      <protection locked="0"/>
    </xf>
    <xf numFmtId="0" fontId="18" fillId="25" borderId="24" xfId="0" applyFont="1" applyFill="1" applyBorder="1" applyAlignment="1" applyProtection="1">
      <alignment horizontal="center" vertical="center" wrapText="1"/>
      <protection locked="0"/>
    </xf>
    <xf numFmtId="0" fontId="18" fillId="25" borderId="10" xfId="0" applyFont="1" applyFill="1" applyBorder="1" applyAlignment="1" applyProtection="1">
      <alignment horizontal="center" vertical="center" wrapText="1"/>
      <protection locked="0"/>
    </xf>
    <xf numFmtId="0" fontId="0" fillId="25" borderId="10" xfId="0" applyFill="1" applyBorder="1" applyAlignment="1" applyProtection="1">
      <alignment horizontal="center" vertical="center" wrapText="1"/>
      <protection locked="0"/>
    </xf>
    <xf numFmtId="0" fontId="18" fillId="25" borderId="62" xfId="0" applyFont="1" applyFill="1" applyBorder="1" applyAlignment="1" applyProtection="1">
      <alignment horizontal="center" wrapText="1"/>
      <protection locked="0"/>
    </xf>
    <xf numFmtId="0" fontId="18" fillId="25" borderId="25" xfId="0" applyFont="1" applyFill="1" applyBorder="1" applyAlignment="1" applyProtection="1">
      <alignment horizontal="center" wrapText="1"/>
      <protection locked="0"/>
    </xf>
    <xf numFmtId="0" fontId="18" fillId="25" borderId="27" xfId="0" applyFont="1" applyFill="1" applyBorder="1" applyAlignment="1" applyProtection="1">
      <protection locked="0"/>
    </xf>
    <xf numFmtId="0" fontId="0" fillId="25" borderId="27" xfId="0" applyFill="1" applyBorder="1" applyAlignment="1" applyProtection="1">
      <protection locked="0"/>
    </xf>
    <xf numFmtId="0" fontId="18" fillId="25" borderId="10" xfId="0" applyFont="1" applyFill="1" applyBorder="1" applyAlignment="1" applyProtection="1">
      <protection locked="0"/>
    </xf>
    <xf numFmtId="0" fontId="0" fillId="25" borderId="10" xfId="0" applyFill="1" applyBorder="1" applyAlignment="1" applyProtection="1">
      <protection locked="0"/>
    </xf>
    <xf numFmtId="0" fontId="22" fillId="0" borderId="0" xfId="46" applyFont="1" applyFill="1" applyAlignment="1" applyProtection="1">
      <alignment horizontal="center" vertical="center"/>
      <protection locked="0"/>
    </xf>
    <xf numFmtId="0" fontId="18" fillId="0" borderId="0" xfId="46" applyFont="1" applyBorder="1" applyAlignment="1" applyProtection="1">
      <alignment horizontal="right" wrapText="1"/>
      <protection locked="0"/>
    </xf>
    <xf numFmtId="0" fontId="15" fillId="0" borderId="12" xfId="46" applyBorder="1" applyAlignment="1" applyProtection="1">
      <alignment wrapText="1"/>
      <protection locked="0"/>
    </xf>
    <xf numFmtId="0" fontId="18" fillId="0" borderId="12" xfId="46" applyFont="1" applyBorder="1" applyAlignment="1" applyProtection="1">
      <alignment horizontal="center" vertical="center"/>
      <protection locked="0"/>
    </xf>
    <xf numFmtId="0" fontId="49" fillId="29" borderId="0" xfId="0" applyFont="1" applyFill="1" applyAlignment="1" applyProtection="1">
      <alignment horizontal="center"/>
      <protection locked="0"/>
    </xf>
    <xf numFmtId="0" fontId="15" fillId="29" borderId="0" xfId="46" applyFill="1" applyAlignment="1" applyProtection="1">
      <protection locked="0"/>
    </xf>
    <xf numFmtId="0" fontId="21" fillId="0" borderId="0" xfId="46" applyFont="1" applyBorder="1" applyAlignment="1" applyProtection="1">
      <alignment horizontal="left"/>
      <protection locked="0"/>
    </xf>
    <xf numFmtId="0" fontId="18" fillId="0" borderId="0" xfId="0" applyFont="1" applyAlignment="1" applyProtection="1">
      <alignment horizontal="center" vertical="center"/>
      <protection locked="0"/>
    </xf>
    <xf numFmtId="0" fontId="18" fillId="0" borderId="0" xfId="0" applyFont="1" applyFill="1" applyAlignment="1" applyProtection="1">
      <alignment horizontal="left" vertical="center" wrapText="1"/>
      <protection locked="0"/>
    </xf>
    <xf numFmtId="0" fontId="15" fillId="0" borderId="0" xfId="0" applyFont="1" applyFill="1" applyAlignment="1" applyProtection="1">
      <alignment horizontal="left" vertical="top" wrapText="1"/>
      <protection locked="0"/>
    </xf>
    <xf numFmtId="0" fontId="0" fillId="0" borderId="27"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18" fillId="84" borderId="76" xfId="0" applyFont="1" applyFill="1" applyBorder="1" applyAlignment="1" applyProtection="1">
      <alignment vertical="top" wrapText="1"/>
      <protection locked="0"/>
    </xf>
    <xf numFmtId="0" fontId="18" fillId="84" borderId="19" xfId="0" applyFont="1" applyFill="1" applyBorder="1" applyAlignment="1" applyProtection="1">
      <alignment vertical="top" wrapText="1"/>
      <protection locked="0"/>
    </xf>
    <xf numFmtId="0" fontId="18" fillId="84" borderId="27" xfId="0" applyFont="1" applyFill="1" applyBorder="1" applyAlignment="1" applyProtection="1">
      <alignment vertical="top" wrapText="1"/>
      <protection locked="0"/>
    </xf>
    <xf numFmtId="0" fontId="18" fillId="84" borderId="10" xfId="0" applyFont="1" applyFill="1" applyBorder="1" applyAlignment="1" applyProtection="1">
      <alignment vertical="top" wrapText="1"/>
      <protection locked="0"/>
    </xf>
    <xf numFmtId="0" fontId="18" fillId="84" borderId="19" xfId="0" applyFont="1" applyFill="1" applyBorder="1" applyAlignment="1" applyProtection="1">
      <alignment horizontal="center" vertical="center" wrapText="1"/>
      <protection locked="0"/>
    </xf>
    <xf numFmtId="0" fontId="18" fillId="84" borderId="10" xfId="0" applyFont="1" applyFill="1" applyBorder="1" applyAlignment="1" applyProtection="1">
      <alignment horizontal="center" vertical="center" wrapText="1"/>
      <protection locked="0"/>
    </xf>
    <xf numFmtId="0" fontId="18" fillId="84" borderId="94" xfId="0" applyFont="1" applyFill="1" applyBorder="1" applyAlignment="1" applyProtection="1">
      <alignment horizontal="left"/>
      <protection locked="0"/>
    </xf>
    <xf numFmtId="0" fontId="18" fillId="84" borderId="73" xfId="0" applyFont="1" applyFill="1" applyBorder="1" applyAlignment="1" applyProtection="1">
      <alignment horizontal="left"/>
      <protection locked="0"/>
    </xf>
    <xf numFmtId="0" fontId="18" fillId="84" borderId="64" xfId="0" applyFont="1" applyFill="1" applyBorder="1" applyAlignment="1" applyProtection="1">
      <alignment horizontal="center" vertical="center" wrapText="1"/>
      <protection locked="0"/>
    </xf>
    <xf numFmtId="0" fontId="18" fillId="84" borderId="25" xfId="0" applyFont="1" applyFill="1" applyBorder="1" applyAlignment="1" applyProtection="1">
      <alignment horizontal="center" vertical="center" wrapText="1"/>
      <protection locked="0"/>
    </xf>
    <xf numFmtId="0" fontId="15" fillId="0" borderId="0" xfId="0" applyFont="1" applyFill="1" applyAlignment="1" applyProtection="1">
      <alignment horizontal="left" vertical="top"/>
      <protection locked="0"/>
    </xf>
    <xf numFmtId="0" fontId="0" fillId="0" borderId="54"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27" xfId="0" applyFill="1" applyBorder="1" applyAlignment="1" applyProtection="1">
      <alignment horizontal="left" vertical="center" wrapText="1"/>
      <protection locked="0"/>
    </xf>
    <xf numFmtId="0" fontId="0" fillId="0" borderId="10" xfId="0" applyFill="1" applyBorder="1" applyAlignment="1" applyProtection="1">
      <alignment horizontal="left" vertical="center" wrapText="1"/>
      <protection locked="0"/>
    </xf>
    <xf numFmtId="0" fontId="15" fillId="0" borderId="91" xfId="0" applyFont="1" applyBorder="1" applyAlignment="1" applyProtection="1">
      <alignment horizontal="left" vertical="center" wrapText="1"/>
      <protection locked="0"/>
    </xf>
    <xf numFmtId="0" fontId="15" fillId="0" borderId="17" xfId="0" applyFont="1" applyBorder="1" applyAlignment="1" applyProtection="1">
      <alignment horizontal="left" vertical="center" wrapText="1"/>
      <protection locked="0"/>
    </xf>
    <xf numFmtId="0" fontId="18" fillId="0" borderId="95" xfId="0" applyFont="1" applyBorder="1" applyAlignment="1" applyProtection="1">
      <alignment horizontal="left"/>
      <protection locked="0"/>
    </xf>
    <xf numFmtId="0" fontId="18" fillId="0" borderId="84" xfId="0" applyFont="1" applyBorder="1" applyAlignment="1" applyProtection="1">
      <alignment horizontal="left"/>
      <protection locked="0"/>
    </xf>
    <xf numFmtId="0" fontId="0" fillId="0" borderId="54" xfId="0" applyBorder="1" applyAlignment="1" applyProtection="1">
      <alignment vertical="top" wrapText="1"/>
      <protection locked="0"/>
    </xf>
    <xf numFmtId="0" fontId="0" fillId="0" borderId="33" xfId="0" applyBorder="1" applyAlignment="1" applyProtection="1">
      <alignment vertical="top" wrapText="1"/>
      <protection locked="0"/>
    </xf>
    <xf numFmtId="0" fontId="15" fillId="0" borderId="92" xfId="0" applyFont="1" applyFill="1" applyBorder="1" applyAlignment="1" applyProtection="1">
      <alignment horizontal="left" vertical="top" wrapText="1"/>
      <protection locked="0"/>
    </xf>
    <xf numFmtId="0" fontId="15" fillId="0" borderId="81" xfId="0" applyFont="1" applyFill="1" applyBorder="1" applyAlignment="1" applyProtection="1">
      <alignment horizontal="left" vertical="top" wrapText="1"/>
      <protection locked="0"/>
    </xf>
    <xf numFmtId="0" fontId="18" fillId="0" borderId="32" xfId="0" applyFont="1" applyFill="1" applyBorder="1" applyAlignment="1" applyProtection="1">
      <alignment horizontal="left" vertical="center" wrapText="1"/>
      <protection locked="0"/>
    </xf>
    <xf numFmtId="0" fontId="18" fillId="0" borderId="24" xfId="0" applyFont="1" applyFill="1" applyBorder="1" applyAlignment="1" applyProtection="1">
      <alignment horizontal="left" vertical="center" wrapText="1"/>
      <protection locked="0"/>
    </xf>
    <xf numFmtId="0" fontId="18" fillId="0" borderId="27" xfId="0" applyFont="1" applyFill="1" applyBorder="1" applyAlignment="1" applyProtection="1">
      <alignment horizontal="left" vertical="center" wrapText="1"/>
      <protection locked="0"/>
    </xf>
    <xf numFmtId="0" fontId="18" fillId="0" borderId="10" xfId="0" applyFont="1" applyFill="1" applyBorder="1" applyAlignment="1" applyProtection="1">
      <alignment horizontal="left" vertical="center" wrapText="1"/>
      <protection locked="0"/>
    </xf>
    <xf numFmtId="0" fontId="18" fillId="0" borderId="74" xfId="0" applyFont="1" applyFill="1" applyBorder="1" applyAlignment="1" applyProtection="1">
      <alignment horizontal="center" vertical="center" wrapText="1"/>
      <protection locked="0"/>
    </xf>
    <xf numFmtId="0" fontId="18" fillId="0" borderId="67" xfId="0" applyFont="1" applyFill="1" applyBorder="1" applyAlignment="1" applyProtection="1">
      <alignment vertical="center" wrapText="1"/>
      <protection locked="0"/>
    </xf>
    <xf numFmtId="0" fontId="18" fillId="0" borderId="64" xfId="0" applyFont="1" applyFill="1" applyBorder="1" applyAlignment="1" applyProtection="1">
      <alignment vertical="center" wrapText="1"/>
      <protection locked="0"/>
    </xf>
    <xf numFmtId="0" fontId="18" fillId="0" borderId="10" xfId="0" applyFont="1" applyFill="1" applyBorder="1" applyAlignment="1" applyProtection="1">
      <alignment horizontal="center" vertical="center" wrapText="1"/>
      <protection locked="0"/>
    </xf>
    <xf numFmtId="0" fontId="18" fillId="0" borderId="54" xfId="0" applyFont="1" applyFill="1" applyBorder="1" applyAlignment="1" applyProtection="1">
      <alignment horizontal="left" vertical="center" wrapText="1"/>
      <protection locked="0"/>
    </xf>
    <xf numFmtId="0" fontId="18" fillId="0" borderId="33" xfId="0" applyFont="1" applyFill="1" applyBorder="1" applyAlignment="1" applyProtection="1">
      <alignment horizontal="left" vertical="center" wrapText="1"/>
      <protection locked="0"/>
    </xf>
    <xf numFmtId="0" fontId="18" fillId="0" borderId="32" xfId="0" applyFont="1" applyFill="1" applyBorder="1" applyAlignment="1" applyProtection="1">
      <alignment vertical="top" wrapText="1"/>
      <protection locked="0"/>
    </xf>
    <xf numFmtId="0" fontId="18" fillId="0" borderId="24" xfId="0" applyFont="1" applyFill="1" applyBorder="1" applyAlignment="1" applyProtection="1">
      <alignment vertical="top" wrapText="1"/>
      <protection locked="0"/>
    </xf>
    <xf numFmtId="0" fontId="18" fillId="0" borderId="27" xfId="0" applyFont="1" applyFill="1" applyBorder="1" applyAlignment="1" applyProtection="1">
      <alignment vertical="top" wrapText="1"/>
      <protection locked="0"/>
    </xf>
    <xf numFmtId="0" fontId="18" fillId="0" borderId="10" xfId="0" applyFont="1" applyFill="1" applyBorder="1" applyAlignment="1" applyProtection="1">
      <alignment vertical="top" wrapText="1"/>
      <protection locked="0"/>
    </xf>
    <xf numFmtId="0" fontId="18" fillId="0" borderId="24" xfId="0" applyFont="1" applyFill="1" applyBorder="1" applyAlignment="1" applyProtection="1">
      <alignment horizontal="center"/>
      <protection locked="0"/>
    </xf>
    <xf numFmtId="0" fontId="0" fillId="0" borderId="64" xfId="0" applyFill="1" applyBorder="1" applyAlignment="1" applyProtection="1">
      <alignment horizontal="center" vertical="center" wrapText="1"/>
      <protection locked="0"/>
    </xf>
    <xf numFmtId="0" fontId="15" fillId="0" borderId="28" xfId="0" applyFont="1" applyFill="1" applyBorder="1" applyAlignment="1" applyProtection="1">
      <alignment vertical="center" wrapText="1"/>
      <protection locked="0"/>
    </xf>
    <xf numFmtId="0" fontId="15" fillId="0" borderId="26" xfId="0" applyFont="1" applyFill="1" applyBorder="1" applyAlignment="1" applyProtection="1">
      <alignment vertical="center" wrapText="1"/>
      <protection locked="0"/>
    </xf>
    <xf numFmtId="0" fontId="18" fillId="0" borderId="0" xfId="46" applyFont="1" applyFill="1" applyAlignment="1" applyProtection="1">
      <alignment horizontal="left" vertical="center" wrapText="1"/>
      <protection locked="0"/>
    </xf>
    <xf numFmtId="0" fontId="18" fillId="0" borderId="49" xfId="46" applyFont="1" applyBorder="1" applyAlignment="1" applyProtection="1">
      <alignment horizontal="center"/>
      <protection locked="0"/>
    </xf>
    <xf numFmtId="0" fontId="18" fillId="0" borderId="179" xfId="46" applyFont="1" applyBorder="1" applyAlignment="1" applyProtection="1">
      <alignment horizontal="center"/>
      <protection locked="0"/>
    </xf>
    <xf numFmtId="0" fontId="18" fillId="0" borderId="32" xfId="46" applyFont="1" applyBorder="1" applyAlignment="1" applyProtection="1">
      <alignment horizontal="center"/>
      <protection locked="0"/>
    </xf>
    <xf numFmtId="0" fontId="18" fillId="0" borderId="62" xfId="46" applyFont="1" applyBorder="1" applyAlignment="1" applyProtection="1">
      <alignment horizontal="center"/>
      <protection locked="0"/>
    </xf>
    <xf numFmtId="0" fontId="15" fillId="0" borderId="91" xfId="46" applyFont="1" applyBorder="1" applyAlignment="1" applyProtection="1">
      <alignment wrapText="1"/>
      <protection locked="0"/>
    </xf>
    <xf numFmtId="0" fontId="15" fillId="0" borderId="46" xfId="46" applyFont="1" applyBorder="1" applyAlignment="1" applyProtection="1">
      <alignment wrapText="1"/>
      <protection locked="0"/>
    </xf>
    <xf numFmtId="0" fontId="15" fillId="29" borderId="0" xfId="0" applyFont="1" applyFill="1" applyBorder="1" applyAlignment="1" applyProtection="1">
      <alignment horizontal="left" vertical="center" wrapText="1"/>
      <protection locked="0"/>
    </xf>
    <xf numFmtId="0" fontId="15" fillId="24" borderId="0" xfId="0" applyFont="1" applyFill="1" applyBorder="1" applyAlignment="1" applyProtection="1">
      <alignment horizontal="left" vertical="center" wrapText="1"/>
      <protection locked="0"/>
    </xf>
    <xf numFmtId="0" fontId="15" fillId="0" borderId="43" xfId="0" applyFont="1" applyBorder="1" applyAlignment="1" applyProtection="1">
      <alignment wrapText="1"/>
      <protection locked="0"/>
    </xf>
    <xf numFmtId="0" fontId="15" fillId="0" borderId="41" xfId="0" applyFont="1" applyBorder="1" applyAlignment="1" applyProtection="1">
      <alignment wrapText="1"/>
      <protection locked="0"/>
    </xf>
    <xf numFmtId="0" fontId="142" fillId="0" borderId="0" xfId="0" applyFont="1" applyFill="1" applyAlignment="1" applyProtection="1">
      <alignment horizontal="center" vertical="center"/>
      <protection locked="0"/>
    </xf>
    <xf numFmtId="9" fontId="15" fillId="29" borderId="29" xfId="42" applyFont="1" applyFill="1" applyBorder="1" applyAlignment="1" applyProtection="1">
      <alignment wrapText="1"/>
      <protection locked="0"/>
    </xf>
    <xf numFmtId="9" fontId="15" fillId="24" borderId="31" xfId="42" applyFont="1" applyFill="1" applyBorder="1" applyAlignment="1" applyProtection="1">
      <alignment wrapText="1"/>
      <protection locked="0"/>
    </xf>
    <xf numFmtId="10" fontId="15" fillId="0" borderId="43" xfId="42" applyNumberFormat="1" applyFont="1" applyBorder="1" applyAlignment="1" applyProtection="1">
      <alignment horizontal="center" vertical="center"/>
      <protection locked="0"/>
    </xf>
    <xf numFmtId="10" fontId="15" fillId="0" borderId="41" xfId="42" applyNumberFormat="1" applyFont="1" applyBorder="1" applyAlignment="1" applyProtection="1">
      <alignment horizontal="center" vertical="center"/>
      <protection locked="0"/>
    </xf>
    <xf numFmtId="0" fontId="21" fillId="0" borderId="0" xfId="0" applyFont="1" applyAlignment="1" applyProtection="1">
      <alignment horizontal="center"/>
      <protection locked="0"/>
    </xf>
    <xf numFmtId="0" fontId="18" fillId="84" borderId="32" xfId="0" applyFont="1" applyFill="1" applyBorder="1" applyAlignment="1" applyProtection="1">
      <alignment horizontal="center"/>
      <protection locked="0"/>
    </xf>
    <xf numFmtId="0" fontId="18" fillId="84" borderId="24" xfId="0" applyFont="1" applyFill="1" applyBorder="1" applyAlignment="1" applyProtection="1">
      <alignment horizontal="center"/>
      <protection locked="0"/>
    </xf>
    <xf numFmtId="0" fontId="18" fillId="84" borderId="27" xfId="0" applyFont="1" applyFill="1" applyBorder="1" applyAlignment="1" applyProtection="1">
      <alignment horizontal="center"/>
      <protection locked="0"/>
    </xf>
    <xf numFmtId="0" fontId="18" fillId="84" borderId="10" xfId="0" applyFont="1" applyFill="1" applyBorder="1" applyAlignment="1" applyProtection="1">
      <alignment horizontal="center"/>
      <protection locked="0"/>
    </xf>
    <xf numFmtId="0" fontId="18" fillId="84" borderId="79" xfId="0" applyFont="1" applyFill="1" applyBorder="1" applyAlignment="1" applyProtection="1">
      <alignment horizontal="center"/>
      <protection locked="0"/>
    </xf>
    <xf numFmtId="0" fontId="18" fillId="84" borderId="89" xfId="0" applyFont="1" applyFill="1" applyBorder="1" applyAlignment="1" applyProtection="1">
      <alignment horizontal="center"/>
      <protection locked="0"/>
    </xf>
    <xf numFmtId="0" fontId="18" fillId="84" borderId="50" xfId="0" applyFont="1" applyFill="1" applyBorder="1" applyAlignment="1" applyProtection="1">
      <alignment horizontal="center"/>
      <protection locked="0"/>
    </xf>
    <xf numFmtId="0" fontId="18" fillId="84" borderId="74" xfId="0" applyFont="1" applyFill="1" applyBorder="1" applyAlignment="1" applyProtection="1">
      <alignment horizontal="center" vertical="center" wrapText="1"/>
      <protection locked="0"/>
    </xf>
    <xf numFmtId="0" fontId="0" fillId="84" borderId="64" xfId="0" applyFill="1" applyBorder="1" applyAlignment="1" applyProtection="1">
      <alignment horizontal="center" vertical="center" wrapText="1"/>
      <protection locked="0"/>
    </xf>
    <xf numFmtId="0" fontId="46" fillId="27" borderId="75" xfId="0" applyFont="1" applyFill="1" applyBorder="1" applyAlignment="1" applyProtection="1">
      <alignment horizontal="left"/>
      <protection locked="0"/>
    </xf>
    <xf numFmtId="0" fontId="46" fillId="27" borderId="13" xfId="0" applyFont="1" applyFill="1" applyBorder="1" applyAlignment="1" applyProtection="1">
      <alignment horizontal="left"/>
      <protection locked="0"/>
    </xf>
    <xf numFmtId="0" fontId="46" fillId="27" borderId="51" xfId="0" applyFont="1" applyFill="1" applyBorder="1" applyAlignment="1" applyProtection="1">
      <alignment horizontal="left"/>
      <protection locked="0"/>
    </xf>
    <xf numFmtId="0" fontId="46" fillId="27" borderId="75" xfId="0" applyFont="1" applyFill="1" applyBorder="1" applyAlignment="1" applyProtection="1">
      <alignment horizontal="left" vertical="top" wrapText="1"/>
      <protection locked="0"/>
    </xf>
    <xf numFmtId="0" fontId="46" fillId="27" borderId="13" xfId="0" applyFont="1" applyFill="1" applyBorder="1" applyAlignment="1" applyProtection="1">
      <alignment horizontal="left" vertical="top" wrapText="1"/>
      <protection locked="0"/>
    </xf>
    <xf numFmtId="0" fontId="46" fillId="27" borderId="51" xfId="0" applyFont="1" applyFill="1" applyBorder="1" applyAlignment="1" applyProtection="1">
      <alignment horizontal="left" vertical="top" wrapText="1"/>
      <protection locked="0"/>
    </xf>
    <xf numFmtId="0" fontId="38" fillId="0" borderId="0" xfId="0" applyFont="1" applyAlignment="1" applyProtection="1">
      <alignment vertical="top" wrapText="1"/>
      <protection locked="0"/>
    </xf>
    <xf numFmtId="0" fontId="15" fillId="0" borderId="0" xfId="0" applyFont="1" applyAlignment="1" applyProtection="1">
      <alignment vertical="top" wrapText="1"/>
      <protection locked="0"/>
    </xf>
    <xf numFmtId="0" fontId="38" fillId="0" borderId="0" xfId="0" applyFont="1" applyAlignment="1" applyProtection="1">
      <alignment horizontal="left"/>
      <protection locked="0"/>
    </xf>
    <xf numFmtId="0" fontId="45" fillId="0" borderId="0" xfId="0" applyFont="1" applyAlignment="1" applyProtection="1">
      <alignment horizontal="left"/>
      <protection locked="0"/>
    </xf>
    <xf numFmtId="0" fontId="46" fillId="0" borderId="0" xfId="0" applyFont="1" applyAlignment="1" applyProtection="1">
      <alignment vertical="top" wrapText="1"/>
      <protection locked="0"/>
    </xf>
    <xf numFmtId="0" fontId="45" fillId="0" borderId="0" xfId="0" applyFont="1" applyAlignment="1" applyProtection="1">
      <alignment vertical="top" wrapText="1"/>
      <protection locked="0"/>
    </xf>
    <xf numFmtId="0" fontId="15" fillId="0" borderId="0" xfId="46" applyFont="1" applyAlignment="1" applyProtection="1">
      <alignment horizontal="center" vertical="top"/>
      <protection locked="0"/>
    </xf>
    <xf numFmtId="0" fontId="15" fillId="0" borderId="0" xfId="46" applyFont="1" applyAlignment="1" applyProtection="1">
      <alignment horizontal="center" vertical="top" wrapText="1"/>
      <protection locked="0"/>
    </xf>
    <xf numFmtId="0" fontId="15" fillId="29" borderId="58" xfId="46" applyFill="1" applyBorder="1" applyAlignment="1" applyProtection="1">
      <alignment horizontal="left" wrapText="1"/>
      <protection locked="0"/>
    </xf>
    <xf numFmtId="0" fontId="15" fillId="29" borderId="14" xfId="46" applyFill="1" applyBorder="1" applyAlignment="1" applyProtection="1">
      <alignment horizontal="left" wrapText="1"/>
      <protection locked="0"/>
    </xf>
    <xf numFmtId="0" fontId="15" fillId="29" borderId="87" xfId="46" applyFill="1" applyBorder="1" applyAlignment="1" applyProtection="1">
      <alignment horizontal="left" wrapText="1"/>
      <protection locked="0"/>
    </xf>
    <xf numFmtId="0" fontId="18" fillId="0" borderId="46" xfId="46" applyFont="1" applyBorder="1" applyAlignment="1" applyProtection="1">
      <alignment horizontal="left" wrapText="1"/>
      <protection locked="0"/>
    </xf>
    <xf numFmtId="0" fontId="18" fillId="0" borderId="30" xfId="46" applyFont="1" applyBorder="1" applyAlignment="1" applyProtection="1">
      <alignment horizontal="left" wrapText="1"/>
      <protection locked="0"/>
    </xf>
    <xf numFmtId="0" fontId="18" fillId="0" borderId="39" xfId="46" applyFont="1" applyBorder="1" applyAlignment="1" applyProtection="1">
      <alignment horizontal="left" wrapText="1"/>
      <protection locked="0"/>
    </xf>
    <xf numFmtId="0" fontId="15" fillId="0" borderId="54" xfId="46" applyBorder="1" applyAlignment="1" applyProtection="1">
      <alignment horizontal="left" wrapText="1"/>
      <protection locked="0"/>
    </xf>
    <xf numFmtId="0" fontId="15" fillId="0" borderId="13" xfId="46" applyBorder="1" applyAlignment="1" applyProtection="1">
      <alignment horizontal="left" wrapText="1"/>
      <protection locked="0"/>
    </xf>
    <xf numFmtId="0" fontId="15" fillId="0" borderId="33" xfId="46" applyBorder="1" applyAlignment="1" applyProtection="1">
      <alignment horizontal="left" wrapText="1"/>
      <protection locked="0"/>
    </xf>
    <xf numFmtId="0" fontId="15" fillId="0" borderId="48" xfId="46" applyBorder="1" applyAlignment="1" applyProtection="1">
      <alignment horizontal="left" wrapText="1"/>
      <protection locked="0"/>
    </xf>
    <xf numFmtId="0" fontId="15" fillId="0" borderId="0" xfId="46" applyBorder="1" applyAlignment="1" applyProtection="1">
      <alignment horizontal="left" wrapText="1"/>
      <protection locked="0"/>
    </xf>
    <xf numFmtId="0" fontId="15" fillId="0" borderId="15" xfId="46" applyBorder="1" applyAlignment="1" applyProtection="1">
      <alignment horizontal="left" wrapText="1"/>
      <protection locked="0"/>
    </xf>
    <xf numFmtId="0" fontId="15" fillId="0" borderId="90" xfId="46" applyBorder="1" applyAlignment="1" applyProtection="1">
      <alignment horizontal="left" wrapText="1"/>
      <protection locked="0"/>
    </xf>
    <xf numFmtId="0" fontId="15" fillId="0" borderId="83" xfId="46" applyBorder="1" applyAlignment="1" applyProtection="1">
      <alignment horizontal="left" wrapText="1"/>
      <protection locked="0"/>
    </xf>
    <xf numFmtId="0" fontId="15" fillId="0" borderId="18" xfId="46" applyBorder="1" applyAlignment="1" applyProtection="1">
      <alignment horizontal="left" wrapText="1"/>
      <protection locked="0"/>
    </xf>
    <xf numFmtId="0" fontId="15" fillId="0" borderId="54" xfId="46" applyFont="1" applyBorder="1" applyAlignment="1" applyProtection="1">
      <alignment horizontal="left" wrapText="1"/>
      <protection locked="0"/>
    </xf>
    <xf numFmtId="0" fontId="22" fillId="0" borderId="0" xfId="46" applyFont="1" applyAlignment="1" applyProtection="1">
      <alignment horizontal="center" wrapText="1"/>
      <protection locked="0"/>
    </xf>
    <xf numFmtId="0" fontId="15" fillId="0" borderId="0" xfId="46" applyAlignment="1" applyProtection="1">
      <alignment wrapText="1"/>
      <protection locked="0"/>
    </xf>
    <xf numFmtId="0" fontId="18" fillId="0" borderId="71" xfId="46" applyFont="1" applyFill="1" applyBorder="1" applyAlignment="1" applyProtection="1">
      <alignment vertical="center" wrapText="1"/>
      <protection locked="0"/>
    </xf>
    <xf numFmtId="0" fontId="18" fillId="0" borderId="0" xfId="46" applyFont="1" applyFill="1" applyBorder="1" applyAlignment="1" applyProtection="1">
      <alignment vertical="center" wrapText="1"/>
      <protection locked="0"/>
    </xf>
    <xf numFmtId="0" fontId="18" fillId="0" borderId="12" xfId="46" applyFont="1" applyFill="1" applyBorder="1" applyAlignment="1" applyProtection="1">
      <alignment vertical="center" wrapText="1"/>
      <protection locked="0"/>
    </xf>
    <xf numFmtId="0" fontId="59" fillId="69" borderId="0" xfId="46" applyFont="1" applyFill="1" applyAlignment="1" applyProtection="1">
      <alignment horizontal="left" vertical="top" wrapText="1"/>
      <protection locked="0"/>
    </xf>
    <xf numFmtId="0" fontId="15" fillId="0" borderId="54" xfId="46" applyBorder="1" applyAlignment="1" applyProtection="1">
      <alignment horizontal="left" vertical="center" wrapText="1"/>
      <protection locked="0"/>
    </xf>
    <xf numFmtId="0" fontId="15" fillId="0" borderId="13" xfId="46" applyBorder="1" applyAlignment="1" applyProtection="1">
      <alignment horizontal="left" vertical="center" wrapText="1"/>
      <protection locked="0"/>
    </xf>
    <xf numFmtId="0" fontId="15" fillId="0" borderId="33" xfId="46" applyBorder="1" applyAlignment="1" applyProtection="1">
      <alignment horizontal="left" vertical="center" wrapText="1"/>
      <protection locked="0"/>
    </xf>
    <xf numFmtId="0" fontId="15" fillId="0" borderId="48" xfId="46" applyBorder="1" applyAlignment="1" applyProtection="1">
      <alignment horizontal="left" vertical="center" wrapText="1"/>
      <protection locked="0"/>
    </xf>
    <xf numFmtId="0" fontId="15" fillId="0" borderId="0" xfId="46" applyBorder="1" applyAlignment="1" applyProtection="1">
      <alignment horizontal="left" vertical="center" wrapText="1"/>
      <protection locked="0"/>
    </xf>
    <xf numFmtId="0" fontId="15" fillId="0" borderId="15" xfId="46" applyBorder="1" applyAlignment="1" applyProtection="1">
      <alignment horizontal="left" vertical="center" wrapText="1"/>
      <protection locked="0"/>
    </xf>
    <xf numFmtId="0" fontId="15" fillId="0" borderId="90" xfId="46" applyBorder="1" applyAlignment="1" applyProtection="1">
      <alignment horizontal="left" vertical="center" wrapText="1"/>
      <protection locked="0"/>
    </xf>
    <xf numFmtId="0" fontId="15" fillId="0" borderId="83" xfId="46" applyBorder="1" applyAlignment="1" applyProtection="1">
      <alignment horizontal="left" vertical="center" wrapText="1"/>
      <protection locked="0"/>
    </xf>
    <xf numFmtId="0" fontId="15" fillId="0" borderId="18" xfId="46" applyBorder="1" applyAlignment="1" applyProtection="1">
      <alignment horizontal="left" vertical="center" wrapText="1"/>
      <protection locked="0"/>
    </xf>
    <xf numFmtId="0" fontId="18" fillId="0" borderId="32" xfId="46" applyFont="1" applyFill="1" applyBorder="1" applyAlignment="1" applyProtection="1">
      <alignment vertical="center" wrapText="1"/>
      <protection locked="0"/>
    </xf>
    <xf numFmtId="0" fontId="18" fillId="0" borderId="24" xfId="46" applyFont="1" applyFill="1" applyBorder="1" applyAlignment="1" applyProtection="1">
      <alignment vertical="center" wrapText="1"/>
      <protection locked="0"/>
    </xf>
    <xf numFmtId="0" fontId="18" fillId="0" borderId="27" xfId="46" applyFont="1" applyFill="1" applyBorder="1" applyAlignment="1" applyProtection="1">
      <alignment vertical="center" wrapText="1"/>
      <protection locked="0"/>
    </xf>
    <xf numFmtId="0" fontId="18" fillId="0" borderId="10" xfId="46" applyFont="1" applyFill="1" applyBorder="1" applyAlignment="1" applyProtection="1">
      <alignment vertical="center" wrapText="1"/>
      <protection locked="0"/>
    </xf>
    <xf numFmtId="0" fontId="18" fillId="67" borderId="43" xfId="46" applyFont="1" applyFill="1" applyBorder="1" applyAlignment="1" applyProtection="1">
      <alignment horizontal="center" wrapText="1"/>
      <protection locked="0"/>
    </xf>
    <xf numFmtId="0" fontId="15" fillId="67" borderId="40" xfId="46" applyFill="1" applyBorder="1" applyAlignment="1" applyProtection="1">
      <alignment horizontal="center" wrapText="1"/>
      <protection locked="0"/>
    </xf>
    <xf numFmtId="0" fontId="15" fillId="67" borderId="93" xfId="46" applyFill="1" applyBorder="1" applyAlignment="1" applyProtection="1">
      <alignment horizontal="center" wrapText="1"/>
      <protection locked="0"/>
    </xf>
    <xf numFmtId="0" fontId="18" fillId="67" borderId="43" xfId="46" applyFont="1" applyFill="1" applyBorder="1" applyAlignment="1" applyProtection="1">
      <alignment horizontal="center" vertical="center"/>
      <protection locked="0"/>
    </xf>
    <xf numFmtId="0" fontId="18" fillId="67" borderId="40" xfId="46" applyFont="1" applyFill="1" applyBorder="1" applyAlignment="1" applyProtection="1">
      <alignment horizontal="center" vertical="center"/>
      <protection locked="0"/>
    </xf>
    <xf numFmtId="0" fontId="18" fillId="67" borderId="43" xfId="46" applyFont="1" applyFill="1" applyBorder="1" applyAlignment="1" applyProtection="1">
      <alignment horizontal="center" vertical="center" wrapText="1"/>
      <protection locked="0"/>
    </xf>
    <xf numFmtId="0" fontId="18" fillId="67" borderId="40" xfId="46" applyFont="1" applyFill="1" applyBorder="1" applyAlignment="1" applyProtection="1">
      <alignment horizontal="center" vertical="center" wrapText="1"/>
      <protection locked="0"/>
    </xf>
    <xf numFmtId="0" fontId="18" fillId="67" borderId="93" xfId="46" applyFont="1" applyFill="1" applyBorder="1" applyAlignment="1" applyProtection="1">
      <alignment horizontal="center" vertical="center" wrapText="1"/>
      <protection locked="0"/>
    </xf>
    <xf numFmtId="0" fontId="18" fillId="67" borderId="40" xfId="46" applyFont="1" applyFill="1" applyBorder="1" applyAlignment="1" applyProtection="1">
      <alignment horizontal="center" wrapText="1"/>
      <protection locked="0"/>
    </xf>
    <xf numFmtId="0" fontId="18" fillId="67" borderId="93" xfId="46" applyFont="1" applyFill="1" applyBorder="1" applyAlignment="1" applyProtection="1">
      <alignment horizontal="center" wrapText="1"/>
      <protection locked="0"/>
    </xf>
    <xf numFmtId="0" fontId="18" fillId="84" borderId="43" xfId="0" applyFont="1" applyFill="1" applyBorder="1" applyAlignment="1" applyProtection="1">
      <alignment horizontal="center" vertical="center" wrapText="1"/>
      <protection locked="0"/>
    </xf>
    <xf numFmtId="0" fontId="18" fillId="84" borderId="41" xfId="0" applyFont="1" applyFill="1" applyBorder="1" applyAlignment="1" applyProtection="1">
      <alignment horizontal="center" vertical="center" wrapText="1"/>
      <protection locked="0"/>
    </xf>
    <xf numFmtId="0" fontId="18" fillId="84" borderId="65" xfId="0" applyFont="1" applyFill="1" applyBorder="1" applyAlignment="1" applyProtection="1">
      <alignment horizontal="center" vertical="center"/>
      <protection locked="0"/>
    </xf>
    <xf numFmtId="0" fontId="18" fillId="84" borderId="22" xfId="0" applyFont="1" applyFill="1" applyBorder="1" applyAlignment="1" applyProtection="1">
      <alignment horizontal="center" vertical="center"/>
      <protection locked="0"/>
    </xf>
    <xf numFmtId="0" fontId="18" fillId="84" borderId="88" xfId="0" applyFont="1" applyFill="1" applyBorder="1" applyAlignment="1" applyProtection="1">
      <alignment horizontal="center" vertical="center" wrapText="1"/>
      <protection locked="0"/>
    </xf>
    <xf numFmtId="0" fontId="18" fillId="84" borderId="65" xfId="0" applyFont="1" applyFill="1" applyBorder="1" applyAlignment="1" applyProtection="1">
      <alignment horizontal="center" vertical="center" wrapText="1"/>
      <protection locked="0"/>
    </xf>
    <xf numFmtId="0" fontId="18" fillId="84" borderId="22" xfId="0" applyFont="1" applyFill="1" applyBorder="1" applyAlignment="1" applyProtection="1">
      <alignment horizontal="center" vertical="center" wrapText="1"/>
      <protection locked="0"/>
    </xf>
    <xf numFmtId="0" fontId="18" fillId="84" borderId="45" xfId="0" applyFont="1" applyFill="1" applyBorder="1" applyAlignment="1" applyProtection="1">
      <alignment horizontal="center" vertical="center" wrapText="1"/>
      <protection locked="0"/>
    </xf>
    <xf numFmtId="0" fontId="18" fillId="84" borderId="31" xfId="0" applyFont="1" applyFill="1" applyBorder="1" applyAlignment="1" applyProtection="1">
      <alignment horizontal="center" vertical="center" wrapText="1"/>
      <protection locked="0"/>
    </xf>
    <xf numFmtId="0" fontId="18" fillId="84" borderId="30" xfId="0" applyFont="1" applyFill="1" applyBorder="1" applyAlignment="1" applyProtection="1">
      <alignment horizontal="center" vertical="center"/>
      <protection locked="0"/>
    </xf>
    <xf numFmtId="0" fontId="18" fillId="84" borderId="31" xfId="0" applyFont="1" applyFill="1" applyBorder="1" applyAlignment="1" applyProtection="1">
      <alignment horizontal="center" vertical="center"/>
      <protection locked="0"/>
    </xf>
    <xf numFmtId="0" fontId="18" fillId="84" borderId="88" xfId="0" applyFont="1" applyFill="1" applyBorder="1" applyAlignment="1" applyProtection="1">
      <alignment horizontal="center" vertical="center"/>
      <protection locked="0"/>
    </xf>
    <xf numFmtId="0" fontId="18" fillId="84" borderId="29" xfId="0" applyFont="1" applyFill="1" applyBorder="1" applyAlignment="1" applyProtection="1">
      <alignment horizontal="left" vertical="center"/>
      <protection locked="0"/>
    </xf>
    <xf numFmtId="0" fontId="15" fillId="29" borderId="75" xfId="46" applyFont="1" applyFill="1" applyBorder="1" applyAlignment="1" applyProtection="1">
      <alignment horizontal="left" vertical="top"/>
      <protection locked="0"/>
    </xf>
    <xf numFmtId="0" fontId="15" fillId="29" borderId="13" xfId="46" applyFont="1" applyFill="1" applyBorder="1" applyAlignment="1" applyProtection="1">
      <alignment horizontal="left" vertical="top"/>
      <protection locked="0"/>
    </xf>
    <xf numFmtId="0" fontId="15" fillId="29" borderId="33" xfId="46" applyFont="1" applyFill="1" applyBorder="1" applyAlignment="1" applyProtection="1">
      <alignment horizontal="left" vertical="top"/>
      <protection locked="0"/>
    </xf>
    <xf numFmtId="0" fontId="44" fillId="25" borderId="0" xfId="46" applyFont="1" applyFill="1" applyBorder="1" applyAlignment="1" applyProtection="1">
      <alignment horizontal="left" indent="7"/>
    </xf>
    <xf numFmtId="0" fontId="22" fillId="0" borderId="0" xfId="46" applyFont="1" applyAlignment="1" applyProtection="1">
      <alignment horizontal="center"/>
    </xf>
    <xf numFmtId="0" fontId="15" fillId="0" borderId="0" xfId="46" applyFont="1" applyAlignment="1" applyProtection="1">
      <alignment horizontal="left" vertical="top" wrapText="1"/>
    </xf>
    <xf numFmtId="0" fontId="18" fillId="0" borderId="75" xfId="46" applyFont="1" applyBorder="1" applyAlignment="1" applyProtection="1">
      <alignment horizontal="left" vertical="center" wrapText="1"/>
    </xf>
    <xf numFmtId="0" fontId="18" fillId="0" borderId="13" xfId="46" applyFont="1" applyBorder="1" applyAlignment="1" applyProtection="1">
      <alignment horizontal="left" vertical="center"/>
    </xf>
    <xf numFmtId="0" fontId="18" fillId="0" borderId="33" xfId="46" applyFont="1" applyBorder="1" applyAlignment="1" applyProtection="1">
      <alignment horizontal="left" vertical="center"/>
    </xf>
    <xf numFmtId="0" fontId="18" fillId="0" borderId="10" xfId="46" applyFont="1" applyBorder="1" applyAlignment="1" applyProtection="1">
      <alignment horizontal="center" vertical="center"/>
    </xf>
    <xf numFmtId="0" fontId="18" fillId="72" borderId="10" xfId="46" applyFont="1" applyFill="1" applyBorder="1" applyAlignment="1" applyProtection="1">
      <alignment horizontal="center" vertical="center"/>
    </xf>
    <xf numFmtId="0" fontId="18" fillId="80" borderId="10" xfId="46" applyFont="1" applyFill="1" applyBorder="1" applyAlignment="1" applyProtection="1">
      <alignment horizontal="center" vertical="center"/>
    </xf>
    <xf numFmtId="0" fontId="15" fillId="29" borderId="10" xfId="46" applyFont="1" applyFill="1" applyBorder="1" applyAlignment="1" applyProtection="1">
      <alignment horizontal="left" vertical="top"/>
      <protection locked="0"/>
    </xf>
    <xf numFmtId="0" fontId="15" fillId="29" borderId="10" xfId="46" applyFill="1" applyBorder="1" applyAlignment="1" applyProtection="1">
      <alignment horizontal="left" vertical="top"/>
      <protection locked="0"/>
    </xf>
    <xf numFmtId="0" fontId="18" fillId="0" borderId="107" xfId="46" applyFont="1" applyBorder="1" applyAlignment="1" applyProtection="1">
      <alignment horizontal="left" vertical="center" wrapText="1"/>
    </xf>
    <xf numFmtId="0" fontId="18" fillId="0" borderId="83" xfId="46" applyFont="1" applyBorder="1" applyAlignment="1" applyProtection="1">
      <alignment horizontal="left" vertical="center"/>
    </xf>
    <xf numFmtId="0" fontId="18" fillId="0" borderId="18" xfId="46" applyFont="1" applyBorder="1" applyAlignment="1" applyProtection="1">
      <alignment horizontal="left" vertical="center"/>
    </xf>
    <xf numFmtId="0" fontId="18" fillId="0" borderId="111" xfId="46" applyFont="1" applyBorder="1" applyAlignment="1" applyProtection="1">
      <alignment horizontal="left" vertical="center"/>
    </xf>
    <xf numFmtId="0" fontId="18" fillId="0" borderId="0" xfId="46" applyFont="1" applyBorder="1" applyAlignment="1" applyProtection="1">
      <alignment horizontal="left" vertical="center"/>
    </xf>
    <xf numFmtId="0" fontId="18" fillId="0" borderId="15" xfId="46" applyFont="1" applyBorder="1" applyAlignment="1" applyProtection="1">
      <alignment horizontal="left" vertical="center"/>
    </xf>
    <xf numFmtId="0" fontId="18" fillId="0" borderId="77" xfId="46" applyFont="1" applyBorder="1" applyAlignment="1" applyProtection="1">
      <alignment horizontal="left" vertical="center"/>
    </xf>
    <xf numFmtId="0" fontId="18" fillId="0" borderId="12" xfId="46" applyFont="1" applyBorder="1" applyAlignment="1" applyProtection="1">
      <alignment horizontal="left" vertical="center"/>
    </xf>
    <xf numFmtId="0" fontId="18" fillId="0" borderId="16" xfId="46" applyFont="1" applyBorder="1" applyAlignment="1" applyProtection="1">
      <alignment horizontal="left" vertical="center"/>
    </xf>
    <xf numFmtId="0" fontId="15" fillId="67" borderId="10" xfId="46" applyFont="1" applyFill="1" applyBorder="1" applyAlignment="1" applyProtection="1">
      <alignment horizontal="left" vertical="top"/>
    </xf>
    <xf numFmtId="0" fontId="15" fillId="67" borderId="10" xfId="46" applyFill="1" applyBorder="1" applyAlignment="1" applyProtection="1">
      <alignment horizontal="left" vertical="top"/>
    </xf>
    <xf numFmtId="0" fontId="18" fillId="0" borderId="0" xfId="46" applyFont="1" applyAlignment="1" applyProtection="1">
      <alignment horizontal="center" wrapText="1"/>
      <protection locked="0"/>
    </xf>
    <xf numFmtId="0" fontId="15" fillId="0" borderId="0" xfId="46" applyAlignment="1" applyProtection="1">
      <alignment horizontal="center" wrapText="1"/>
      <protection locked="0"/>
    </xf>
    <xf numFmtId="0" fontId="18" fillId="0" borderId="11" xfId="46" applyFont="1" applyFill="1" applyBorder="1" applyAlignment="1" applyProtection="1">
      <alignment horizontal="center" wrapText="1"/>
      <protection locked="0"/>
    </xf>
    <xf numFmtId="0" fontId="15" fillId="0" borderId="19" xfId="46" applyBorder="1" applyAlignment="1" applyProtection="1">
      <alignment wrapText="1"/>
      <protection locked="0"/>
    </xf>
    <xf numFmtId="0" fontId="18" fillId="0" borderId="15" xfId="46" applyFont="1" applyFill="1" applyBorder="1" applyAlignment="1" applyProtection="1">
      <alignment horizontal="center" wrapText="1"/>
      <protection locked="0"/>
    </xf>
    <xf numFmtId="0" fontId="15" fillId="0" borderId="16" xfId="46" applyBorder="1" applyAlignment="1" applyProtection="1">
      <alignment wrapText="1"/>
      <protection locked="0"/>
    </xf>
    <xf numFmtId="0" fontId="46" fillId="0" borderId="0" xfId="46" applyFont="1" applyAlignment="1" applyProtection="1">
      <alignment horizontal="left" vertical="top" wrapText="1" indent="1"/>
      <protection locked="0"/>
    </xf>
    <xf numFmtId="0" fontId="18" fillId="65" borderId="0" xfId="46" applyFont="1" applyFill="1" applyAlignment="1" applyProtection="1">
      <alignment horizontal="left" vertical="top" wrapText="1"/>
      <protection locked="0"/>
    </xf>
    <xf numFmtId="0" fontId="18" fillId="67" borderId="10" xfId="46" applyFont="1" applyFill="1" applyBorder="1" applyAlignment="1" applyProtection="1">
      <alignment horizontal="left" vertical="top"/>
      <protection locked="0"/>
    </xf>
    <xf numFmtId="0" fontId="18" fillId="0" borderId="75" xfId="46" applyFont="1" applyBorder="1" applyAlignment="1" applyProtection="1">
      <alignment horizontal="center"/>
      <protection locked="0"/>
    </xf>
    <xf numFmtId="0" fontId="18" fillId="0" borderId="13" xfId="46" applyFont="1" applyBorder="1" applyAlignment="1" applyProtection="1">
      <alignment horizontal="center"/>
      <protection locked="0"/>
    </xf>
    <xf numFmtId="0" fontId="18" fillId="0" borderId="33" xfId="46" applyFont="1" applyBorder="1" applyAlignment="1" applyProtection="1">
      <alignment horizontal="center"/>
      <protection locked="0"/>
    </xf>
    <xf numFmtId="0" fontId="15" fillId="0" borderId="51" xfId="46" applyBorder="1" applyAlignment="1" applyProtection="1">
      <alignment horizontal="left" wrapText="1"/>
      <protection locked="0"/>
    </xf>
    <xf numFmtId="166" fontId="15" fillId="29" borderId="54" xfId="29" applyNumberFormat="1" applyFill="1" applyBorder="1" applyAlignment="1" applyProtection="1">
      <protection locked="0"/>
    </xf>
    <xf numFmtId="0" fontId="15" fillId="29" borderId="13" xfId="46" applyFill="1" applyBorder="1" applyAlignment="1" applyProtection="1">
      <protection locked="0"/>
    </xf>
    <xf numFmtId="0" fontId="15" fillId="29" borderId="51" xfId="46" applyFill="1" applyBorder="1" applyAlignment="1" applyProtection="1">
      <protection locked="0"/>
    </xf>
    <xf numFmtId="0" fontId="15" fillId="29" borderId="90" xfId="46" applyFill="1" applyBorder="1" applyAlignment="1" applyProtection="1">
      <alignment horizontal="left" wrapText="1"/>
      <protection locked="0"/>
    </xf>
    <xf numFmtId="0" fontId="15" fillId="29" borderId="83" xfId="46" applyFill="1" applyBorder="1" applyAlignment="1" applyProtection="1">
      <alignment horizontal="left" wrapText="1"/>
      <protection locked="0"/>
    </xf>
    <xf numFmtId="0" fontId="15" fillId="29" borderId="59" xfId="46" applyFill="1" applyBorder="1" applyAlignment="1" applyProtection="1">
      <alignment horizontal="left" wrapText="1"/>
      <protection locked="0"/>
    </xf>
    <xf numFmtId="166" fontId="15" fillId="29" borderId="90" xfId="29" applyNumberFormat="1" applyFill="1" applyBorder="1" applyAlignment="1" applyProtection="1">
      <protection locked="0"/>
    </xf>
    <xf numFmtId="0" fontId="15" fillId="29" borderId="83" xfId="46" applyFill="1" applyBorder="1" applyAlignment="1" applyProtection="1">
      <protection locked="0"/>
    </xf>
    <xf numFmtId="0" fontId="15" fillId="29" borderId="59" xfId="46" applyFill="1" applyBorder="1" applyAlignment="1" applyProtection="1">
      <protection locked="0"/>
    </xf>
    <xf numFmtId="0" fontId="18" fillId="0" borderId="61" xfId="46" applyFont="1" applyBorder="1" applyAlignment="1" applyProtection="1">
      <alignment horizontal="left"/>
      <protection locked="0"/>
    </xf>
    <xf numFmtId="0" fontId="18" fillId="0" borderId="108" xfId="46" applyFont="1" applyBorder="1" applyAlignment="1" applyProtection="1">
      <alignment horizontal="left"/>
      <protection locked="0"/>
    </xf>
    <xf numFmtId="0" fontId="18" fillId="0" borderId="109" xfId="46" applyFont="1" applyBorder="1" applyAlignment="1" applyProtection="1">
      <alignment horizontal="left"/>
      <protection locked="0"/>
    </xf>
    <xf numFmtId="166" fontId="15" fillId="29" borderId="61" xfId="29" applyNumberFormat="1" applyFill="1" applyBorder="1" applyAlignment="1" applyProtection="1">
      <protection locked="0"/>
    </xf>
    <xf numFmtId="0" fontId="15" fillId="29" borderId="108" xfId="46" applyFill="1" applyBorder="1" applyAlignment="1" applyProtection="1">
      <protection locked="0"/>
    </xf>
    <xf numFmtId="0" fontId="15" fillId="29" borderId="109" xfId="46" applyFill="1" applyBorder="1" applyAlignment="1" applyProtection="1">
      <protection locked="0"/>
    </xf>
    <xf numFmtId="0" fontId="15" fillId="0" borderId="29" xfId="46" applyBorder="1" applyAlignment="1" applyProtection="1">
      <alignment horizontal="left" wrapText="1"/>
      <protection locked="0"/>
    </xf>
    <xf numFmtId="0" fontId="15" fillId="0" borderId="59" xfId="46" applyBorder="1" applyAlignment="1" applyProtection="1">
      <alignment horizontal="left" wrapText="1"/>
      <protection locked="0"/>
    </xf>
    <xf numFmtId="0" fontId="18" fillId="0" borderId="54" xfId="46" applyFont="1" applyBorder="1" applyAlignment="1" applyProtection="1">
      <alignment horizontal="left" wrapText="1"/>
      <protection locked="0"/>
    </xf>
    <xf numFmtId="0" fontId="18" fillId="0" borderId="13" xfId="46" applyFont="1" applyBorder="1" applyAlignment="1" applyProtection="1">
      <alignment horizontal="left" wrapText="1"/>
      <protection locked="0"/>
    </xf>
    <xf numFmtId="0" fontId="18" fillId="0" borderId="51" xfId="46" applyFont="1" applyBorder="1" applyAlignment="1" applyProtection="1">
      <alignment horizontal="left" wrapText="1"/>
      <protection locked="0"/>
    </xf>
    <xf numFmtId="0" fontId="15" fillId="0" borderId="53" xfId="46" applyFont="1" applyFill="1" applyBorder="1" applyAlignment="1" applyProtection="1">
      <alignment horizontal="left" vertical="center" wrapText="1"/>
      <protection locked="0"/>
    </xf>
    <xf numFmtId="0" fontId="15" fillId="0" borderId="12" xfId="46" applyFont="1" applyFill="1" applyBorder="1" applyAlignment="1" applyProtection="1">
      <alignment horizontal="left" vertical="center" wrapText="1"/>
      <protection locked="0"/>
    </xf>
    <xf numFmtId="0" fontId="15" fillId="0" borderId="55" xfId="46" applyFont="1" applyFill="1" applyBorder="1" applyAlignment="1" applyProtection="1">
      <alignment horizontal="left" vertical="center" wrapText="1"/>
      <protection locked="0"/>
    </xf>
    <xf numFmtId="166" fontId="15" fillId="29" borderId="13" xfId="29" applyNumberFormat="1" applyFill="1" applyBorder="1" applyAlignment="1" applyProtection="1">
      <protection locked="0"/>
    </xf>
    <xf numFmtId="0" fontId="15" fillId="0" borderId="52" xfId="46" applyBorder="1" applyAlignment="1" applyProtection="1">
      <alignment horizontal="left" wrapText="1"/>
      <protection locked="0"/>
    </xf>
    <xf numFmtId="0" fontId="15" fillId="0" borderId="121" xfId="46" applyBorder="1" applyAlignment="1" applyProtection="1">
      <alignment horizontal="left" wrapText="1"/>
      <protection locked="0"/>
    </xf>
    <xf numFmtId="0" fontId="15" fillId="0" borderId="56" xfId="46" applyBorder="1" applyAlignment="1" applyProtection="1">
      <alignment horizontal="left" wrapText="1"/>
      <protection locked="0"/>
    </xf>
    <xf numFmtId="166" fontId="15" fillId="0" borderId="52" xfId="29" applyNumberFormat="1" applyFill="1" applyBorder="1" applyAlignment="1" applyProtection="1">
      <protection locked="0"/>
    </xf>
    <xf numFmtId="0" fontId="15" fillId="0" borderId="121" xfId="46" applyFill="1" applyBorder="1" applyAlignment="1" applyProtection="1">
      <protection locked="0"/>
    </xf>
    <xf numFmtId="0" fontId="15" fillId="0" borderId="56" xfId="46" applyFill="1" applyBorder="1" applyAlignment="1" applyProtection="1">
      <protection locked="0"/>
    </xf>
    <xf numFmtId="0" fontId="15" fillId="0" borderId="131" xfId="46" applyBorder="1" applyAlignment="1" applyProtection="1">
      <alignment horizontal="left" wrapText="1"/>
      <protection locked="0"/>
    </xf>
    <xf numFmtId="0" fontId="15" fillId="0" borderId="132" xfId="46" applyBorder="1" applyAlignment="1" applyProtection="1">
      <alignment horizontal="left" wrapText="1"/>
      <protection locked="0"/>
    </xf>
    <xf numFmtId="0" fontId="15" fillId="0" borderId="133" xfId="46" applyBorder="1" applyAlignment="1" applyProtection="1">
      <alignment horizontal="left" wrapText="1"/>
      <protection locked="0"/>
    </xf>
    <xf numFmtId="0" fontId="15" fillId="0" borderId="48" xfId="46" applyFont="1" applyFill="1" applyBorder="1" applyAlignment="1" applyProtection="1">
      <alignment horizontal="left" vertical="center" wrapText="1"/>
      <protection locked="0"/>
    </xf>
    <xf numFmtId="0" fontId="15" fillId="0" borderId="0" xfId="46" applyFont="1" applyFill="1" applyBorder="1" applyAlignment="1" applyProtection="1">
      <alignment horizontal="left" vertical="center" wrapText="1"/>
      <protection locked="0"/>
    </xf>
    <xf numFmtId="0" fontId="15" fillId="0" borderId="29" xfId="46" applyFont="1" applyFill="1" applyBorder="1" applyAlignment="1" applyProtection="1">
      <alignment horizontal="left" vertical="center" wrapText="1"/>
      <protection locked="0"/>
    </xf>
    <xf numFmtId="166" fontId="15" fillId="29" borderId="53" xfId="29" applyNumberFormat="1" applyFill="1" applyBorder="1" applyAlignment="1" applyProtection="1">
      <protection locked="0"/>
    </xf>
    <xf numFmtId="0" fontId="15" fillId="29" borderId="12" xfId="46" applyFill="1" applyBorder="1" applyAlignment="1" applyProtection="1">
      <protection locked="0"/>
    </xf>
    <xf numFmtId="0" fontId="15" fillId="29" borderId="55" xfId="46" applyFill="1" applyBorder="1" applyAlignment="1" applyProtection="1">
      <protection locked="0"/>
    </xf>
    <xf numFmtId="0" fontId="15" fillId="0" borderId="90" xfId="46" applyFont="1" applyFill="1" applyBorder="1" applyAlignment="1" applyProtection="1">
      <alignment horizontal="left" vertical="center" wrapText="1"/>
      <protection locked="0"/>
    </xf>
    <xf numFmtId="0" fontId="15" fillId="0" borderId="83" xfId="46" applyFont="1" applyFill="1" applyBorder="1" applyAlignment="1" applyProtection="1">
      <alignment horizontal="left" vertical="center" wrapText="1"/>
      <protection locked="0"/>
    </xf>
    <xf numFmtId="0" fontId="15" fillId="0" borderId="59" xfId="46" applyFont="1" applyFill="1" applyBorder="1" applyAlignment="1" applyProtection="1">
      <alignment horizontal="left" vertical="center" wrapText="1"/>
      <protection locked="0"/>
    </xf>
    <xf numFmtId="0" fontId="15" fillId="0" borderId="54" xfId="46" applyFont="1" applyFill="1" applyBorder="1" applyAlignment="1" applyProtection="1">
      <alignment horizontal="left" vertical="center" wrapText="1"/>
      <protection locked="0"/>
    </xf>
    <xf numFmtId="0" fontId="15" fillId="0" borderId="13" xfId="46" applyFont="1" applyFill="1" applyBorder="1" applyAlignment="1" applyProtection="1">
      <alignment horizontal="left" vertical="center" wrapText="1"/>
      <protection locked="0"/>
    </xf>
    <xf numFmtId="0" fontId="15" fillId="0" borderId="51" xfId="46" applyFont="1" applyFill="1" applyBorder="1" applyAlignment="1" applyProtection="1">
      <alignment horizontal="left" vertical="center" wrapText="1"/>
      <protection locked="0"/>
    </xf>
    <xf numFmtId="0" fontId="18" fillId="0" borderId="45" xfId="46" applyFont="1" applyFill="1" applyBorder="1" applyAlignment="1" applyProtection="1">
      <alignment vertical="center" wrapText="1"/>
      <protection locked="0"/>
    </xf>
    <xf numFmtId="0" fontId="18" fillId="0" borderId="29" xfId="46" applyFont="1" applyFill="1" applyBorder="1" applyAlignment="1" applyProtection="1">
      <alignment vertical="center" wrapText="1"/>
      <protection locked="0"/>
    </xf>
    <xf numFmtId="0" fontId="18" fillId="0" borderId="46" xfId="46" applyFont="1" applyFill="1" applyBorder="1" applyAlignment="1" applyProtection="1">
      <alignment vertical="center" wrapText="1"/>
      <protection locked="0"/>
    </xf>
    <xf numFmtId="0" fontId="18" fillId="0" borderId="30" xfId="46" applyFont="1" applyFill="1" applyBorder="1" applyAlignment="1" applyProtection="1">
      <alignment vertical="center" wrapText="1"/>
      <protection locked="0"/>
    </xf>
    <xf numFmtId="0" fontId="18" fillId="0" borderId="31" xfId="46" applyFont="1" applyFill="1" applyBorder="1" applyAlignment="1" applyProtection="1">
      <alignment vertical="center" wrapText="1"/>
      <protection locked="0"/>
    </xf>
    <xf numFmtId="0" fontId="18" fillId="0" borderId="70" xfId="46" applyFont="1" applyFill="1" applyBorder="1" applyAlignment="1" applyProtection="1">
      <alignment horizontal="center"/>
      <protection locked="0"/>
    </xf>
    <xf numFmtId="0" fontId="15" fillId="0" borderId="71" xfId="46" applyFill="1" applyBorder="1" applyAlignment="1" applyProtection="1">
      <protection locked="0"/>
    </xf>
    <xf numFmtId="0" fontId="15" fillId="0" borderId="45" xfId="46" applyFill="1" applyBorder="1" applyAlignment="1" applyProtection="1">
      <protection locked="0"/>
    </xf>
    <xf numFmtId="0" fontId="18" fillId="0" borderId="48" xfId="46" applyFont="1" applyFill="1" applyBorder="1" applyAlignment="1" applyProtection="1">
      <alignment horizontal="center"/>
      <protection locked="0"/>
    </xf>
    <xf numFmtId="0" fontId="15" fillId="0" borderId="0" xfId="46" applyFill="1" applyBorder="1" applyAlignment="1" applyProtection="1">
      <protection locked="0"/>
    </xf>
    <xf numFmtId="0" fontId="15" fillId="0" borderId="29" xfId="46" applyFill="1" applyBorder="1" applyAlignment="1" applyProtection="1">
      <protection locked="0"/>
    </xf>
    <xf numFmtId="0" fontId="18" fillId="0" borderId="40" xfId="46" applyFont="1" applyFill="1" applyBorder="1" applyAlignment="1" applyProtection="1">
      <alignment horizontal="center" wrapText="1"/>
      <protection locked="0"/>
    </xf>
    <xf numFmtId="0" fontId="18" fillId="0" borderId="41" xfId="46" applyFont="1" applyFill="1" applyBorder="1" applyAlignment="1" applyProtection="1">
      <alignment horizontal="center" wrapText="1"/>
      <protection locked="0"/>
    </xf>
    <xf numFmtId="0" fontId="122" fillId="74" borderId="158" xfId="0" applyFont="1" applyFill="1" applyBorder="1" applyAlignment="1" applyProtection="1">
      <alignment horizontal="left" vertical="top" wrapText="1"/>
      <protection locked="0"/>
    </xf>
    <xf numFmtId="0" fontId="120" fillId="67" borderId="0" xfId="0" applyFont="1" applyFill="1" applyBorder="1" applyAlignment="1" applyProtection="1">
      <alignment horizontal="left" vertical="center" wrapText="1"/>
      <protection locked="0"/>
    </xf>
    <xf numFmtId="179" fontId="120" fillId="67" borderId="0" xfId="0" applyNumberFormat="1" applyFont="1" applyFill="1" applyBorder="1" applyAlignment="1" applyProtection="1">
      <alignment horizontal="left" vertical="center" wrapText="1"/>
      <protection locked="0"/>
    </xf>
    <xf numFmtId="0" fontId="66" fillId="29" borderId="10" xfId="0" applyFont="1" applyFill="1" applyBorder="1" applyAlignment="1" applyProtection="1">
      <alignment horizontal="left" vertical="top" wrapText="1"/>
      <protection locked="0"/>
    </xf>
    <xf numFmtId="179" fontId="66" fillId="29" borderId="10" xfId="0" applyNumberFormat="1" applyFont="1" applyFill="1" applyBorder="1" applyAlignment="1" applyProtection="1">
      <alignment horizontal="left" vertical="top" wrapText="1"/>
      <protection locked="0"/>
    </xf>
    <xf numFmtId="0" fontId="17" fillId="0" borderId="0" xfId="46" applyFont="1" applyAlignment="1" applyProtection="1">
      <alignment horizontal="right" vertical="top"/>
      <protection locked="0"/>
    </xf>
    <xf numFmtId="49" fontId="0" fillId="0" borderId="0" xfId="0" applyNumberFormat="1" applyAlignment="1" applyProtection="1">
      <alignment horizontal="left" vertical="center" wrapText="1"/>
      <protection locked="0"/>
    </xf>
    <xf numFmtId="0" fontId="18" fillId="73" borderId="163" xfId="0" applyFont="1" applyFill="1" applyBorder="1" applyAlignment="1" applyProtection="1">
      <alignment vertical="center"/>
      <protection locked="0"/>
    </xf>
    <xf numFmtId="0" fontId="18" fillId="73" borderId="127" xfId="0" applyFont="1" applyFill="1" applyBorder="1" applyAlignment="1" applyProtection="1">
      <alignment vertical="center"/>
      <protection locked="0"/>
    </xf>
    <xf numFmtId="0" fontId="18" fillId="73" borderId="165" xfId="0" applyFont="1" applyFill="1" applyBorder="1" applyAlignment="1" applyProtection="1">
      <alignment vertical="center"/>
      <protection locked="0"/>
    </xf>
    <xf numFmtId="0" fontId="20" fillId="67" borderId="0" xfId="0" applyFont="1" applyFill="1" applyBorder="1" applyAlignment="1" applyProtection="1">
      <alignment horizontal="left" vertical="top"/>
      <protection locked="0"/>
    </xf>
    <xf numFmtId="0" fontId="20" fillId="67" borderId="167" xfId="0" applyFont="1" applyFill="1" applyBorder="1" applyAlignment="1" applyProtection="1">
      <alignment horizontal="left" vertical="top"/>
      <protection locked="0"/>
    </xf>
    <xf numFmtId="14" fontId="17" fillId="29" borderId="0" xfId="46" quotePrefix="1" applyNumberFormat="1" applyFont="1" applyFill="1" applyAlignment="1" applyProtection="1">
      <alignment horizontal="right" vertical="top"/>
      <protection locked="0"/>
    </xf>
    <xf numFmtId="0" fontId="17" fillId="29" borderId="0" xfId="46" applyFont="1" applyFill="1" applyAlignment="1" applyProtection="1">
      <alignment horizontal="right" vertical="top"/>
      <protection locked="0"/>
    </xf>
    <xf numFmtId="0" fontId="17" fillId="29" borderId="0" xfId="46" applyFont="1" applyFill="1" applyBorder="1" applyAlignment="1" applyProtection="1">
      <alignment horizontal="right" vertical="top"/>
      <protection locked="0"/>
    </xf>
    <xf numFmtId="0" fontId="125" fillId="0" borderId="0" xfId="0" applyFont="1" applyAlignment="1" applyProtection="1">
      <alignment horizontal="center" vertical="center" wrapText="1"/>
      <protection locked="0"/>
    </xf>
    <xf numFmtId="0" fontId="120" fillId="0" borderId="0" xfId="0" applyFont="1" applyAlignment="1" applyProtection="1">
      <alignment horizontal="center" vertical="center" wrapText="1"/>
      <protection locked="0"/>
    </xf>
    <xf numFmtId="0" fontId="126" fillId="0" borderId="0" xfId="0" applyFont="1" applyAlignment="1" applyProtection="1">
      <alignment horizontal="center" vertical="center" wrapText="1"/>
      <protection locked="0"/>
    </xf>
    <xf numFmtId="0" fontId="121" fillId="0" borderId="0" xfId="0" applyFont="1" applyAlignment="1" applyProtection="1">
      <alignment horizontal="center" vertical="center" wrapText="1"/>
      <protection locked="0"/>
    </xf>
    <xf numFmtId="0" fontId="127" fillId="0" borderId="0" xfId="0" applyFont="1" applyAlignment="1" applyProtection="1">
      <alignment horizontal="right" vertical="center" wrapText="1"/>
      <protection locked="0"/>
    </xf>
    <xf numFmtId="0" fontId="122" fillId="67" borderId="0" xfId="0" applyFont="1" applyFill="1" applyBorder="1" applyAlignment="1" applyProtection="1">
      <alignment horizontal="left" vertical="top"/>
      <protection locked="0"/>
    </xf>
    <xf numFmtId="0" fontId="122" fillId="67" borderId="160" xfId="0" applyFont="1" applyFill="1" applyBorder="1" applyAlignment="1" applyProtection="1">
      <alignment horizontal="left" vertical="top"/>
      <protection locked="0"/>
    </xf>
    <xf numFmtId="0" fontId="122" fillId="67" borderId="0" xfId="0" applyFont="1" applyFill="1" applyBorder="1" applyAlignment="1" applyProtection="1">
      <alignment horizontal="left" vertical="top" indent="2"/>
      <protection locked="0"/>
    </xf>
    <xf numFmtId="0" fontId="122" fillId="67" borderId="160" xfId="0" applyFont="1" applyFill="1" applyBorder="1" applyAlignment="1" applyProtection="1">
      <alignment horizontal="left" vertical="top" indent="2"/>
      <protection locked="0"/>
    </xf>
    <xf numFmtId="0" fontId="122" fillId="29" borderId="102" xfId="0" applyFont="1" applyFill="1" applyBorder="1" applyAlignment="1" applyProtection="1">
      <alignment horizontal="left" vertical="top" indent="2"/>
      <protection locked="0"/>
    </xf>
    <xf numFmtId="0" fontId="122" fillId="29" borderId="171" xfId="0" applyFont="1" applyFill="1" applyBorder="1" applyAlignment="1" applyProtection="1">
      <alignment horizontal="left" vertical="top" indent="2"/>
      <protection locked="0"/>
    </xf>
    <xf numFmtId="0" fontId="122" fillId="29" borderId="0" xfId="0" applyFont="1" applyFill="1" applyBorder="1" applyAlignment="1" applyProtection="1">
      <alignment horizontal="left" vertical="top" indent="2"/>
      <protection locked="0"/>
    </xf>
    <xf numFmtId="0" fontId="122" fillId="29" borderId="160" xfId="0" applyFont="1" applyFill="1" applyBorder="1" applyAlignment="1" applyProtection="1">
      <alignment horizontal="left" vertical="top" indent="2"/>
      <protection locked="0"/>
    </xf>
    <xf numFmtId="0" fontId="85" fillId="0" borderId="0" xfId="0" applyFont="1" applyFill="1" applyAlignment="1" applyProtection="1">
      <alignment horizontal="left" vertical="top" wrapText="1"/>
      <protection locked="0"/>
    </xf>
    <xf numFmtId="179" fontId="85" fillId="0" borderId="0" xfId="0" applyNumberFormat="1" applyFont="1" applyFill="1" applyAlignment="1" applyProtection="1">
      <alignment horizontal="left" vertical="top" wrapText="1"/>
      <protection locked="0"/>
    </xf>
    <xf numFmtId="0" fontId="17" fillId="28" borderId="102" xfId="100" applyFont="1" applyFill="1" applyBorder="1" applyAlignment="1" applyProtection="1">
      <alignment horizontal="left" vertical="center"/>
      <protection locked="0"/>
    </xf>
    <xf numFmtId="0" fontId="17" fillId="28" borderId="127" xfId="100" applyFont="1" applyFill="1" applyBorder="1" applyAlignment="1" applyProtection="1">
      <alignment horizontal="left" vertical="center"/>
      <protection locked="0"/>
    </xf>
    <xf numFmtId="0" fontId="17" fillId="28" borderId="165" xfId="100" applyFont="1" applyFill="1" applyBorder="1" applyAlignment="1" applyProtection="1">
      <alignment horizontal="left" vertical="center"/>
      <protection locked="0"/>
    </xf>
    <xf numFmtId="0" fontId="122" fillId="74" borderId="127" xfId="0" applyFont="1" applyFill="1" applyBorder="1" applyAlignment="1" applyProtection="1">
      <alignment horizontal="left" vertical="top" wrapText="1"/>
      <protection locked="0"/>
    </xf>
    <xf numFmtId="0" fontId="122" fillId="74" borderId="165" xfId="0" applyFont="1" applyFill="1" applyBorder="1" applyAlignment="1" applyProtection="1">
      <alignment horizontal="left" vertical="top" wrapText="1"/>
      <protection locked="0"/>
    </xf>
    <xf numFmtId="0" fontId="122" fillId="74" borderId="174" xfId="0" applyFont="1" applyFill="1" applyBorder="1" applyAlignment="1" applyProtection="1">
      <alignment horizontal="left" vertical="top" wrapText="1"/>
      <protection locked="0"/>
    </xf>
    <xf numFmtId="0" fontId="122" fillId="74" borderId="173" xfId="0" applyFont="1" applyFill="1" applyBorder="1" applyAlignment="1" applyProtection="1">
      <alignment horizontal="left" vertical="top" wrapText="1"/>
      <protection locked="0"/>
    </xf>
    <xf numFmtId="0" fontId="17" fillId="28" borderId="102" xfId="100" applyFont="1" applyFill="1" applyBorder="1" applyAlignment="1" applyProtection="1">
      <alignment horizontal="left" vertical="top"/>
      <protection locked="0"/>
    </xf>
    <xf numFmtId="179" fontId="122" fillId="67" borderId="0" xfId="0" applyNumberFormat="1" applyFont="1" applyFill="1" applyBorder="1" applyAlignment="1" applyProtection="1">
      <alignment horizontal="left" vertical="top"/>
      <protection locked="0"/>
    </xf>
    <xf numFmtId="179" fontId="122" fillId="67" borderId="160" xfId="0" applyNumberFormat="1" applyFont="1" applyFill="1" applyBorder="1" applyAlignment="1" applyProtection="1">
      <alignment horizontal="left" vertical="top"/>
      <protection locked="0"/>
    </xf>
    <xf numFmtId="0" fontId="122" fillId="28" borderId="102" xfId="0" applyFont="1" applyFill="1" applyBorder="1" applyAlignment="1" applyProtection="1">
      <alignment horizontal="left" vertical="top"/>
      <protection locked="0"/>
    </xf>
    <xf numFmtId="0" fontId="122" fillId="67" borderId="0" xfId="0" applyFont="1" applyFill="1" applyBorder="1" applyAlignment="1" applyProtection="1">
      <alignment horizontal="left" vertical="top" indent="5"/>
      <protection locked="0"/>
    </xf>
    <xf numFmtId="0" fontId="122" fillId="67" borderId="160" xfId="0" applyFont="1" applyFill="1" applyBorder="1" applyAlignment="1" applyProtection="1">
      <alignment horizontal="left" vertical="top" indent="5"/>
      <protection locked="0"/>
    </xf>
    <xf numFmtId="185" fontId="15" fillId="0" borderId="10" xfId="104" applyNumberFormat="1" applyFont="1" applyFill="1" applyBorder="1" applyAlignment="1" applyProtection="1">
      <alignment horizontal="center" vertical="center"/>
      <protection locked="0"/>
    </xf>
    <xf numFmtId="185" fontId="91" fillId="0" borderId="10" xfId="104" applyNumberFormat="1" applyFont="1" applyFill="1" applyBorder="1" applyAlignment="1" applyProtection="1">
      <alignment horizontal="center" vertical="center"/>
      <protection locked="0"/>
    </xf>
    <xf numFmtId="185" fontId="18" fillId="65" borderId="26" xfId="104" applyNumberFormat="1" applyFont="1" applyFill="1" applyBorder="1" applyAlignment="1" applyProtection="1">
      <alignment horizontal="center" vertical="center"/>
      <protection locked="0"/>
    </xf>
    <xf numFmtId="185" fontId="18" fillId="72" borderId="75" xfId="104" applyNumberFormat="1" applyFont="1" applyFill="1" applyBorder="1" applyAlignment="1" applyProtection="1">
      <alignment horizontal="center" vertical="center"/>
      <protection locked="0"/>
    </xf>
    <xf numFmtId="185" fontId="18" fillId="72" borderId="33" xfId="104" applyNumberFormat="1" applyFont="1" applyFill="1" applyBorder="1" applyAlignment="1" applyProtection="1">
      <alignment horizontal="center" vertical="center"/>
      <protection locked="0"/>
    </xf>
    <xf numFmtId="185" fontId="18" fillId="65" borderId="10" xfId="104" applyNumberFormat="1" applyFont="1" applyFill="1" applyBorder="1" applyAlignment="1" applyProtection="1">
      <alignment horizontal="center" vertical="center"/>
      <protection locked="0"/>
    </xf>
    <xf numFmtId="185" fontId="15" fillId="0" borderId="10" xfId="103" applyNumberFormat="1" applyFont="1" applyFill="1" applyBorder="1" applyAlignment="1" applyProtection="1">
      <alignment horizontal="center" vertical="center"/>
      <protection locked="0"/>
    </xf>
    <xf numFmtId="185" fontId="18" fillId="0" borderId="10" xfId="104" applyNumberFormat="1" applyFont="1" applyFill="1" applyBorder="1" applyAlignment="1" applyProtection="1">
      <alignment horizontal="center" vertical="center"/>
      <protection locked="0"/>
    </xf>
    <xf numFmtId="0" fontId="122" fillId="0" borderId="0" xfId="0" applyFont="1" applyAlignment="1" applyProtection="1">
      <alignment horizontal="left" vertical="top"/>
      <protection locked="0"/>
    </xf>
  </cellXfs>
  <cellStyles count="171">
    <cellStyle name="$" xfId="111"/>
    <cellStyle name="$.00" xfId="112"/>
    <cellStyle name="$_9. Rev2Cost_GDPIPI" xfId="113"/>
    <cellStyle name="$_lists" xfId="114"/>
    <cellStyle name="$_lists_4. Current Monthly Fixed Charge" xfId="115"/>
    <cellStyle name="$_Sheet4" xfId="116"/>
    <cellStyle name="$M" xfId="117"/>
    <cellStyle name="$M.00" xfId="118"/>
    <cellStyle name="$M_9. Rev2Cost_GDPIPI" xfId="119"/>
    <cellStyle name="20% - Accent1" xfId="1" builtinId="30" customBuiltin="1"/>
    <cellStyle name="20% - Accent1 2" xfId="67"/>
    <cellStyle name="20% - Accent1 2 2" xfId="144"/>
    <cellStyle name="20% - Accent2" xfId="2" builtinId="34" customBuiltin="1"/>
    <cellStyle name="20% - Accent2 2" xfId="71"/>
    <cellStyle name="20% - Accent2 2 2" xfId="146"/>
    <cellStyle name="20% - Accent3" xfId="3" builtinId="38" customBuiltin="1"/>
    <cellStyle name="20% - Accent3 2" xfId="75"/>
    <cellStyle name="20% - Accent3 2 2" xfId="148"/>
    <cellStyle name="20% - Accent4" xfId="4" builtinId="42" customBuiltin="1"/>
    <cellStyle name="20% - Accent4 2" xfId="79"/>
    <cellStyle name="20% - Accent4 2 2" xfId="150"/>
    <cellStyle name="20% - Accent5" xfId="5" builtinId="46" customBuiltin="1"/>
    <cellStyle name="20% - Accent5 2" xfId="83"/>
    <cellStyle name="20% - Accent5 2 2" xfId="152"/>
    <cellStyle name="20% - Accent6" xfId="6" builtinId="50" customBuiltin="1"/>
    <cellStyle name="20% - Accent6 2" xfId="87"/>
    <cellStyle name="20% - Accent6 2 2" xfId="154"/>
    <cellStyle name="40% - Accent1" xfId="7" builtinId="31" customBuiltin="1"/>
    <cellStyle name="40% - Accent1 2" xfId="68"/>
    <cellStyle name="40% - Accent1 2 2" xfId="145"/>
    <cellStyle name="40% - Accent2" xfId="8" builtinId="35" customBuiltin="1"/>
    <cellStyle name="40% - Accent2 2" xfId="72"/>
    <cellStyle name="40% - Accent2 2 2" xfId="147"/>
    <cellStyle name="40% - Accent3" xfId="9" builtinId="39" customBuiltin="1"/>
    <cellStyle name="40% - Accent3 2" xfId="76"/>
    <cellStyle name="40% - Accent3 2 2" xfId="149"/>
    <cellStyle name="40% - Accent4" xfId="10" builtinId="43" customBuiltin="1"/>
    <cellStyle name="40% - Accent4 2" xfId="80"/>
    <cellStyle name="40% - Accent4 2 2" xfId="151"/>
    <cellStyle name="40% - Accent5" xfId="11" builtinId="47" customBuiltin="1"/>
    <cellStyle name="40% - Accent5 2" xfId="84"/>
    <cellStyle name="40% - Accent5 2 2" xfId="153"/>
    <cellStyle name="40% - Accent6" xfId="12" builtinId="51" customBuiltin="1"/>
    <cellStyle name="40% - Accent6 2" xfId="88"/>
    <cellStyle name="40% - Accent6 2 2" xfId="155"/>
    <cellStyle name="60% - Accent1" xfId="13" builtinId="32" customBuiltin="1"/>
    <cellStyle name="60% - Accent1 2" xfId="69"/>
    <cellStyle name="60% - Accent2" xfId="14" builtinId="36" customBuiltin="1"/>
    <cellStyle name="60% - Accent2 2" xfId="73"/>
    <cellStyle name="60% - Accent3" xfId="15" builtinId="40" customBuiltin="1"/>
    <cellStyle name="60% - Accent3 2" xfId="77"/>
    <cellStyle name="60% - Accent4" xfId="16" builtinId="44" customBuiltin="1"/>
    <cellStyle name="60% - Accent4 2" xfId="81"/>
    <cellStyle name="60% - Accent5" xfId="17" builtinId="48" customBuiltin="1"/>
    <cellStyle name="60% - Accent5 2" xfId="85"/>
    <cellStyle name="60% - Accent6" xfId="18" builtinId="52" customBuiltin="1"/>
    <cellStyle name="60% - Accent6 2" xfId="89"/>
    <cellStyle name="Accent1" xfId="19" builtinId="29" customBuiltin="1"/>
    <cellStyle name="Accent1 2" xfId="66"/>
    <cellStyle name="Accent2" xfId="20" builtinId="33" customBuiltin="1"/>
    <cellStyle name="Accent2 2" xfId="70"/>
    <cellStyle name="Accent3" xfId="21" builtinId="37" customBuiltin="1"/>
    <cellStyle name="Accent3 2" xfId="74"/>
    <cellStyle name="Accent4" xfId="22" builtinId="41" customBuiltin="1"/>
    <cellStyle name="Accent4 2" xfId="78"/>
    <cellStyle name="Accent5" xfId="23" builtinId="45" customBuiltin="1"/>
    <cellStyle name="Accent5 2" xfId="82"/>
    <cellStyle name="Accent6" xfId="24" builtinId="49" customBuiltin="1"/>
    <cellStyle name="Accent6 2" xfId="86"/>
    <cellStyle name="Bad" xfId="25" builtinId="27" customBuiltin="1"/>
    <cellStyle name="Bad 2" xfId="55"/>
    <cellStyle name="Calculation" xfId="26" builtinId="22" customBuiltin="1"/>
    <cellStyle name="Calculation 2" xfId="59"/>
    <cellStyle name="Check Cell" xfId="27" builtinId="23" customBuiltin="1"/>
    <cellStyle name="Check Cell 2" xfId="61"/>
    <cellStyle name="Comma" xfId="28" builtinId="3"/>
    <cellStyle name="Comma 2" xfId="91"/>
    <cellStyle name="Comma 2 2" xfId="157"/>
    <cellStyle name="Comma 3" xfId="94"/>
    <cellStyle name="Comma 3 2" xfId="135"/>
    <cellStyle name="Comma 3 2 2" xfId="167"/>
    <cellStyle name="Comma 3 3" xfId="160"/>
    <cellStyle name="Comma 4" xfId="109"/>
    <cellStyle name="Comma 4 2" xfId="165"/>
    <cellStyle name="Comma 5" xfId="169"/>
    <cellStyle name="Comma0" xfId="120"/>
    <cellStyle name="Currency" xfId="29" builtinId="4"/>
    <cellStyle name="Currency 2" xfId="108"/>
    <cellStyle name="Currency 2 2" xfId="164"/>
    <cellStyle name="Currency 3" xfId="137"/>
    <cellStyle name="Currency_Final - 2004 RAM for rate schedule - milton_2008_IRM_Model_Final Model_Version2.0" xfId="104"/>
    <cellStyle name="Currency0" xfId="121"/>
    <cellStyle name="Date" xfId="122"/>
    <cellStyle name="Explanatory Text" xfId="30" builtinId="53" customBuiltin="1"/>
    <cellStyle name="Explanatory Text 2" xfId="64"/>
    <cellStyle name="Fixed" xfId="123"/>
    <cellStyle name="Good" xfId="31" builtinId="26" customBuiltin="1"/>
    <cellStyle name="Good 2" xfId="54"/>
    <cellStyle name="Grey" xfId="124"/>
    <cellStyle name="Heading 1" xfId="32" builtinId="16" customBuiltin="1"/>
    <cellStyle name="Heading 1 2" xfId="50"/>
    <cellStyle name="Heading 2" xfId="33" builtinId="17" customBuiltin="1"/>
    <cellStyle name="Heading 2 2" xfId="49"/>
    <cellStyle name="Heading 3" xfId="34" builtinId="18" customBuiltin="1"/>
    <cellStyle name="Heading 3 2" xfId="52"/>
    <cellStyle name="Heading 4" xfId="35" builtinId="19" customBuiltin="1"/>
    <cellStyle name="Heading 4 2" xfId="53"/>
    <cellStyle name="Hyperlink" xfId="36" builtinId="8"/>
    <cellStyle name="Input" xfId="37" builtinId="20" customBuiltin="1"/>
    <cellStyle name="Input [yellow]" xfId="125"/>
    <cellStyle name="Input 2" xfId="57"/>
    <cellStyle name="Linked Cell" xfId="38" builtinId="24" customBuiltin="1"/>
    <cellStyle name="Linked Cell 2" xfId="60"/>
    <cellStyle name="M" xfId="126"/>
    <cellStyle name="M.00" xfId="127"/>
    <cellStyle name="M_9. Rev2Cost_GDPIPI" xfId="128"/>
    <cellStyle name="M_lists" xfId="129"/>
    <cellStyle name="M_lists_4. Current Monthly Fixed Charge" xfId="130"/>
    <cellStyle name="M_Sheet4" xfId="131"/>
    <cellStyle name="Neutral" xfId="39" builtinId="28" customBuiltin="1"/>
    <cellStyle name="Neutral 2" xfId="56"/>
    <cellStyle name="Normal" xfId="0" builtinId="0"/>
    <cellStyle name="Normal - Style1" xfId="132"/>
    <cellStyle name="Normal 2" xfId="46"/>
    <cellStyle name="Normal 3" xfId="51"/>
    <cellStyle name="Normal 3 2" xfId="141"/>
    <cellStyle name="Normal 4" xfId="90"/>
    <cellStyle name="Normal 4 2" xfId="156"/>
    <cellStyle name="Normal 5" xfId="93"/>
    <cellStyle name="Normal 5 2" xfId="134"/>
    <cellStyle name="Normal 5 2 2" xfId="166"/>
    <cellStyle name="Normal 5 3" xfId="159"/>
    <cellStyle name="Normal 6" xfId="101"/>
    <cellStyle name="Normal 6 2" xfId="162"/>
    <cellStyle name="Normal 7" xfId="138"/>
    <cellStyle name="Normal 8" xfId="143"/>
    <cellStyle name="Normal 9" xfId="139"/>
    <cellStyle name="Normal_14. Bill Impacts" xfId="103"/>
    <cellStyle name="Normal_3. Rate Class Selection" xfId="107"/>
    <cellStyle name="Normal_lists" xfId="102"/>
    <cellStyle name="Normal_lists_1" xfId="100"/>
    <cellStyle name="Normal_PPE Deferral Account Schedule for 2013 MIFRS CoS applications (2)" xfId="47"/>
    <cellStyle name="Normal_Service Quality" xfId="96"/>
    <cellStyle name="Normal_Sheet1" xfId="106"/>
    <cellStyle name="Normal_Sheet2" xfId="97"/>
    <cellStyle name="Normal_Sheet3" xfId="98"/>
    <cellStyle name="Normal_Sheet3 2" xfId="110"/>
    <cellStyle name="Normal_Sheet4" xfId="99"/>
    <cellStyle name="Note" xfId="40" builtinId="10" customBuiltin="1"/>
    <cellStyle name="Note 2" xfId="63"/>
    <cellStyle name="Note 2 2" xfId="142"/>
    <cellStyle name="Note 3" xfId="140"/>
    <cellStyle name="Output" xfId="41" builtinId="21" customBuiltin="1"/>
    <cellStyle name="Output 2" xfId="58"/>
    <cellStyle name="Percent" xfId="42" builtinId="5"/>
    <cellStyle name="Percent [2]" xfId="133"/>
    <cellStyle name="Percent 2" xfId="92"/>
    <cellStyle name="Percent 2 2" xfId="158"/>
    <cellStyle name="Percent 3" xfId="95"/>
    <cellStyle name="Percent 3 2" xfId="136"/>
    <cellStyle name="Percent 3 2 2" xfId="168"/>
    <cellStyle name="Percent 3 3" xfId="161"/>
    <cellStyle name="Percent 4" xfId="105"/>
    <cellStyle name="Percent 4 2" xfId="163"/>
    <cellStyle name="Percent 5" xfId="170"/>
    <cellStyle name="Title" xfId="43" builtinId="15" customBuiltin="1"/>
    <cellStyle name="Title 2" xfId="48"/>
    <cellStyle name="Total" xfId="44" builtinId="25" customBuiltin="1"/>
    <cellStyle name="Total 2" xfId="65"/>
    <cellStyle name="Warning Text" xfId="45" builtinId="11" customBuiltin="1"/>
    <cellStyle name="Warning Text 2" xfId="62"/>
  </cellStyles>
  <dxfs count="77">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6600"/>
      <color rgb="FFFFFF99"/>
      <color rgb="FF003399"/>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6.xml"/><Relationship Id="rId68" Type="http://schemas.openxmlformats.org/officeDocument/2006/relationships/externalLink" Target="externalLinks/externalLink1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externalLink" Target="externalLinks/externalLink1.xml"/><Relationship Id="rId74" Type="http://schemas.openxmlformats.org/officeDocument/2006/relationships/externalLink" Target="externalLinks/externalLink17.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4.xml"/><Relationship Id="rId82"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7.xml"/><Relationship Id="rId69" Type="http://schemas.openxmlformats.org/officeDocument/2006/relationships/externalLink" Target="externalLinks/externalLink12.xml"/><Relationship Id="rId77" Type="http://schemas.openxmlformats.org/officeDocument/2006/relationships/externalLink" Target="externalLinks/externalLink20.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5.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2.xml"/><Relationship Id="rId67" Type="http://schemas.openxmlformats.org/officeDocument/2006/relationships/externalLink" Target="externalLinks/externalLink10.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5.xml"/><Relationship Id="rId70" Type="http://schemas.openxmlformats.org/officeDocument/2006/relationships/externalLink" Target="externalLinks/externalLink13.xml"/><Relationship Id="rId75"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3.xml"/><Relationship Id="rId65" Type="http://schemas.openxmlformats.org/officeDocument/2006/relationships/externalLink" Target="externalLinks/externalLink8.xml"/><Relationship Id="rId73" Type="http://schemas.openxmlformats.org/officeDocument/2006/relationships/externalLink" Target="externalLinks/externalLink16.xml"/><Relationship Id="rId78" Type="http://schemas.openxmlformats.org/officeDocument/2006/relationships/externalLink" Target="externalLinks/externalLink21.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9.xml"/><Relationship Id="rId7" Type="http://schemas.openxmlformats.org/officeDocument/2006/relationships/worksheet" Target="worksheets/sheet7.xml"/><Relationship Id="rId71" Type="http://schemas.openxmlformats.org/officeDocument/2006/relationships/externalLink" Target="externalLinks/externalLink14.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9.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2532</xdr:colOff>
      <xdr:row>12</xdr:row>
      <xdr:rowOff>123261</xdr:rowOff>
    </xdr:to>
    <xdr:grpSp>
      <xdr:nvGrpSpPr>
        <xdr:cNvPr id="11" name="Group 10"/>
        <xdr:cNvGrpSpPr/>
      </xdr:nvGrpSpPr>
      <xdr:grpSpPr>
        <a:xfrm>
          <a:off x="0" y="0"/>
          <a:ext cx="8841732" cy="2066361"/>
          <a:chOff x="10970559" y="5479676"/>
          <a:chExt cx="8857420" cy="2005849"/>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70559" y="5479676"/>
            <a:ext cx="8857420" cy="1915766"/>
          </a:xfrm>
          <a:prstGeom prst="rect">
            <a:avLst/>
          </a:prstGeom>
          <a:ln>
            <a:noFill/>
          </a:ln>
          <a:effectLst>
            <a:softEdge rad="112500"/>
          </a:effectLst>
        </xdr:spPr>
      </xdr:pic>
      <xdr:sp macro="" textlink="">
        <xdr:nvSpPr>
          <xdr:cNvPr id="8" name="Rectangle 7"/>
          <xdr:cNvSpPr/>
        </xdr:nvSpPr>
        <xdr:spPr>
          <a:xfrm>
            <a:off x="11107770" y="5755409"/>
            <a:ext cx="8566570" cy="173011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Chapter 2 Appendices</a:t>
            </a:r>
          </a:p>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Filing Requirements for Electricity Distribution </a:t>
            </a:r>
          </a:p>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Rate Applications</a:t>
            </a:r>
            <a:endParaRPr lang="en-CA" sz="29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9</xdr:col>
      <xdr:colOff>314325</xdr:colOff>
      <xdr:row>9</xdr:row>
      <xdr:rowOff>104775</xdr:rowOff>
    </xdr:from>
    <xdr:to>
      <xdr:col>12</xdr:col>
      <xdr:colOff>114301</xdr:colOff>
      <xdr:row>11</xdr:row>
      <xdr:rowOff>28575</xdr:rowOff>
    </xdr:to>
    <xdr:sp macro="" textlink="">
      <xdr:nvSpPr>
        <xdr:cNvPr id="12" name="TextBox 11"/>
        <xdr:cNvSpPr txBox="1"/>
      </xdr:nvSpPr>
      <xdr:spPr>
        <a:xfrm>
          <a:off x="7077075" y="1562100"/>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2.2 (2016)</a:t>
          </a:r>
          <a:endParaRPr lang="en-CA" sz="1400"/>
        </a:p>
      </xdr:txBody>
    </xdr:sp>
    <xdr:clientData/>
  </xdr:twoCellAnchor>
  <xdr:twoCellAnchor>
    <xdr:from>
      <xdr:col>0</xdr:col>
      <xdr:colOff>66675</xdr:colOff>
      <xdr:row>57</xdr:row>
      <xdr:rowOff>9525</xdr:rowOff>
    </xdr:from>
    <xdr:to>
      <xdr:col>15</xdr:col>
      <xdr:colOff>180975</xdr:colOff>
      <xdr:row>66</xdr:row>
      <xdr:rowOff>85725</xdr:rowOff>
    </xdr:to>
    <xdr:sp macro="" textlink="">
      <xdr:nvSpPr>
        <xdr:cNvPr id="13" name="Text Box 50"/>
        <xdr:cNvSpPr txBox="1">
          <a:spLocks noChangeArrowheads="1"/>
        </xdr:cNvSpPr>
      </xdr:nvSpPr>
      <xdr:spPr bwMode="auto">
        <a:xfrm>
          <a:off x="66675" y="10915650"/>
          <a:ext cx="10172700" cy="15335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COS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28575</xdr:rowOff>
    </xdr:from>
    <xdr:to>
      <xdr:col>5</xdr:col>
      <xdr:colOff>3247195</xdr:colOff>
      <xdr:row>12</xdr:row>
      <xdr:rowOff>24649</xdr:rowOff>
    </xdr:to>
    <xdr:grpSp>
      <xdr:nvGrpSpPr>
        <xdr:cNvPr id="6" name="Group 5"/>
        <xdr:cNvGrpSpPr/>
      </xdr:nvGrpSpPr>
      <xdr:grpSpPr>
        <a:xfrm>
          <a:off x="28575" y="28575"/>
          <a:ext cx="8857420" cy="2005849"/>
          <a:chOff x="10970559" y="5479676"/>
          <a:chExt cx="8857420" cy="2005849"/>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70559" y="5479676"/>
            <a:ext cx="8857420" cy="1915766"/>
          </a:xfrm>
          <a:prstGeom prst="rect">
            <a:avLst/>
          </a:prstGeom>
          <a:ln>
            <a:noFill/>
          </a:ln>
          <a:effectLst>
            <a:softEdge rad="112500"/>
          </a:effectLst>
        </xdr:spPr>
      </xdr:pic>
      <xdr:sp macro="" textlink="">
        <xdr:nvSpPr>
          <xdr:cNvPr id="8" name="Rectangle 7"/>
          <xdr:cNvSpPr/>
        </xdr:nvSpPr>
        <xdr:spPr>
          <a:xfrm>
            <a:off x="11107770" y="5755409"/>
            <a:ext cx="8566570" cy="173011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Chapter 2 Appendices</a:t>
            </a:r>
          </a:p>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Filing Requirements for Electricity Distribution </a:t>
            </a:r>
          </a:p>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Rate Applications</a:t>
            </a:r>
            <a:endParaRPr lang="en-CA" sz="29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161925</xdr:colOff>
      <xdr:row>7</xdr:row>
      <xdr:rowOff>0</xdr:rowOff>
    </xdr:from>
    <xdr:to>
      <xdr:col>6</xdr:col>
      <xdr:colOff>495300</xdr:colOff>
      <xdr:row>38</xdr:row>
      <xdr:rowOff>114300</xdr:rowOff>
    </xdr:to>
    <xdr:pic>
      <xdr:nvPicPr>
        <xdr:cNvPr id="4098"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1752600"/>
          <a:ext cx="8467725" cy="513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209550</xdr:colOff>
          <xdr:row>6</xdr:row>
          <xdr:rowOff>57150</xdr:rowOff>
        </xdr:from>
        <xdr:to>
          <xdr:col>8</xdr:col>
          <xdr:colOff>123825</xdr:colOff>
          <xdr:row>13</xdr:row>
          <xdr:rowOff>28575</xdr:rowOff>
        </xdr:to>
        <xdr:sp macro="" textlink="">
          <xdr:nvSpPr>
            <xdr:cNvPr id="140291" name="Object 3" hidden="1">
              <a:extLst>
                <a:ext uri="{63B3BB69-23CF-44E3-9099-C40C66FF867C}">
                  <a14:compatExt spid="_x0000_s140291"/>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95251</xdr:colOff>
      <xdr:row>10</xdr:row>
      <xdr:rowOff>9525</xdr:rowOff>
    </xdr:from>
    <xdr:to>
      <xdr:col>1</xdr:col>
      <xdr:colOff>285750</xdr:colOff>
      <xdr:row>15</xdr:row>
      <xdr:rowOff>142875</xdr:rowOff>
    </xdr:to>
    <xdr:sp macro="" textlink="">
      <xdr:nvSpPr>
        <xdr:cNvPr id="5" name="Right Brace 4"/>
        <xdr:cNvSpPr/>
      </xdr:nvSpPr>
      <xdr:spPr>
        <a:xfrm>
          <a:off x="1057276" y="2447925"/>
          <a:ext cx="190499" cy="10287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13</xdr:col>
      <xdr:colOff>152400</xdr:colOff>
      <xdr:row>36</xdr:row>
      <xdr:rowOff>57150</xdr:rowOff>
    </xdr:from>
    <xdr:to>
      <xdr:col>14</xdr:col>
      <xdr:colOff>609600</xdr:colOff>
      <xdr:row>48</xdr:row>
      <xdr:rowOff>152400</xdr:rowOff>
    </xdr:to>
    <xdr:sp macro="" textlink="">
      <xdr:nvSpPr>
        <xdr:cNvPr id="2" name="TextBox 1"/>
        <xdr:cNvSpPr txBox="1"/>
      </xdr:nvSpPr>
      <xdr:spPr>
        <a:xfrm>
          <a:off x="10839450" y="6762750"/>
          <a:ext cx="1638300" cy="2038350"/>
        </a:xfrm>
        <a:prstGeom prst="rect">
          <a:avLst/>
        </a:prstGeom>
        <a:solidFill>
          <a:srgbClr val="FFFF00"/>
        </a:solidFill>
        <a:ln w="9525" cmpd="sng">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CA" sz="1100" b="1">
              <a:latin typeface="Arial" pitchFamily="34" charset="0"/>
              <a:cs typeface="Arial" pitchFamily="34" charset="0"/>
            </a:rPr>
            <a:t>Once</a:t>
          </a:r>
          <a:r>
            <a:rPr lang="en-CA" sz="1100" b="1" baseline="0">
              <a:latin typeface="Arial" pitchFamily="34" charset="0"/>
              <a:cs typeface="Arial" pitchFamily="34" charset="0"/>
            </a:rPr>
            <a:t> all applicable cells in Table 1 have been entered, click on the UPDATE Button below to generate the associated detailed Bill Impact charts.</a:t>
          </a:r>
        </a:p>
        <a:p>
          <a:pPr algn="ctr"/>
          <a:endParaRPr lang="en-CA" sz="1100"/>
        </a:p>
      </xdr:txBody>
    </xdr:sp>
    <xdr:clientData fPrintsWithSheet="0"/>
  </xdr:twoCellAnchor>
  <mc:AlternateContent xmlns:mc="http://schemas.openxmlformats.org/markup-compatibility/2006">
    <mc:Choice xmlns:a14="http://schemas.microsoft.com/office/drawing/2010/main" Requires="a14">
      <xdr:twoCellAnchor editAs="absolute">
        <xdr:from>
          <xdr:col>13</xdr:col>
          <xdr:colOff>409575</xdr:colOff>
          <xdr:row>46</xdr:row>
          <xdr:rowOff>114300</xdr:rowOff>
        </xdr:from>
        <xdr:to>
          <xdr:col>14</xdr:col>
          <xdr:colOff>371475</xdr:colOff>
          <xdr:row>48</xdr:row>
          <xdr:rowOff>57150</xdr:rowOff>
        </xdr:to>
        <xdr:sp macro="" textlink="">
          <xdr:nvSpPr>
            <xdr:cNvPr id="133121" name="Button 1" hidden="1">
              <a:extLst>
                <a:ext uri="{63B3BB69-23CF-44E3-9099-C40C66FF867C}">
                  <a14:compatExt spid="_x0000_s133121"/>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CA" sz="1000" b="1" i="0" u="none" strike="noStrike" baseline="0">
                  <a:solidFill>
                    <a:srgbClr val="000000"/>
                  </a:solidFill>
                  <a:latin typeface="Arial"/>
                  <a:cs typeface="Arial"/>
                </a:rPr>
                <a:t>UPDATE</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2466975</xdr:colOff>
          <xdr:row>34</xdr:row>
          <xdr:rowOff>476250</xdr:rowOff>
        </xdr:from>
        <xdr:to>
          <xdr:col>1</xdr:col>
          <xdr:colOff>104775</xdr:colOff>
          <xdr:row>35</xdr:row>
          <xdr:rowOff>47625</xdr:rowOff>
        </xdr:to>
        <xdr:sp macro="" textlink="">
          <xdr:nvSpPr>
            <xdr:cNvPr id="105475" name="Button 3" hidden="1">
              <a:extLst>
                <a:ext uri="{63B3BB69-23CF-44E3-9099-C40C66FF867C}">
                  <a14:compatExt spid="_x0000_s105475"/>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Update Tariff Schedule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523875</xdr:colOff>
          <xdr:row>7</xdr:row>
          <xdr:rowOff>47625</xdr:rowOff>
        </xdr:from>
        <xdr:to>
          <xdr:col>4</xdr:col>
          <xdr:colOff>38100</xdr:colOff>
          <xdr:row>7</xdr:row>
          <xdr:rowOff>323850</xdr:rowOff>
        </xdr:to>
        <xdr:sp macro="" textlink="">
          <xdr:nvSpPr>
            <xdr:cNvPr id="105478" name="Button 6" hidden="1">
              <a:extLst>
                <a:ext uri="{63B3BB69-23CF-44E3-9099-C40C66FF867C}">
                  <a14:compatExt spid="_x0000_s105478"/>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Print Tariff Schedule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0%20-%20EP%20-4_2015P_FA%20Continuty_2016T_FA%20Continuity.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Accounting%20%20Department/2016%20Rate%20Rebasing/Supporting%20Data/Capital/Depreciation/METER%20updated%20to%2015%20years%20IFR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Revenue_%20Requirement_%20Model%20-%20Revised_2016_2015112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MILTON_HYDRO_%20EB-2015-0089_COS_Weather_%20Normalization_%20Regression%20Model_2016_by%20_customer_class_2015120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Accounting%20%20Department/2016%20Rate%20Rebasing/Oral_Hearing/4.0%20-%20Staff%2046_Appendix_2-JA_revised_OM&amp;A_Compound_Growth%20Rate_CGAAP.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Accounting%20%20Department/2016%20Rate%20Rebasing/Application_EB-2015-0089_20150828/Models%20Filed/MILTON_EB-2015-0089_COS_2016_Filing_Requirements_Chapter2_Appendices_20150828.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Accounting%20%20Department/2016%20Rate%20Rebasing/Intervenors/Revised%20Models/MILTON_EB-2015-0089-COS_2016_Rev_Reqt_Work_Form_V6_20150828_20151210.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Accounting%20%20Department/2016%20Rate%20Rebasing/Intervenors/Revised%20Models/Revenue_%20Requirement_%20Model%20-%20Revised_2016_201511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bramoMa\AppData\Local\Microsoft\Windows\Temporary%20Internet%20Files\Content.Outlook\B6TDOTQJ\2016_Filing_Requirements_Chapter2_Appendices_Accounting%20Updated_kcr_sv.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MILTON_EB-2015-0089_COS_2016_Cost_Allocation_Model_V3_3_20150828_revised_20151209.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Rate_Design_Model_2016_Corrected_For_Bill_Impacts_20151116_revised_2015112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ontarioenergyboard.ca/oeb/_Documents/2015EDR/2015%20Filing%20Requirements/Filing_Requirements_Chapter2_Appendices_for%202014_unprotected.v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4%20Electricity%20Rates\$Filing%20Requirements\Filing_Requirements_Chapter2_Appendices_V1.1%20FOR%202014_June4.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wando\AppData\Local\Microsoft\Windows\Temporary%20Internet%20Files\Content.Outlook\2LI0QYVT\Recent%20Drafts\Filing_Requirements_Chapter2_Appendices%20-%20Excel%20(May%20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5P"/>
      <sheetName val="2016T"/>
      <sheetName val="Depreciation"/>
    </sheetNames>
    <sheetDataSet>
      <sheetData sheetId="0"/>
      <sheetData sheetId="1">
        <row r="17">
          <cell r="E17">
            <v>2089184.1750421943</v>
          </cell>
          <cell r="J17">
            <v>-414331.66544788261</v>
          </cell>
        </row>
        <row r="18">
          <cell r="J18">
            <v>-488466.43499656185</v>
          </cell>
        </row>
        <row r="26">
          <cell r="J26">
            <v>-170495.96</v>
          </cell>
        </row>
      </sheetData>
      <sheetData sheetId="2">
        <row r="13">
          <cell r="D13">
            <v>8524798</v>
          </cell>
          <cell r="F13">
            <v>85247.98</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s>
    <sheetDataSet>
      <sheetData sheetId="0">
        <row r="125">
          <cell r="BI125">
            <v>3366.8699999999735</v>
          </cell>
        </row>
      </sheetData>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5"/>
      <sheetName val="Depr Continuity 2005"/>
      <sheetName val="FA Continuity 2006"/>
      <sheetName val="Depr Continuity 2006"/>
      <sheetName val="FA Continuity 2007"/>
      <sheetName val="Depr Continuity 2007"/>
      <sheetName val="FA Continuity 2008"/>
      <sheetName val="Depr Continuity 2008"/>
      <sheetName val="FA Continuity 2009"/>
      <sheetName val="Depr Continuity 2009"/>
      <sheetName val="FA Continuity 2010-Bridge"/>
      <sheetName val="Depr Continuity 2010 Bridge"/>
      <sheetName val="FA Continuity 2011 Approved"/>
      <sheetName val="Depr Continuity 2011 Approved"/>
      <sheetName val="FA Continuity 2010-Actual"/>
      <sheetName val="Depr Continuity 2010 Actual"/>
      <sheetName val="FA Continuity 2011 Actual"/>
      <sheetName val="Depr Continuity 2011 Actual"/>
      <sheetName val="FA Continuity 2012"/>
      <sheetName val="Depr Continuity 2012"/>
      <sheetName val="FA Continuity 2013 CGAAP"/>
      <sheetName val="Depr Continuity 2013 CGAAP"/>
      <sheetName val="FA Continuity 2013 MIFRS"/>
      <sheetName val="Depr Continuity 2013 MIFRS"/>
      <sheetName val="FA Continuity 2013 MIFRS (2)"/>
      <sheetName val="Depr Continuity 2013 MIFRS (2)"/>
      <sheetName val="FA Continuity 2014 CGAAP"/>
      <sheetName val="Depr Continuity 2014 CGAAP"/>
      <sheetName val="FA Continuity 2014 MIFRS"/>
      <sheetName val="Depr Continuity 2014 MIFRS"/>
      <sheetName val="FA Continuity 2015 CGAAP"/>
      <sheetName val="Depr Continuity 2015 CGAAP"/>
      <sheetName val="FA Continuity 2015P CGAAP Revis"/>
      <sheetName val="FA Continuity 2016 CGAAP revise"/>
      <sheetName val="FA Continuity 2015 MIFRS"/>
      <sheetName val="Depr Continuity 2015 MIFRS"/>
      <sheetName val="FA Continuity 2016 MIFRS"/>
      <sheetName val="Depr Continuity 2016 MIFRS"/>
      <sheetName val="FA Continuity 2015P MIFRS"/>
      <sheetName val="FA Continuity 2016REVISED MIFRS"/>
      <sheetName val="Pivot 2015 Admin OM&amp;A"/>
      <sheetName val="2015 Budget"/>
      <sheetName val="Pivot 2016 Test Year"/>
      <sheetName val="2016 Budget"/>
      <sheetName val="2016 Revised Test Year"/>
      <sheetName val="Trial Balance"/>
      <sheetName val="2005 Balance Sheet"/>
      <sheetName val="2005 Income Statement"/>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2010 Balance Sheet"/>
      <sheetName val="2010 Income Statement"/>
      <sheetName val="2011 Balance Sheet"/>
      <sheetName val="2011 Income Statement"/>
      <sheetName val="2012 Balance Sheet"/>
      <sheetName val="2012 Income Statement"/>
      <sheetName val="2013 Balance Sheet"/>
      <sheetName val="2013 Income Statement"/>
      <sheetName val="2014 Balance Sheet"/>
      <sheetName val="2014 Income Statement"/>
      <sheetName val="2015 Bridge Balance Sheet "/>
      <sheetName val="2015 Bridge Income Statement"/>
      <sheetName val="2016 Test Balance Sheet"/>
      <sheetName val="2016 Test Income Statement"/>
      <sheetName val="BS IS Summary "/>
      <sheetName val="Return on Capital"/>
      <sheetName val="Debt &amp; Capital Structure"/>
      <sheetName val="Tax rates"/>
      <sheetName val="CCA Continuity 2015"/>
      <sheetName val="CCA Continuity 2016"/>
      <sheetName val="Reserves Continuity"/>
      <sheetName val="Corporation Loss Continuity"/>
      <sheetName val="Tax Adjustments 2015"/>
      <sheetName val="Tax Adjustments 2016"/>
      <sheetName val="2016 Rev Deficiency"/>
      <sheetName val="Capital Tax &amp; Expense Schedules"/>
      <sheetName val="Revenue Requiremen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19">
          <cell r="E19">
            <v>1092971.8644446882</v>
          </cell>
        </row>
      </sheetData>
      <sheetData sheetId="40">
        <row r="9">
          <cell r="O9" t="str">
            <v>OEB Number</v>
          </cell>
        </row>
      </sheetData>
      <sheetData sheetId="41"/>
      <sheetData sheetId="42"/>
      <sheetData sheetId="43"/>
      <sheetData sheetId="44"/>
      <sheetData sheetId="45"/>
      <sheetData sheetId="46">
        <row r="4">
          <cell r="A4" t="str">
            <v>OEB No</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ow r="8">
          <cell r="BX8">
            <v>4.001836439171752E-2</v>
          </cell>
        </row>
        <row r="39">
          <cell r="BX39">
            <v>5.9830284059361818E-2</v>
          </cell>
        </row>
      </sheetData>
      <sheetData sheetId="73"/>
      <sheetData sheetId="74"/>
      <sheetData sheetId="75">
        <row r="7">
          <cell r="H7">
            <v>8524798</v>
          </cell>
        </row>
      </sheetData>
      <sheetData sheetId="76">
        <row r="10">
          <cell r="H10">
            <v>878180</v>
          </cell>
        </row>
      </sheetData>
      <sheetData sheetId="77"/>
      <sheetData sheetId="78"/>
      <sheetData sheetId="79">
        <row r="7">
          <cell r="F7">
            <v>2812518.7206187113</v>
          </cell>
        </row>
      </sheetData>
      <sheetData sheetId="80">
        <row r="7">
          <cell r="F7">
            <v>3185685.4280118588</v>
          </cell>
        </row>
      </sheetData>
      <sheetData sheetId="81">
        <row r="41">
          <cell r="D41">
            <v>254597.48671083568</v>
          </cell>
        </row>
      </sheetData>
      <sheetData sheetId="82"/>
      <sheetData sheetId="83">
        <row r="10">
          <cell r="C10">
            <v>18236911.092278332</v>
          </cell>
        </row>
      </sheetData>
      <sheetData sheetId="8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aInit"/>
      <sheetName val="Summary"/>
      <sheetName val="Residential"/>
      <sheetName val="GS &lt; 50 kW"/>
      <sheetName val="GS &gt; 50 kW"/>
      <sheetName val="Rate Class Energy Model"/>
      <sheetName val="Rate Class Customer Model"/>
      <sheetName val="Rate Class Load Model"/>
    </sheetNames>
    <sheetDataSet>
      <sheetData sheetId="0" refreshError="1"/>
      <sheetData sheetId="1">
        <row r="7">
          <cell r="T7">
            <v>871840466.18652356</v>
          </cell>
        </row>
        <row r="11">
          <cell r="S11">
            <v>33001</v>
          </cell>
          <cell r="T11">
            <v>34501</v>
          </cell>
        </row>
        <row r="12">
          <cell r="S12">
            <v>305198832.55615598</v>
          </cell>
          <cell r="T12">
            <v>311504507.10565919</v>
          </cell>
        </row>
        <row r="15">
          <cell r="S15">
            <v>2574</v>
          </cell>
          <cell r="T15">
            <v>2642.0505332703788</v>
          </cell>
        </row>
        <row r="16">
          <cell r="S16">
            <v>89986483.033379838</v>
          </cell>
          <cell r="T16">
            <v>91412831.730080053</v>
          </cell>
        </row>
        <row r="19">
          <cell r="S19">
            <v>293</v>
          </cell>
          <cell r="T19">
            <v>301.93278392268166</v>
          </cell>
        </row>
        <row r="20">
          <cell r="S20">
            <v>202512641.37251189</v>
          </cell>
          <cell r="T20">
            <v>206918158.48785442</v>
          </cell>
        </row>
        <row r="21">
          <cell r="S21">
            <v>543820.85130889143</v>
          </cell>
          <cell r="T21">
            <v>555651.28348282422</v>
          </cell>
        </row>
        <row r="24">
          <cell r="S24">
            <v>13</v>
          </cell>
          <cell r="T24">
            <v>13</v>
          </cell>
        </row>
        <row r="25">
          <cell r="S25">
            <v>113132018.52439819</v>
          </cell>
          <cell r="T25">
            <v>116570267.303496</v>
          </cell>
        </row>
        <row r="26">
          <cell r="S26">
            <v>238557.97632951225</v>
          </cell>
          <cell r="T26">
            <v>245808.10482149263</v>
          </cell>
        </row>
        <row r="29">
          <cell r="S29">
            <v>3</v>
          </cell>
          <cell r="T29">
            <v>3</v>
          </cell>
        </row>
        <row r="30">
          <cell r="S30">
            <v>135925899.16066048</v>
          </cell>
          <cell r="T30">
            <v>135893889.41732097</v>
          </cell>
        </row>
        <row r="31">
          <cell r="S31">
            <v>260223.44518110462</v>
          </cell>
          <cell r="T31">
            <v>260162.16410264492</v>
          </cell>
        </row>
        <row r="34">
          <cell r="S34">
            <v>3164.614044620675</v>
          </cell>
          <cell r="T34">
            <v>3233.7042464999763</v>
          </cell>
        </row>
        <row r="35">
          <cell r="S35">
            <v>7751250.8115083659</v>
          </cell>
          <cell r="T35">
            <v>8298678.7683863798</v>
          </cell>
        </row>
        <row r="36">
          <cell r="S36">
            <v>21754.490256975914</v>
          </cell>
          <cell r="T36">
            <v>23290.889535479138</v>
          </cell>
        </row>
        <row r="39">
          <cell r="S39">
            <v>246.56251236299744</v>
          </cell>
          <cell r="T39">
            <v>242.20347610658669</v>
          </cell>
        </row>
        <row r="40">
          <cell r="S40">
            <v>148333.0585207993</v>
          </cell>
          <cell r="T40">
            <v>145710.64372659678</v>
          </cell>
        </row>
        <row r="41">
          <cell r="S41">
            <v>411.13341239037248</v>
          </cell>
          <cell r="T41">
            <v>403.86488874638457</v>
          </cell>
        </row>
        <row r="44">
          <cell r="S44">
            <v>178</v>
          </cell>
          <cell r="T44">
            <v>178</v>
          </cell>
        </row>
        <row r="45">
          <cell r="S45">
            <v>1238375.73</v>
          </cell>
          <cell r="T45">
            <v>1096422.73</v>
          </cell>
        </row>
        <row r="58">
          <cell r="S58">
            <v>35497.5</v>
          </cell>
          <cell r="T58">
            <v>36672.491658596526</v>
          </cell>
        </row>
      </sheetData>
      <sheetData sheetId="2">
        <row r="15">
          <cell r="AB15">
            <v>0</v>
          </cell>
        </row>
      </sheetData>
      <sheetData sheetId="3">
        <row r="15">
          <cell r="AB15">
            <v>0</v>
          </cell>
        </row>
      </sheetData>
      <sheetData sheetId="4">
        <row r="15">
          <cell r="AB15">
            <v>0</v>
          </cell>
        </row>
      </sheetData>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JA OMA Expenses"/>
    </sheetNames>
    <sheetDataSet>
      <sheetData sheetId="0">
        <row r="15">
          <cell r="E15">
            <v>1216881</v>
          </cell>
        </row>
        <row r="16">
          <cell r="E16">
            <v>1060956</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26">
          <cell r="E26">
            <v>2015</v>
          </cell>
        </row>
        <row r="28">
          <cell r="E28">
            <v>2011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Table of Contents"/>
      <sheetName val="3. Data_Input_Sheet"/>
      <sheetName val="4. Rate_Base"/>
      <sheetName val="5. Utility Income"/>
      <sheetName val="6. Taxes_PILs"/>
      <sheetName val="7. Cost_of_Capital"/>
      <sheetName val="8. Rev_Def_Suff"/>
      <sheetName val="9. Rev_Reqt"/>
      <sheetName val="10. Tracking_Sheet"/>
    </sheetNames>
    <sheetDataSet>
      <sheetData sheetId="0"/>
      <sheetData sheetId="1"/>
      <sheetData sheetId="2">
        <row r="16">
          <cell r="E16">
            <v>146122187.96500003</v>
          </cell>
        </row>
        <row r="62">
          <cell r="E62">
            <v>4.1013059004787029E-2</v>
          </cell>
        </row>
        <row r="63">
          <cell r="E63">
            <v>1.6500000000000001E-2</v>
          </cell>
        </row>
        <row r="64">
          <cell r="E64">
            <v>9.1899999999999996E-2</v>
          </cell>
        </row>
      </sheetData>
      <sheetData sheetId="3"/>
      <sheetData sheetId="4">
        <row r="34">
          <cell r="F34">
            <v>3571946.2480381392</v>
          </cell>
        </row>
      </sheetData>
      <sheetData sheetId="5"/>
      <sheetData sheetId="6"/>
      <sheetData sheetId="7"/>
      <sheetData sheetId="8"/>
      <sheetData sheetId="9"/>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5"/>
      <sheetName val="Depr Continuity 2005"/>
      <sheetName val="FA Continuity 2006"/>
      <sheetName val="Depr Continuity 2006"/>
      <sheetName val="FA Continuity 2007"/>
      <sheetName val="Depr Continuity 2007"/>
      <sheetName val="FA Continuity 2008"/>
      <sheetName val="Depr Continuity 2008"/>
      <sheetName val="FA Continuity 2009"/>
      <sheetName val="Depr Continuity 2009"/>
      <sheetName val="FA Continuity 2010-Bridge"/>
      <sheetName val="Depr Continuity 2010 Bridge"/>
      <sheetName val="FA Continuity 2011 Approved"/>
      <sheetName val="Depr Continuity 2011 Approved"/>
      <sheetName val="FA Continuity 2010-Actual"/>
      <sheetName val="Depr Continuity 2010 Actual"/>
      <sheetName val="FA Continuity 2011 Actual"/>
      <sheetName val="Depr Continuity 2011 Actual"/>
      <sheetName val="FA Continuity 2012"/>
      <sheetName val="Depr Continuity 2012"/>
      <sheetName val="FA Continuity 2013 CGAAP"/>
      <sheetName val="Depr Continuity 2013 CGAAP"/>
      <sheetName val="FA Continuity 2013 MIFRS"/>
      <sheetName val="Depr Continuity 2013 MIFRS"/>
      <sheetName val="FA Continuity 2013 MIFRS (2)"/>
      <sheetName val="Depr Continuity 2013 MIFRS (2)"/>
      <sheetName val="FA Continuity 2014 CGAAP"/>
      <sheetName val="Depr Continuity 2014 CGAAP"/>
      <sheetName val="FA Continuity 2014 MIFRS"/>
      <sheetName val="Depr Continuity 2014 MIFRS"/>
      <sheetName val="FA Continuity 2015 CGAAP"/>
      <sheetName val="Depr Continuity 2015 CGAAP"/>
      <sheetName val="FA Continuity 2015P CGAAP Revis"/>
      <sheetName val="FA Continuity 2016 CGAAP revise"/>
      <sheetName val="FA Continuity 2015 MIFRS"/>
      <sheetName val="Depr Continuity 2015 MIFRS"/>
      <sheetName val="FA Continuity 2016 MIFRS"/>
      <sheetName val="Depr Continuity 2016 MIFRS"/>
      <sheetName val="FA Continuity 2015P MIFRS"/>
      <sheetName val="FA Continuity 2016REVISED MIFRS"/>
      <sheetName val="Pivot 2015 Admin OM&amp;A"/>
      <sheetName val="2015 Budget"/>
      <sheetName val="Pivot 2016 Test Year"/>
      <sheetName val="2016 Budget"/>
      <sheetName val="2016 Revised Test Year"/>
      <sheetName val="Trial Balance"/>
      <sheetName val="2005 Balance Sheet"/>
      <sheetName val="2005 Income Statement"/>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2010 Balance Sheet"/>
      <sheetName val="2010 Income Statement"/>
      <sheetName val="2011 Balance Sheet"/>
      <sheetName val="2011 Income Statement"/>
      <sheetName val="2012 Balance Sheet"/>
      <sheetName val="2012 Income Statement"/>
      <sheetName val="2013 Balance Sheet"/>
      <sheetName val="2013 Income Statement"/>
      <sheetName val="2014 Balance Sheet"/>
      <sheetName val="2014 Income Statement"/>
      <sheetName val="2015 Bridge Balance Sheet "/>
      <sheetName val="2015 Bridge Income Statement"/>
      <sheetName val="2016 Test Balance Sheet"/>
      <sheetName val="2016 Test Income Statement"/>
      <sheetName val="BS IS Summary "/>
      <sheetName val="Return on Capital"/>
      <sheetName val="Debt &amp; Capital Structure"/>
      <sheetName val="Tax rates"/>
      <sheetName val="CCA Continuity 2015"/>
      <sheetName val="CCA Continuity 2016"/>
      <sheetName val="Reserves Continuity"/>
      <sheetName val="Corporation Loss Continuity"/>
      <sheetName val="Tax Adjustments 2015"/>
      <sheetName val="Tax Adjustments 2016"/>
      <sheetName val="2016 Rev Deficiency"/>
      <sheetName val="Capital Tax &amp; Expense Schedules"/>
      <sheetName val="Revenue Requirement"/>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10">
          <cell r="J10">
            <v>3059</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ow r="38">
          <cell r="BX38">
            <v>90365591.272590667</v>
          </cell>
        </row>
      </sheetData>
      <sheetData sheetId="73"/>
      <sheetData sheetId="74"/>
      <sheetData sheetId="75">
        <row r="6">
          <cell r="D6">
            <v>23497120</v>
          </cell>
        </row>
      </sheetData>
      <sheetData sheetId="76"/>
      <sheetData sheetId="77">
        <row r="18">
          <cell r="C18">
            <v>288978</v>
          </cell>
        </row>
      </sheetData>
      <sheetData sheetId="78"/>
      <sheetData sheetId="79"/>
      <sheetData sheetId="80"/>
      <sheetData sheetId="81"/>
      <sheetData sheetId="82"/>
      <sheetData sheetId="83"/>
      <sheetData sheetId="8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 val="Sheet1"/>
    </sheetNames>
    <sheetDataSet>
      <sheetData sheetId="0">
        <row r="3">
          <cell r="AA3" t="str">
            <v>Algoma Power Inc.</v>
          </cell>
        </row>
        <row r="4">
          <cell r="AA4" t="str">
            <v>Atikokan Hydro Inc.</v>
          </cell>
        </row>
        <row r="5">
          <cell r="AA5" t="str">
            <v>Attawapiskat Power Corporation</v>
          </cell>
        </row>
        <row r="6">
          <cell r="AA6" t="str">
            <v>Bluewater Power Distribution Corporation</v>
          </cell>
        </row>
        <row r="7">
          <cell r="AA7" t="str">
            <v>Brant County Power Inc.</v>
          </cell>
        </row>
        <row r="8">
          <cell r="AA8" t="str">
            <v>Brantford Power Inc.</v>
          </cell>
        </row>
        <row r="9">
          <cell r="AA9" t="str">
            <v>Burlington Hydro Inc.</v>
          </cell>
        </row>
        <row r="10">
          <cell r="AA10" t="str">
            <v>Cambridge and North Dumfries Hydro Inc.</v>
          </cell>
        </row>
        <row r="11">
          <cell r="AA11" t="str">
            <v>Canadian Niagara Power Inc.</v>
          </cell>
        </row>
        <row r="12">
          <cell r="AA12" t="str">
            <v>Centre Wellington Hydro Ltd.</v>
          </cell>
        </row>
        <row r="13">
          <cell r="AA13" t="str">
            <v>Chapleau Public Utilities Corporation</v>
          </cell>
        </row>
        <row r="14">
          <cell r="AA14" t="str">
            <v>COLLUS PowerStream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Corporation</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E26" t="str">
            <v/>
          </cell>
          <cell r="AA26" t="str">
            <v>Greater Sudbury Hydro Inc.</v>
          </cell>
        </row>
        <row r="27">
          <cell r="AA27" t="str">
            <v>Grimsby Power Inc.</v>
          </cell>
        </row>
        <row r="28">
          <cell r="AA28" t="str">
            <v>Guelph Hydro Electric Systems Inc.</v>
          </cell>
        </row>
        <row r="29">
          <cell r="AA29" t="str">
            <v>Haldimand County Hydro Inc.</v>
          </cell>
        </row>
        <row r="30">
          <cell r="AA30" t="str">
            <v>Halton Hills Hydro Inc.</v>
          </cell>
        </row>
        <row r="31">
          <cell r="AA31" t="str">
            <v>Hearst Power Distribution Company Limited</v>
          </cell>
        </row>
        <row r="32">
          <cell r="AA32" t="str">
            <v>Horizon Utilities Corporation</v>
          </cell>
        </row>
        <row r="33">
          <cell r="AA33" t="str">
            <v>Hydro 2000 Inc.</v>
          </cell>
        </row>
        <row r="34">
          <cell r="AA34" t="str">
            <v>Hydro Hawkesbury Inc.</v>
          </cell>
        </row>
        <row r="35">
          <cell r="AA35" t="str">
            <v>Hydro One Brampton Networks Inc.</v>
          </cell>
        </row>
        <row r="36">
          <cell r="AA36" t="str">
            <v>Hydro One Networks Inc.</v>
          </cell>
        </row>
        <row r="37">
          <cell r="AA37" t="str">
            <v>Hydro One Remote Communities Inc.</v>
          </cell>
        </row>
        <row r="38">
          <cell r="AA38" t="str">
            <v>Hydro Ottawa Limited</v>
          </cell>
        </row>
        <row r="39">
          <cell r="AA39" t="str">
            <v>Innpower Corporation</v>
          </cell>
        </row>
        <row r="40">
          <cell r="AA40" t="str">
            <v>Kashechewan Power Corporation</v>
          </cell>
        </row>
        <row r="41">
          <cell r="AA41" t="str">
            <v>Kenora Hydro Electric Corporation Ltd.</v>
          </cell>
        </row>
        <row r="42">
          <cell r="AA42" t="str">
            <v>Kingston Hydro Corporation</v>
          </cell>
        </row>
        <row r="43">
          <cell r="AA43" t="str">
            <v>Kitchener-Wilmot Hydro Inc.</v>
          </cell>
        </row>
        <row r="44">
          <cell r="AA44" t="str">
            <v>Lakefront Utilities Inc.</v>
          </cell>
        </row>
        <row r="45">
          <cell r="AA45" t="str">
            <v>Lakeland Power Distribution Ltd.</v>
          </cell>
        </row>
        <row r="46">
          <cell r="AA46" t="str">
            <v>London Hydro Inc.</v>
          </cell>
        </row>
        <row r="47">
          <cell r="AA47" t="str">
            <v>Midland Power Utility Corporation</v>
          </cell>
        </row>
        <row r="48">
          <cell r="AA48" t="str">
            <v>Milton Hydro Distribution Inc.</v>
          </cell>
        </row>
        <row r="49">
          <cell r="AA49" t="str">
            <v>Newmarket-Tay Power Distribution Ltd.</v>
          </cell>
        </row>
        <row r="50">
          <cell r="AA50" t="str">
            <v>Niagara Peninsula Energy Inc.</v>
          </cell>
        </row>
        <row r="51">
          <cell r="AA51" t="str">
            <v>Niagara-on-the-Lake Hydro Inc.</v>
          </cell>
        </row>
        <row r="52">
          <cell r="AA52" t="str">
            <v>Norfolk Power Distribution Inc.</v>
          </cell>
        </row>
        <row r="53">
          <cell r="AA53" t="str">
            <v>North Bay Hydro Distribution Limited</v>
          </cell>
        </row>
        <row r="54">
          <cell r="AA54" t="str">
            <v>Northern Ontario Wires Inc.</v>
          </cell>
        </row>
        <row r="55">
          <cell r="AA55" t="str">
            <v>Oakville Hydro Electricity Distribution Inc.</v>
          </cell>
        </row>
        <row r="56">
          <cell r="AA56" t="str">
            <v>Orangeville Hydro Limited</v>
          </cell>
        </row>
        <row r="57">
          <cell r="AA57" t="str">
            <v>Orillia Power Distribution Corporation</v>
          </cell>
        </row>
        <row r="58">
          <cell r="AA58" t="str">
            <v>Oshawa PUC Networks Inc.</v>
          </cell>
        </row>
        <row r="59">
          <cell r="AA59" t="str">
            <v>Ottawa River Power Corporation</v>
          </cell>
        </row>
        <row r="60">
          <cell r="AA60" t="str">
            <v>Peterborough Distribution Incorporated</v>
          </cell>
        </row>
        <row r="61">
          <cell r="AA61" t="str">
            <v>PowerStream Inc.</v>
          </cell>
        </row>
        <row r="62">
          <cell r="AA62" t="str">
            <v>PUC Distribution Inc.</v>
          </cell>
        </row>
        <row r="63">
          <cell r="AA63" t="str">
            <v>Renfrew Hydro Inc.</v>
          </cell>
        </row>
        <row r="64">
          <cell r="AA64" t="str">
            <v>Rideau St. Lawrence Distribution Inc.</v>
          </cell>
        </row>
        <row r="65">
          <cell r="AA65" t="str">
            <v>Sioux Lookout Hydro Inc.</v>
          </cell>
        </row>
        <row r="66">
          <cell r="AA66" t="str">
            <v>St. Thomas Energy Inc.</v>
          </cell>
        </row>
        <row r="67">
          <cell r="AA67" t="str">
            <v>Thunder Bay Hydro Electricity Distribution Inc.</v>
          </cell>
        </row>
        <row r="68">
          <cell r="AA68" t="str">
            <v>Tillsonburg Hydro Inc.</v>
          </cell>
        </row>
        <row r="69">
          <cell r="AA69" t="str">
            <v>Toronto Hydro-Electric System Limited</v>
          </cell>
        </row>
        <row r="70">
          <cell r="AA70" t="str">
            <v>Veridian Connections Inc.</v>
          </cell>
        </row>
        <row r="71">
          <cell r="AA71" t="str">
            <v>Wasaga Distribution Inc.</v>
          </cell>
        </row>
        <row r="72">
          <cell r="AA72" t="str">
            <v>Waterloo North Hydro Inc.</v>
          </cell>
        </row>
        <row r="73">
          <cell r="AA73" t="str">
            <v>Welland Hydro-Electric System Corp.</v>
          </cell>
        </row>
        <row r="74">
          <cell r="AA74" t="str">
            <v>Wellington North Power Inc.</v>
          </cell>
        </row>
        <row r="75">
          <cell r="AA75" t="str">
            <v>West Coast Huron Energy Inc.</v>
          </cell>
        </row>
        <row r="76">
          <cell r="AA76" t="str">
            <v>Westario Power Inc.</v>
          </cell>
        </row>
        <row r="77">
          <cell r="AA77" t="str">
            <v>Whitby Hydro Electric Corporation</v>
          </cell>
        </row>
        <row r="78">
          <cell r="AA78" t="str">
            <v>Woodstock Hydro Services Inc.</v>
          </cell>
        </row>
        <row r="79">
          <cell r="AA79" t="str">
            <v>Ottawa River Power Corporation</v>
          </cell>
        </row>
        <row r="80">
          <cell r="AA80" t="str">
            <v>Parry Sound Power Corporation</v>
          </cell>
        </row>
        <row r="81">
          <cell r="AA81" t="str">
            <v>Peterborough Distribution Inc.</v>
          </cell>
        </row>
        <row r="82">
          <cell r="AA82" t="str">
            <v>PowerStream Inc.</v>
          </cell>
        </row>
        <row r="83">
          <cell r="AA83" t="str">
            <v>PUC Distribution Inc.</v>
          </cell>
        </row>
        <row r="84">
          <cell r="AA84" t="str">
            <v>Renfrew Hydro Inc.</v>
          </cell>
        </row>
        <row r="85">
          <cell r="AA85" t="str">
            <v>Rideau St. Lawrence Distribution Inc.</v>
          </cell>
        </row>
        <row r="86">
          <cell r="AA86" t="str">
            <v>St. Thomas Energy Inc.</v>
          </cell>
        </row>
        <row r="87">
          <cell r="AA87" t="str">
            <v>Sioux Lookout Hydro Inc.</v>
          </cell>
        </row>
        <row r="88">
          <cell r="AA88" t="str">
            <v>Thunder Bay Hydro Electricity Distribution</v>
          </cell>
        </row>
        <row r="89">
          <cell r="AA89" t="str">
            <v>Tillsonburg Hydro Inc.</v>
          </cell>
        </row>
        <row r="90">
          <cell r="AA90" t="str">
            <v>Toronto Hydro-Electric System Limited</v>
          </cell>
        </row>
        <row r="91">
          <cell r="AA91" t="str">
            <v>Veridian Connections Inc.</v>
          </cell>
        </row>
        <row r="92">
          <cell r="AA92" t="str">
            <v>Wasaga Distribution Inc.</v>
          </cell>
        </row>
        <row r="93">
          <cell r="AA93" t="str">
            <v>Waterloo North Hydro Inc.</v>
          </cell>
        </row>
        <row r="94">
          <cell r="AA94" t="str">
            <v>Welland Hydro Electric System Corp.</v>
          </cell>
        </row>
        <row r="95">
          <cell r="AA95" t="str">
            <v>Wellington North Power Inc.</v>
          </cell>
        </row>
        <row r="96">
          <cell r="AA96" t="str">
            <v>West Coast Huron Energy Inc.</v>
          </cell>
        </row>
        <row r="97">
          <cell r="AA97" t="str">
            <v>Westario Power Inc.</v>
          </cell>
        </row>
        <row r="98">
          <cell r="AA98" t="str">
            <v>Whitby Hydro Electric Corporation</v>
          </cell>
        </row>
        <row r="99">
          <cell r="AA99"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8" refreshError="1"/>
      <sheetData sheetId="59" refreshError="1"/>
      <sheetData sheetId="6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1 Intro"/>
      <sheetName val="I2 LDC class"/>
      <sheetName val="I3 TB Data"/>
      <sheetName val="I4 BO ASSETS"/>
      <sheetName val="I5.1 Misc Data"/>
      <sheetName val="I5.2 Weighting Factors"/>
      <sheetName val="I6.1 Revenue"/>
      <sheetName val="I6.2 Customer Data"/>
      <sheetName val="I7.1 Meter Capital"/>
      <sheetName val="I7.2 Meter Reading"/>
      <sheetName val="I8 Demand Data"/>
      <sheetName val="I9 Direct Allocation"/>
      <sheetName val="O1 Revenue to cost|RR"/>
      <sheetName val="O2 Fixed Charge|Floor|Ceiling"/>
      <sheetName val="O2.1 Line Tran PLCC Adj"/>
      <sheetName val="O2.2 Primary Cost PLCC Adj"/>
      <sheetName val="O2.3 Secondary Cost PLCC Adj"/>
      <sheetName val="O3.1 Line Tran Unit Cost"/>
      <sheetName val="O3.2 Substat Tran Unit Cost "/>
      <sheetName val="O3.3 Primary Cost Pool"/>
      <sheetName val="O3.4 Secondary Cost Pool"/>
      <sheetName val="O3.5 USL Metering Credit"/>
      <sheetName val="O3.6 MicroFIT Charge"/>
      <sheetName val="O4 Summary by Class &amp; Accounts"/>
      <sheetName val="O5 Details by Class &amp; Accounts"/>
      <sheetName val="O6 Source Data for E2"/>
      <sheetName val="O7 Amortization"/>
      <sheetName val="E1 Categorization"/>
      <sheetName val="E2 Allocators"/>
      <sheetName val="E3 PLCC"/>
      <sheetName val="E4 TB Allocation Details"/>
      <sheetName val="E5 Reconciliation"/>
      <sheetName val="Click here if complet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3">
          <cell r="D23">
            <v>10771496.251603609</v>
          </cell>
          <cell r="E23">
            <v>2107773.6321178004</v>
          </cell>
          <cell r="F23">
            <v>1668204.4031709607</v>
          </cell>
          <cell r="H23">
            <v>702181.47585539694</v>
          </cell>
          <cell r="I23">
            <v>720391.96031585569</v>
          </cell>
          <cell r="J23">
            <v>286435.25051811297</v>
          </cell>
          <cell r="K23">
            <v>14589.362350321466</v>
          </cell>
          <cell r="L23">
            <v>35002.885110781615</v>
          </cell>
        </row>
        <row r="24">
          <cell r="D24">
            <v>1534188.4122322267</v>
          </cell>
          <cell r="E24">
            <v>175568.81997543195</v>
          </cell>
          <cell r="F24">
            <v>122653.00732417213</v>
          </cell>
          <cell r="H24">
            <v>27897.840502989875</v>
          </cell>
          <cell r="I24">
            <v>32924.570166202575</v>
          </cell>
          <cell r="J24">
            <v>22788.02087633327</v>
          </cell>
          <cell r="K24">
            <v>8456.2197720019431</v>
          </cell>
          <cell r="L24">
            <v>6358.8591506413468</v>
          </cell>
        </row>
        <row r="40">
          <cell r="D40">
            <v>12773611.56964758</v>
          </cell>
          <cell r="E40">
            <v>2085823.8898808546</v>
          </cell>
          <cell r="F40">
            <v>2063652.6834695239</v>
          </cell>
          <cell r="H40">
            <v>421344.46583005483</v>
          </cell>
          <cell r="I40">
            <v>436106.52278618643</v>
          </cell>
          <cell r="J40">
            <v>368247.13160960347</v>
          </cell>
          <cell r="K40">
            <v>48514.570860990731</v>
          </cell>
          <cell r="L40">
            <v>39610.13695804913</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 Input"/>
      <sheetName val="Transformer Allowance"/>
      <sheetName val="Forecast Data For 2016"/>
      <sheetName val="2015 Existing Rates"/>
      <sheetName val="2016 Test Yr On Existing Rates"/>
      <sheetName val="Cost Allocation Study"/>
      <sheetName val="Rates By Rate Class"/>
      <sheetName val="Allocation Low Voltage Costs"/>
      <sheetName val="Low Voltage Rates"/>
      <sheetName val="LRAM and SSM Rate Rider"/>
      <sheetName val="2016 Rate Riders"/>
      <sheetName val="Distribution Rate Schedule"/>
      <sheetName val="Other Electriciy Rates"/>
      <sheetName val="BILL IMPACTS 1YR"/>
      <sheetName val="BILL IMPACTS 3YR"/>
      <sheetName val="Bill Impact Summary"/>
      <sheetName val="Bill Impact by Class"/>
      <sheetName val="Rate Schedule (Part 1)"/>
      <sheetName val="Rate Schedule (Part 2)"/>
      <sheetName val="Dist. Rev. Reconciliation"/>
      <sheetName val="Revenue Deficiency Analysis"/>
      <sheetName val="Appendix 2-O Table a"/>
      <sheetName val="Appendix 2-O Table b"/>
      <sheetName val="Appendix 2-O Table c"/>
      <sheetName val="Appendix 2-O Table d"/>
      <sheetName val="Bill Impact Summary CMcK"/>
    </sheetNames>
    <sheetDataSet>
      <sheetData sheetId="0"/>
      <sheetData sheetId="1">
        <row r="12">
          <cell r="B12">
            <v>90985.465986223222</v>
          </cell>
        </row>
      </sheetData>
      <sheetData sheetId="2">
        <row r="7">
          <cell r="C7">
            <v>33751</v>
          </cell>
        </row>
        <row r="8">
          <cell r="C8">
            <v>311504507.10565919</v>
          </cell>
        </row>
      </sheetData>
      <sheetData sheetId="3"/>
      <sheetData sheetId="4">
        <row r="9">
          <cell r="J9">
            <v>10767401.022321492</v>
          </cell>
        </row>
        <row r="10">
          <cell r="J10">
            <v>2106972.27489716</v>
          </cell>
        </row>
        <row r="11">
          <cell r="J11">
            <v>1667570.166351781</v>
          </cell>
        </row>
        <row r="12">
          <cell r="J12">
            <v>701914.51255948027</v>
          </cell>
        </row>
        <row r="13">
          <cell r="J13">
            <v>720118.07355197659</v>
          </cell>
        </row>
        <row r="14">
          <cell r="J14">
            <v>14583.815601521776</v>
          </cell>
        </row>
        <row r="15">
          <cell r="J15">
            <v>286326.35032468091</v>
          </cell>
        </row>
        <row r="16">
          <cell r="J16">
            <v>34989.577317999996</v>
          </cell>
        </row>
      </sheetData>
      <sheetData sheetId="5">
        <row r="7">
          <cell r="K7">
            <v>10962581.267557979</v>
          </cell>
        </row>
        <row r="8">
          <cell r="K8">
            <v>2107773.6321178004</v>
          </cell>
        </row>
        <row r="9">
          <cell r="K9">
            <v>1896274.227450914</v>
          </cell>
        </row>
        <row r="10">
          <cell r="K10">
            <v>477715.51849307591</v>
          </cell>
        </row>
        <row r="11">
          <cell r="K11">
            <v>468597.9310379118</v>
          </cell>
        </row>
        <row r="12">
          <cell r="K12">
            <v>20652.522744592494</v>
          </cell>
        </row>
        <row r="13">
          <cell r="K13">
            <v>337478.1077652761</v>
          </cell>
        </row>
        <row r="14">
          <cell r="K14">
            <v>35002.885110781615</v>
          </cell>
        </row>
      </sheetData>
      <sheetData sheetId="6">
        <row r="8">
          <cell r="B8">
            <v>10962581.267557979</v>
          </cell>
          <cell r="D8">
            <v>18.61</v>
          </cell>
          <cell r="E8">
            <v>1.0999999999999999E-2</v>
          </cell>
        </row>
        <row r="9">
          <cell r="B9">
            <v>2107773.6321178004</v>
          </cell>
          <cell r="D9">
            <v>16.506275542539452</v>
          </cell>
          <cell r="E9">
            <v>1.7406617844859786E-2</v>
          </cell>
        </row>
        <row r="10">
          <cell r="B10">
            <v>1896274.227450914</v>
          </cell>
          <cell r="D10">
            <v>77.98</v>
          </cell>
          <cell r="E10">
            <v>3.0099963876941223</v>
          </cell>
          <cell r="H10">
            <v>54591.279591733932</v>
          </cell>
        </row>
        <row r="11">
          <cell r="B11">
            <v>477715.51849307591</v>
          </cell>
          <cell r="D11">
            <v>612.06758430541402</v>
          </cell>
          <cell r="E11">
            <v>2.1082127647567956</v>
          </cell>
          <cell r="H11">
            <v>135982.80892391581</v>
          </cell>
        </row>
        <row r="12">
          <cell r="B12">
            <v>468597.9310379118</v>
          </cell>
          <cell r="D12">
            <v>2443.7474808507045</v>
          </cell>
          <cell r="E12">
            <v>1.4630222001732529</v>
          </cell>
        </row>
        <row r="13">
          <cell r="B13">
            <v>20652.522744592494</v>
          </cell>
          <cell r="D13">
            <v>3.4411865619120316</v>
          </cell>
          <cell r="E13">
            <v>26.149619167754238</v>
          </cell>
        </row>
        <row r="14">
          <cell r="B14">
            <v>337478.1077652761</v>
          </cell>
          <cell r="D14">
            <v>2.4044428291719795</v>
          </cell>
          <cell r="E14">
            <v>10.526509268301446</v>
          </cell>
        </row>
        <row r="15">
          <cell r="B15">
            <v>35002.885110781615</v>
          </cell>
          <cell r="D15">
            <v>7.8629894402642497</v>
          </cell>
          <cell r="E15">
            <v>1.6606313576130603E-2</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 Fix Asset Cont."/>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A_OldCGAAP_DepExp_2012"/>
      <sheetName val="App.2-CB_NewCGAAP_DepExp_2012"/>
      <sheetName val="App.2-CC_NewCGAAP_DepExp_2013"/>
      <sheetName val="App.2-CD NewCGAAP_DepExp_2014"/>
      <sheetName val="App.2-CE MIFRS_DepExp_2015"/>
      <sheetName val="App.2-CF_OldCGAAP_DepExp_2013"/>
      <sheetName val="App.2-CG_NewCGAAP_DepExp_2013"/>
      <sheetName val="App.2-CH_NewCGAAP_DepExp_2014"/>
      <sheetName val="App.2-CI MIFRS_DepExp_2015"/>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24">
          <cell r="E24">
            <v>2014</v>
          </cell>
        </row>
        <row r="26">
          <cell r="E26">
            <v>2013</v>
          </cell>
        </row>
        <row r="28">
          <cell r="E28">
            <v>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ow r="1">
          <cell r="A1" t="str">
            <v>DISTRIBUTED GENERATION [DGEN]</v>
          </cell>
          <cell r="I1" t="str">
            <v>Distribution Volumetric Rate</v>
          </cell>
          <cell r="Z1" t="str">
            <v>Account History</v>
          </cell>
          <cell r="AA1" t="str">
            <v>Account set up charge/change of occupancy charge (plus credit agency costs if applicable)</v>
          </cell>
        </row>
        <row r="2">
          <cell r="A2" t="str">
            <v>EMBEDDED DISTRIBUTOR</v>
          </cell>
          <cell r="I2" t="str">
            <v>Distribution Volumetric Rate - $/kW of contracted amount</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Wheeling Service Rate</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General Service 1,500 to 4,999 kW customer</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General Service 50 to 1,499 kW customer</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General Service Large Use customer</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Green Energy Act Plan Funding Adder - effective April 1, 2013 until March 31, 2014</v>
          </cell>
        </row>
        <row r="8">
          <cell r="A8" t="str">
            <v>GENERAL SERVICE 1,000 TO 2,999 KW</v>
          </cell>
          <cell r="I8" t="str">
            <v>Green Energy Act Plan Funding Adder - effective until March 31, 2013</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 - INTERVAL METERS</v>
          </cell>
          <cell r="I9" t="str">
            <v>Low Voltage Service Charge</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(CO-GENERATION)</v>
          </cell>
          <cell r="I10" t="str">
            <v>Low Voltage Service Rate</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v>
          </cell>
          <cell r="I11" t="str">
            <v>Low Voltage Volumetric Rate</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Mechanism (SSM) Recovery (2012) - effective until April 30, 2014</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Minimum Distribution Charge - per KW of maximum billing demand in the previous 11 months</v>
          </cell>
        </row>
        <row r="14">
          <cell r="A14" t="str">
            <v>GENERAL SERVICE 3,000 TO 4,999 KW - INTERMEDIATE USE</v>
          </cell>
          <cell r="I14" t="str">
            <v>Monthly Distribution Wheeling Service Rate - Dedicated LV Line</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INTERVAL METERED</v>
          </cell>
          <cell r="I15" t="str">
            <v>Monthly Distribution Wheeling Service Rate - Hydro One Networks</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TIME OF USE</v>
          </cell>
          <cell r="I16" t="str">
            <v>Monthly Distribution Wheeling Service Rate - Shared LV Line</v>
          </cell>
          <cell r="Z16" t="str">
            <v>Dispute Test – Commercial self contained -- MC</v>
          </cell>
          <cell r="AA16" t="str">
            <v>Disconnect/Reconnect at pole – during regular hours</v>
          </cell>
        </row>
        <row r="17">
          <cell r="A17" t="str">
            <v>GENERAL SERVICE 3,000 TO 4,999 KW</v>
          </cell>
          <cell r="I17" t="str">
            <v>Monthly Distribution Wheeling Service Rate - Waterloo North Hydro</v>
          </cell>
          <cell r="Z17" t="str">
            <v>Dispute Test – Commercial TT -- MC</v>
          </cell>
          <cell r="AA17" t="str">
            <v>Disconnect/Reconnect Charge – At Meter – After Hours</v>
          </cell>
        </row>
        <row r="18">
          <cell r="A18" t="str">
            <v>GENERAL SERVICE 50 TO 1,000 KW - INTERVAL METERS</v>
          </cell>
          <cell r="I18" t="str">
            <v>Rate Rider for Application of Tax Change - effective until April 30, 2014</v>
          </cell>
          <cell r="Z18" t="str">
            <v>Dispute Test – Residential</v>
          </cell>
          <cell r="AA18" t="str">
            <v>Disconnect/Reconnect Charge – At Meter – During Regular Hours</v>
          </cell>
        </row>
        <row r="19">
          <cell r="A19" t="str">
            <v>GENERAL SERVICE 50 TO 1,000 KW - NON INTERVAL METERS</v>
          </cell>
          <cell r="I19" t="str">
            <v>Rate Rider for Application of Tax Change - effective until December 31, 2013</v>
          </cell>
          <cell r="Z19" t="str">
            <v>Duplicate Invoices for previous billing</v>
          </cell>
          <cell r="AA19" t="str">
            <v>Disconnect/Reconnect Charge – At Pole – After Hours</v>
          </cell>
        </row>
        <row r="20">
          <cell r="A20" t="str">
            <v>GENERAL SERVICE 50 TO 1,000 KW</v>
          </cell>
          <cell r="I20" t="str">
            <v>Rate Rider for Application of Tax Change - Hydro One Networks - effective until April 30, 2014</v>
          </cell>
          <cell r="Z20" t="str">
            <v>Easement Letter</v>
          </cell>
          <cell r="AA20" t="str">
            <v>Disconnect/Reconnect Charge – At Pole – During Regular Hours</v>
          </cell>
        </row>
        <row r="21">
          <cell r="A21" t="str">
            <v>GENERAL SERVICE 50 TO 1,499 KW - INTERVAL METERED</v>
          </cell>
          <cell r="I21" t="str">
            <v>Rate Rider for Application of Tax Change - Waterloo North Hydro - effective until April 30, 2014</v>
          </cell>
          <cell r="Z21" t="str">
            <v>Income Tax Letter</v>
          </cell>
          <cell r="AA21" t="str">
            <v>Disconnect/Reconnect Charges for non payment of account - At Meter After Hours</v>
          </cell>
        </row>
        <row r="22">
          <cell r="A22" t="str">
            <v>GENERAL SERVICE 50 TO 1,499 KW</v>
          </cell>
          <cell r="I22" t="str">
            <v>Rate Rider for Application of Tax Change (2013) - effective until April 30, 2014</v>
          </cell>
          <cell r="Z22" t="str">
            <v>Interval Meter Interrogation</v>
          </cell>
          <cell r="AA22" t="str">
            <v>Disconnect/Reconnect charges for non payment of account – at meter after regular hours</v>
          </cell>
        </row>
        <row r="23">
          <cell r="A23" t="str">
            <v>GENERAL SERVICE 50 TO 2,499 KW</v>
          </cell>
          <cell r="I23" t="str">
            <v>Rate Rider for Application of Tax Change (per connection) - effective until April 30, 2014</v>
          </cell>
          <cell r="Z23" t="str">
            <v>Interval meter request change</v>
          </cell>
          <cell r="AA23" t="str">
            <v>Disconnect/Reconnect Charges for non payment of account - At Meter During Regular Hours</v>
          </cell>
        </row>
        <row r="24">
          <cell r="A24" t="str">
            <v>GENERAL SERVICE 50 TO 2,999 KW - INTERVAL METERED</v>
          </cell>
          <cell r="I24" t="str">
            <v>Rate Rider for Application of Tax Change Dedicated LV Line - effective until April 30, 2014</v>
          </cell>
          <cell r="Z24" t="str">
            <v>Legal letter</v>
          </cell>
          <cell r="AA24" t="str">
            <v>Disconnect/Reconnect charges for non payment of account – at meter during regular hours</v>
          </cell>
        </row>
        <row r="25">
          <cell r="A25" t="str">
            <v>GENERAL SERVICE 50 TO 2,999 KW - TIME OF USE</v>
          </cell>
          <cell r="I25" t="str">
            <v>Rate Rider for Application of Tax Change Shared LV Line - effective until April 30, 2014</v>
          </cell>
          <cell r="Z25" t="str">
            <v>Legal letter charge</v>
          </cell>
          <cell r="AA25" t="str">
            <v>Disconnect/Reconnect charges for non payment of account – at pole after regular hours</v>
          </cell>
        </row>
        <row r="26">
          <cell r="A26" t="str">
            <v>GENERAL SERVICE 50 TO 2,999 KW</v>
          </cell>
          <cell r="I26" t="str">
            <v>Rate Rider for Deferral/Variance Account (2012) - effective unitl April 30, 2016</v>
          </cell>
          <cell r="Z26" t="str">
            <v>Meter dispute charge plus Measurement Canada fees (if meter found correct)</v>
          </cell>
          <cell r="AA26" t="str">
            <v>Disconnect/Reconnect charges for non payment of account – at pole during regular hours</v>
          </cell>
        </row>
        <row r="27">
          <cell r="A27" t="str">
            <v>GENERAL SERVICE 50 TO 4,999 KW - INTERVAL METERED</v>
          </cell>
          <cell r="I27" t="str">
            <v>Rate Rider for Deferral/Variance Account Disposition (2012) - effective until April 30, 2016</v>
          </cell>
          <cell r="Z27" t="str">
            <v>Notification charge</v>
          </cell>
          <cell r="AA27" t="str">
            <v>Disconnect/Reconnection for &gt;300 volts - after regular hours</v>
          </cell>
        </row>
        <row r="28">
          <cell r="A28" t="str">
            <v>GENERAL SERVICE 50 TO 4,999 KW - TIME OF USE</v>
          </cell>
          <cell r="I28" t="str">
            <v>Rate Rider for Deferral/Variance Account Disposition (2013) - effective until April 30, 2014</v>
          </cell>
          <cell r="Z28" t="str">
            <v>Pulling Post Dated Cheques</v>
          </cell>
          <cell r="AA28" t="str">
            <v>Disconnect/Reconnection for &gt;300 volts - during regular hours</v>
          </cell>
        </row>
        <row r="29">
          <cell r="A29" t="str">
            <v>GENERAL SERVICE 50 TO 4,999 KW (COGENERATION)</v>
          </cell>
          <cell r="I29" t="str">
            <v>Rate Rider for Deferral/Variance Account Dispositon (2012) - effective until April 30, 2016</v>
          </cell>
          <cell r="Z29" t="str">
            <v>Request for other billing information</v>
          </cell>
          <cell r="AA29" t="str">
            <v>Disposal of Concrete Poles</v>
          </cell>
        </row>
        <row r="30">
          <cell r="A30" t="str">
            <v>GENERAL SERVICE 50 TO 4,999 KW (FORMERLY TIME OF USE)</v>
          </cell>
          <cell r="I30" t="str">
            <v>Rate Rider for Disposition of Capital Gain - effective until April 30, 2014</v>
          </cell>
          <cell r="Z30" t="str">
            <v>Returned cheque (plus bank charges)</v>
          </cell>
          <cell r="AA30" t="str">
            <v>Dispute Test – Commercial TT -- MC</v>
          </cell>
        </row>
        <row r="31">
          <cell r="A31" t="str">
            <v>GENERAL SERVICE 50 TO 4,999 KW</v>
          </cell>
          <cell r="I31" t="str">
            <v>Rate Rider for Disposition of Deferral/Variance Accounts - effective until August 31, 2013</v>
          </cell>
          <cell r="Z31" t="str">
            <v>Returned cheque charge (plus bank charges)</v>
          </cell>
          <cell r="AA31" t="str">
            <v>Install/Remove load control device – after regular hours</v>
          </cell>
        </row>
        <row r="32">
          <cell r="A32" t="str">
            <v>GENERAL SERVICE 50 TO 499 KW</v>
          </cell>
          <cell r="I32" t="str">
            <v>Rate Rider for Disposition of Deferral/Variance Accounts (2010) - effective until April 30, 2014</v>
          </cell>
          <cell r="Z32" t="str">
            <v>Special Billing Service (aggregation)</v>
          </cell>
          <cell r="AA32" t="str">
            <v>Install/Remove load control device – during regular hours</v>
          </cell>
        </row>
        <row r="33">
          <cell r="A33" t="str">
            <v>GENERAL SERVICE 50 TO 699 KW</v>
          </cell>
          <cell r="I33" t="str">
            <v>Rate Rider for Disposition of Deferral/Variance Accounts (2011) - effective until April 30, 2014</v>
          </cell>
          <cell r="Z33" t="str">
            <v>Special Billing Service (sub-metering charge per meter)</v>
          </cell>
          <cell r="AA33" t="str">
            <v>Interval Meter Interrogation</v>
          </cell>
        </row>
        <row r="34">
          <cell r="A34" t="str">
            <v>GENERAL SERVICE 50 TO 999 KW - INTERVAL METERED</v>
          </cell>
          <cell r="I34" t="str">
            <v>Rate Rider for Disposition of Deferral/Variance Accounts (2011) - effective until April 30, 2015</v>
          </cell>
          <cell r="Z34" t="str">
            <v>Special meter reads</v>
          </cell>
          <cell r="AA34" t="str">
            <v>Interval Meter Load Management Tool Charge $/month</v>
          </cell>
        </row>
        <row r="35">
          <cell r="A35" t="str">
            <v>GENERAL SERVICE 50 TO 999 KW</v>
          </cell>
          <cell r="I35" t="str">
            <v>Rate Rider for Disposition of Deferral/Variance Accounts (2011) - effective until April 30, 2016</v>
          </cell>
          <cell r="Z35" t="str">
            <v>Statement of Account</v>
          </cell>
          <cell r="AA35" t="str">
            <v>Interval meter request change</v>
          </cell>
        </row>
        <row r="36">
          <cell r="A36" t="str">
            <v>GENERAL SERVICE 500 TO 4,999 KW</v>
          </cell>
          <cell r="I36" t="str">
            <v>Rate Rider for Disposition of Deferral/Variance Accounts (2012) - effective until April 30, 2014</v>
          </cell>
          <cell r="Z36" t="str">
            <v>Unprocessed Payment Charge (plus bank charges)</v>
          </cell>
          <cell r="AA36" t="str">
            <v>Late Payment – per annum</v>
          </cell>
        </row>
        <row r="37">
          <cell r="A37" t="str">
            <v>GENERAL SERVICE 700 TO 4,999 KW</v>
          </cell>
          <cell r="I37" t="str">
            <v>Rate Rider for Disposition of Deferral/Variance Accounts (2012) - effective until April 30, 2015</v>
          </cell>
          <cell r="AA37" t="str">
            <v>Late Payment – per month</v>
          </cell>
        </row>
        <row r="38">
          <cell r="A38" t="str">
            <v>GENERAL SERVICE DEMAND BILLED (50 KW AND ABOVE) [GSD]</v>
          </cell>
          <cell r="I38" t="str">
            <v>Rate Rider for Disposition of Deferral/Variance Accounts (2012) - effective until April 30, 2016</v>
          </cell>
          <cell r="AA38" t="str">
            <v>Layout fees</v>
          </cell>
        </row>
        <row r="39">
          <cell r="A39" t="str">
            <v>GENERAL SERVICE ENERGY BILLED (LESS THAN 50 KW) [GSE-METERED]</v>
          </cell>
          <cell r="I39" t="str">
            <v>Rate Rider for Disposition of Deferral/Variance Accounts (2012) - effective until December 31, 2013</v>
          </cell>
          <cell r="AA39" t="str">
            <v>Meter dispute charge plus Measurement Canada fees (if meter found correct)</v>
          </cell>
        </row>
        <row r="40">
          <cell r="A40" t="str">
            <v>GENERAL SERVICE ENERGY BILLED (LESS THAN TO 50 KW) [GSE-UNMETERED]</v>
          </cell>
          <cell r="I40" t="str">
            <v>Rate Rider for Disposition of Deferral/Variance Accounts (2012) - effective until December 31, 2013 Applicable in the service area excluding the former service area of Clinton Power</v>
          </cell>
          <cell r="AA40" t="str">
            <v>Meter Interrogation Charge</v>
          </cell>
        </row>
        <row r="41">
          <cell r="A41" t="str">
            <v>GENERAL SERVICE EQUAL TO OR GREATER THAN 1,500 KW - INTERVAL METERED</v>
          </cell>
          <cell r="I41" t="str">
            <v>Rate Rider for Disposition of Deferral/Variance Accounts (2012) - effective until December 31, 2013 Applicable in the service area excluding the former service areas of Clinton Power and 
West Perth Power</v>
          </cell>
          <cell r="AA41" t="str">
            <v>Missed Service Appointment</v>
          </cell>
        </row>
        <row r="42">
          <cell r="A42" t="str">
            <v>GENERAL SERVICE EQUAL TO OR GREATER THAN 1,500 KW</v>
          </cell>
          <cell r="I42" t="str">
            <v>Rate Rider for Disposition of Deferral/Variance Accounts (2012) - effective until December 31, 2013 Applicable only in the former service area of West Perth Power</v>
          </cell>
          <cell r="AA42" t="str">
            <v>Norfolk Pole Rentals – Billed</v>
          </cell>
        </row>
        <row r="43">
          <cell r="A43" t="str">
            <v>GENERAL SERVICE GREATER THAN 1,000 KW</v>
          </cell>
          <cell r="I43" t="str">
            <v>Rate Rider for Disposition of Deferral/Variance Accounts (2012) - effective until December 31, 2015</v>
          </cell>
          <cell r="AA43" t="str">
            <v>Optional Interval/TOU Meter charge $/month</v>
          </cell>
        </row>
        <row r="44">
          <cell r="A44" t="str">
            <v>GENERAL SERVICE INTERMEDIATE 1,000 TO 4,999 KW</v>
          </cell>
          <cell r="I44" t="str">
            <v>Rate Rider for Disposition of Deferral/Variance Accounts (2012) - effective until December 31, 2016 Applicable only in the former service area of Clinton Power</v>
          </cell>
          <cell r="AA44" t="str">
            <v>Overtime Locate</v>
          </cell>
        </row>
        <row r="45">
          <cell r="A45" t="str">
            <v>GENERAL SERVICE INTERMEDIATE RATE CLASS 1,000 TO 4,999 KW (FORMERLY GENERAL SERVICE &gt; 50 KW CUSTOMERS)</v>
          </cell>
          <cell r="I45" t="str">
            <v>Rate Rider for Disposition of Deferral/Variance Accounts (2012) - effective until February 28, 2013</v>
          </cell>
          <cell r="AA45" t="str">
            <v>Owner Requested Disconnection/Reconnection – after regular hours</v>
          </cell>
        </row>
        <row r="46">
          <cell r="A46" t="str">
            <v>GENERAL SERVICE INTERMEDIATE RATE CLASS 1,000 TO 4,999 KW (FORMERLY LARGE USE CUSTOMERS)</v>
          </cell>
          <cell r="I46" t="str">
            <v>Rate Rider for Disposition of Deferral/Variance Accounts (2012) - effective until June 30, 2014</v>
          </cell>
          <cell r="AA46" t="str">
            <v>Owner Requested Disconnection/Reconnection – during regular hours</v>
          </cell>
        </row>
        <row r="47">
          <cell r="A47" t="str">
            <v>GENERAL SERVICE LESS THAN 50 KW - SINGLE PHASE ENERGY-BILLED [G1]</v>
          </cell>
          <cell r="I47" t="str">
            <v>Rate Rider for Disposition of Deferral/Variance Accounts (2012) - effective until March 31, 2013</v>
          </cell>
          <cell r="AA47" t="str">
            <v>Returned cheque (plus bank charges)</v>
          </cell>
        </row>
        <row r="48">
          <cell r="A48" t="str">
            <v>GENERAL SERVICE LESS THAN 50 KW - THREE PHASE ENERGY-BILLED [G3]</v>
          </cell>
          <cell r="I48" t="str">
            <v>Rate Rider for Disposition of Deferral/Variance Accounts (2012) - effective until October 31, 2013</v>
          </cell>
          <cell r="AA48" t="str">
            <v>Rural system expansion / line connection fee</v>
          </cell>
        </row>
        <row r="49">
          <cell r="A49" t="str">
            <v>GENERAL SERVICE LESS THAN 50 KW - TRANSMISSION CLASS ENERGY-BILLED [T]</v>
          </cell>
          <cell r="I49" t="str">
            <v>Rate Rider for Disposition of Deferral/Variance Accounts (2013) - effective until April 30, 2014</v>
          </cell>
          <cell r="AA49" t="str">
            <v>Same Day Open Trench</v>
          </cell>
        </row>
        <row r="50">
          <cell r="A50" t="str">
            <v>GENERAL SERVICE LESS THAN 50 KW - URBAN ENERGY-BILLED [UG]</v>
          </cell>
          <cell r="I50" t="str">
            <v>Rate Rider for Disposition of Deferral/Variance Accounts (2013) - effective until April 30, 2015</v>
          </cell>
          <cell r="AA50" t="str">
            <v>Scheduled Day Open Trench</v>
          </cell>
        </row>
        <row r="51">
          <cell r="A51" t="str">
            <v>GENERAL SERVICE LESS THAN 50 KW</v>
          </cell>
          <cell r="I51" t="str">
            <v>Rate Rider for Disposition of Deferral/Variance Accounts (2013) - effective until April 30, 2017</v>
          </cell>
          <cell r="AA51" t="str">
            <v>Service call – after regular hours</v>
          </cell>
        </row>
        <row r="52">
          <cell r="A52" t="str">
            <v>GENERAL SERVICE SINGLE PHASE - G1</v>
          </cell>
          <cell r="I52" t="str">
            <v>Rate Rider for Disposition of Deferral/Variance Accounts (2013) - effective until December 31, 2013</v>
          </cell>
          <cell r="AA52" t="str">
            <v>Service call – customer owned equipment</v>
          </cell>
        </row>
        <row r="53">
          <cell r="A53" t="str">
            <v>GENERAL SERVICE THREE PHASE - G3</v>
          </cell>
          <cell r="I53" t="str">
            <v>Rate Rider for Disposition of Deferred PILs Variance Account 1562 - effective until April 30, 2014</v>
          </cell>
          <cell r="AA53" t="str">
            <v>Service Call – Customer-owned Equipment – After Regular Hours</v>
          </cell>
        </row>
        <row r="54">
          <cell r="A54" t="str">
            <v>INTERMEDIATE USERS</v>
          </cell>
          <cell r="I54" t="str">
            <v>Rate Rider for Disposition of Deferred PILs Variance Account 1562 - effective until December 31, 2013</v>
          </cell>
          <cell r="AA54" t="str">
            <v>Service Call – Customer-owned Equipment – During Regular Hours</v>
          </cell>
        </row>
        <row r="55">
          <cell r="A55" t="str">
            <v>INTERMEDIATE WITH SELF GENERATION</v>
          </cell>
          <cell r="I55" t="str">
            <v>Rate Rider for Disposition of Deferred PILs Variance Account 1562 - effective until March 31, 2016</v>
          </cell>
          <cell r="AA55" t="str">
            <v>Service Charge for onsite interrogation of interval meter due to customer phone line failure - required weekly until line repaired $ 6</v>
          </cell>
        </row>
        <row r="56">
          <cell r="A56" t="str">
            <v>LARGE USE - 3TS</v>
          </cell>
          <cell r="I56" t="str">
            <v>Rate Rider for Disposition of Deferred PILs Variance Account 1562 - effective until November 30, 2013</v>
          </cell>
          <cell r="AA56" t="str">
            <v>Service Layout - Commercial</v>
          </cell>
        </row>
        <row r="57">
          <cell r="A57" t="str">
            <v>LARGE USE - FORD ANNEX</v>
          </cell>
          <cell r="I57" t="str">
            <v>Rate Rider for Disposition of Deferred PILs Variance Account 1562 - effective until October 31, 2013</v>
          </cell>
          <cell r="AA57" t="str">
            <v>Service Layout - ResidentiaI</v>
          </cell>
        </row>
        <row r="58">
          <cell r="A58" t="str">
            <v>LARGE USE - REGULAR</v>
          </cell>
          <cell r="I58" t="str">
            <v>Rate Rider for Disposition of Deferred PILs Variance Account 1562 (2012) - effective until April 30, 2015</v>
          </cell>
          <cell r="AA58" t="str">
            <v>Special Billing Service (sub-metering charge per meter)</v>
          </cell>
        </row>
        <row r="59">
          <cell r="A59" t="str">
            <v>LARGE USE &gt; 5000 KW</v>
          </cell>
          <cell r="I59" t="str">
            <v>Rate Rider for Disposition of Deferred PILs Variance Account 1562 (per connection) (2012) - effective until April 30, 2015</v>
          </cell>
          <cell r="AA59" t="str">
            <v>Special meter reads</v>
          </cell>
        </row>
        <row r="60">
          <cell r="A60" t="str">
            <v>LARGE USE</v>
          </cell>
          <cell r="I60" t="str">
            <v>Rate Rider for Disposition of Global Adjustment Sub-Account - effective until November 30, 2013 
 Applicable only for Non-RPP Customers</v>
          </cell>
          <cell r="AA60" t="str">
            <v>Specific Charge for Access to the Power Poles - $/pole/year</v>
          </cell>
        </row>
        <row r="61">
          <cell r="A61" t="str">
            <v>microFIT</v>
          </cell>
          <cell r="I61" t="str">
            <v>Rate Rider for Disposition of Global Adjustment Sub-Account - effective until November 30, 2013 Applicable only for Non-RPP Customers</v>
          </cell>
          <cell r="AA61" t="str">
            <v>Specific Charge for Bell Canada Access to the Power Poles – per pole/year</v>
          </cell>
        </row>
        <row r="62">
          <cell r="A62" t="str">
            <v>RESIDENTIAL - HENSALL</v>
          </cell>
          <cell r="I62" t="str">
            <v>Rate Rider for Disposition of Global Adjustment Sub-Account (2010) - effective until April 30, 2014 Applicable only for Non-RPP Customers</v>
          </cell>
          <cell r="AA62" t="str">
            <v>Switching for company maintenance – Charge based on Time and Materials</v>
          </cell>
        </row>
        <row r="63">
          <cell r="A63" t="str">
            <v>RESIDENTIAL - HIGH DENSITY [R1]</v>
          </cell>
          <cell r="I63" t="str">
            <v>Rate Rider for Disposition of Global Adjustment Sub-Account (2011) - effective until April 30, 2014 Applicable only for Non-RPP Customers</v>
          </cell>
          <cell r="AA63" t="str">
            <v>Temporary Service – Install &amp; remove – overhead – no transformer</v>
          </cell>
        </row>
        <row r="64">
          <cell r="A64" t="str">
            <v>RESIDENTIAL - LOW DENSITY [R2]</v>
          </cell>
          <cell r="I64" t="str">
            <v>Rate Rider for Disposition of Global Adjustment Sub-Account (2011) - effective until April 30, 2015 Applicable only for Non-RPP Customers</v>
          </cell>
          <cell r="AA64" t="str">
            <v>Temporary Service – Install &amp; remove – overhead – with transformer</v>
          </cell>
        </row>
        <row r="65">
          <cell r="A65" t="str">
            <v>RESIDENTIAL - MEDIUM DENSITY [R1]</v>
          </cell>
          <cell r="I65" t="str">
            <v>Rate Rider for Disposition of Global Adjustment Sub-Account (2011) - effective until April 30, 2016 Applicable only for Non-RPP Customers</v>
          </cell>
          <cell r="AA65" t="str">
            <v>Temporary Service – Install &amp; remove – underground – no transformer</v>
          </cell>
        </row>
        <row r="66">
          <cell r="A66" t="str">
            <v>RESIDENTIAL - NORMAL DENSITY [R2]</v>
          </cell>
          <cell r="I66" t="str">
            <v>Rate Rider for Disposition of Global Adjustment Sub-Account (2012) - effective until April 30, 2014 Applicable only for Non-RPP Customers</v>
          </cell>
          <cell r="AA66" t="str">
            <v>Temporary service install &amp; remove – overhead – no transformer</v>
          </cell>
        </row>
        <row r="67">
          <cell r="A67" t="str">
            <v>RESIDENTIAL - TIME OF USE</v>
          </cell>
          <cell r="I67" t="str">
            <v>Rate Rider for Disposition of Global Adjustment Sub-Account (2012) - effective until April 30, 2015 Applicable only for Non-RPP Customers</v>
          </cell>
          <cell r="AA67" t="str">
            <v>Temporary Service Install &amp; Remove – Overhead – With Transformer</v>
          </cell>
        </row>
        <row r="68">
          <cell r="A68" t="str">
            <v>RESIDENTIAL - URBAN [UR]</v>
          </cell>
          <cell r="I68" t="str">
            <v>Rate Rider for Disposition of Global Adjustment Sub-Account (2012) - effective until April 30, 2015 Applicatble only for Non-RPP Customers</v>
          </cell>
          <cell r="AA68" t="str">
            <v>Temporary Service Install &amp; Remove – Underground – No Transformer</v>
          </cell>
        </row>
        <row r="69">
          <cell r="A69" t="str">
            <v>RESIDENTIAL REGULAR</v>
          </cell>
          <cell r="I69" t="str">
            <v>Rate Rider for Disposition of Global Adjustment Sub-Account (2012) - effective until April 30, 2016 Applicable only for Non-RPP Customers</v>
          </cell>
          <cell r="AA69" t="str">
            <v>Temporary service installation and removal – overhead – no transformer</v>
          </cell>
        </row>
        <row r="70">
          <cell r="A70" t="str">
            <v>RESIDENTIAL</v>
          </cell>
          <cell r="I70" t="str">
            <v>Rate Rider for Disposition of Global Adjustment Sub-Account (2012) - effective until December 31, 2013 Applicable only for Non-RPP Customers in the former service area of Clinton Power</v>
          </cell>
          <cell r="AA70" t="str">
            <v>Temporary service installation and removal – overhead – with transformer</v>
          </cell>
        </row>
        <row r="71">
          <cell r="A71" t="str">
            <v>RESIDENTIAL SUBURBAN SEASONAL</v>
          </cell>
          <cell r="I71" t="str">
            <v>Rate Rider for Disposition of Global Adjustment Sub-Account (2012) - effective until December 31, 2013 Applicable only for Non-RPP Customers in the former service area of West Perth Power</v>
          </cell>
          <cell r="AA71" t="str">
            <v>Temporary service installation and removal – underground – no transformer</v>
          </cell>
        </row>
        <row r="72">
          <cell r="A72" t="str">
            <v>RESIDENTIAL SUBURBAN</v>
          </cell>
          <cell r="I72" t="str">
            <v>Rate Rider for Disposition of Global Adjustment Sub-Account (2012) - effective until December 31, 2013 Applicable only for Non-RPP Customers in the service area excluding the former service areas of Clinton Power and West Perth Power</v>
          </cell>
        </row>
        <row r="73">
          <cell r="A73" t="str">
            <v>RESIDENTIAL SUBURBAN YEAR ROUND</v>
          </cell>
          <cell r="I73" t="str">
            <v>Rate Rider for Disposition of Global Adjustment Sub-Account (2012) - effective until February 28, 2013 Applicable only for Non-RPP Customers</v>
          </cell>
        </row>
        <row r="74">
          <cell r="A74" t="str">
            <v>RESIDENTIAL URBAN</v>
          </cell>
          <cell r="I74" t="str">
            <v>Rate Rider for Disposition of Global Adjustment Sub-Account (2012) - effective until June 30, 2014 Applicable only for Non-RPP Customers</v>
          </cell>
        </row>
        <row r="75">
          <cell r="A75" t="str">
            <v>RESIDENTIAL URBAN YEAR-ROUND</v>
          </cell>
          <cell r="I75" t="str">
            <v>Rate Rider for Disposition of Global Adjustment Sub-Account (2012) - effective until March 31, 2013 Applicable only for Non-RPP Customers</v>
          </cell>
        </row>
        <row r="76">
          <cell r="A76" t="str">
            <v>SEASONAL RESIDENTIAL - HIGH DENSITY [R3]</v>
          </cell>
          <cell r="I76" t="str">
            <v>Rate Rider for Disposition of Global Adjustment Sub-Account (2012) - effective until October 31, 2013 Applicable only for Non-RPP Customers</v>
          </cell>
        </row>
        <row r="77">
          <cell r="A77" t="str">
            <v>SEASONAL RESIDENTIAL - NORMAL DENSITY [R4]</v>
          </cell>
          <cell r="I77" t="str">
            <v>Rate Rider for Disposition of Global Adjustment Sub-Account (2013) - effective until April 30, 2014 Applicable only for Non-RPP Customers</v>
          </cell>
        </row>
        <row r="78">
          <cell r="A78" t="str">
            <v>SEASONAL RESIDENTIAL</v>
          </cell>
          <cell r="I78" t="str">
            <v>Rate Rider for Disposition of Global Adjustment Sub-Account (2013) - effective until April 30, 2015 Applicable only for Non-RPP Customers</v>
          </cell>
        </row>
        <row r="79">
          <cell r="A79" t="str">
            <v>SENTINEL LIGHTING</v>
          </cell>
          <cell r="I79" t="str">
            <v>Rate Rider for Disposition of Global Adjustment Sub-Account (2013) - effective until April 30, 2017 Applicable only for Non-RPP Customers</v>
          </cell>
        </row>
        <row r="80">
          <cell r="A80" t="str">
            <v>SMALL COMMERCIAL AND USL - PER CONNECTION</v>
          </cell>
          <cell r="I80" t="str">
            <v>Rate Rider for Disposition of Global Adjustment Sub-Account (2013) - effective until December 31, 2013 Applicable only for Non-RPP Customers</v>
          </cell>
        </row>
        <row r="81">
          <cell r="A81" t="str">
            <v>SMALL COMMERCIAL AND USL - PER METER</v>
          </cell>
          <cell r="I81" t="str">
            <v>Rate Rider for Disposition of Post Retirement Actuarial Gain - effective until March 31, 2025</v>
          </cell>
        </row>
        <row r="82">
          <cell r="A82" t="str">
            <v>STANDARD A GENERAL SERVICE AIR ACCESS</v>
          </cell>
          <cell r="I82" t="str">
            <v>Rate Rider for Disposition of Residual Hisotrical Smart Meter Costs - effective until April 30, 2015</v>
          </cell>
        </row>
        <row r="83">
          <cell r="A83" t="str">
            <v>STANDARD A GENERAL SERVICE ROAD/RAIL</v>
          </cell>
          <cell r="I83" t="str">
            <v>Rate Rider for Disposition of Residual Historical Smart Meter Costs - effective until April 30, 2013</v>
          </cell>
        </row>
        <row r="84">
          <cell r="A84" t="str">
            <v>STANDARD A RESIDENTIAL AIR ACCESS</v>
          </cell>
          <cell r="I84" t="str">
            <v>Rate Rider for Disposition of Residual Historical Smart Meter Costs - effective until April 30, 2014</v>
          </cell>
        </row>
        <row r="85">
          <cell r="A85" t="str">
            <v>STANDARD A RESIDENTIAL ROAD/RAIL</v>
          </cell>
          <cell r="I85" t="str">
            <v>Rate Rider for Disposition of Residual Historical Smart Meter Costs - effective until April 30, 2016</v>
          </cell>
        </row>
        <row r="86">
          <cell r="A86" t="str">
            <v>STANDBY - GENERAL SERVICE 1,000 - 5,000 KW</v>
          </cell>
          <cell r="I86" t="str">
            <v>Rate Rider for Disposition of Residual Historical Smart Meter Costs - effective until August 31, 2013</v>
          </cell>
        </row>
        <row r="87">
          <cell r="A87" t="str">
            <v>STANDBY - GENERAL SERVICE 50 - 1,000 KW</v>
          </cell>
          <cell r="I87" t="str">
            <v>Rate Rider for Disposition of Residual Historical Smart Meter Costs - effective until August 31, 2015</v>
          </cell>
        </row>
        <row r="88">
          <cell r="A88" t="str">
            <v>STANDBY - LARGE USE</v>
          </cell>
          <cell r="I88" t="str">
            <v>Rate Rider for Disposition of Residual Historical Smart Meter Costs - effective until December 31, 2013</v>
          </cell>
        </row>
        <row r="89">
          <cell r="A89" t="str">
            <v>STANDBY DISTRIBUTION SERVICE</v>
          </cell>
          <cell r="I89" t="str">
            <v>Rate Rider for Disposition of Residual Historical Smart Meter Costs - effective until December 31, 2014</v>
          </cell>
        </row>
        <row r="90">
          <cell r="A90" t="str">
            <v>STANDBY POWER - APPROVED ON AN INTERIM BASIS</v>
          </cell>
          <cell r="I90" t="str">
            <v>Rate Rider for Disposition of Residual Historical Smart Meter Costs - effective until December 31, 2015</v>
          </cell>
        </row>
        <row r="91">
          <cell r="A91" t="str">
            <v>STANDBY POWER GENERAL SERVICE 1,500 TO 4,999 KW</v>
          </cell>
          <cell r="I91" t="str">
            <v>Rate Rider for Disposition of Residual Historical Smart Meter Costs - effective until March 31, 2013</v>
          </cell>
        </row>
        <row r="92">
          <cell r="A92" t="str">
            <v>STANDBY POWER GENERAL SERVICE 50 TO 1,499 KW</v>
          </cell>
          <cell r="I92" t="str">
            <v>Rate Rider for Disposition of Residual Historical Smart Meter Costs - effective until November 30, 2013</v>
          </cell>
        </row>
        <row r="93">
          <cell r="A93" t="str">
            <v>STANDBY POWER GENERAL SERVICE LARGE USE</v>
          </cell>
          <cell r="I93" t="str">
            <v>Rate Rider for Disposition of Residual Historical Smart Meter Costs - effective until October 31, 2013</v>
          </cell>
        </row>
        <row r="94">
          <cell r="A94" t="str">
            <v>STANDBY POWER</v>
          </cell>
          <cell r="I94" t="str">
            <v>Rate Rider for Disposition of Residual Historical Smart Meter Costs - effective until September 30, 2014</v>
          </cell>
        </row>
        <row r="95">
          <cell r="A95" t="str">
            <v>STREET LIGHTING</v>
          </cell>
          <cell r="I95" t="str">
            <v>Rate Rider for Disposition of Residual Historical Smart Meter Costs - Non-Interval Metered 
 - effective until April 30, 2014</v>
          </cell>
        </row>
        <row r="96">
          <cell r="A96" t="str">
            <v>SUB TRANSMISSION [ST]</v>
          </cell>
          <cell r="I96" t="str">
            <v>Rate Rider for Disposition of Residual Historical Smart Meter Costs 2 - in effect until the effective 
 date of the next cost of service-based rate order</v>
          </cell>
        </row>
        <row r="97">
          <cell r="A97" t="str">
            <v>UNMETERED SCATTERED LOAD</v>
          </cell>
          <cell r="I97" t="str">
            <v>Rate Rider for Disposition of Residual Historical Smart Meter Costs 3 - in effect until the effective 
 date of the next cost of service-based rate order</v>
          </cell>
        </row>
        <row r="98">
          <cell r="A98" t="str">
            <v>URBAN GENERAL SERVICE DEMAND BILLED (50 KW AND ABOVE) [UGD]</v>
          </cell>
          <cell r="I98" t="str">
            <v>Rate Rider for Disposition of Residual Incremental Historical Smart Meter Costs - 
 effective until August 31, 2015</v>
          </cell>
        </row>
        <row r="99">
          <cell r="A99" t="str">
            <v>URBAN GENERAL SERVICE ENERGY BILLED (LESS THAN 50 KW) [UGE]</v>
          </cell>
          <cell r="I99" t="str">
            <v>Rate Rider for Disposition of Stranded Meter Costs - effective until April 30, 2016</v>
          </cell>
        </row>
        <row r="100">
          <cell r="A100" t="str">
            <v>WESTPORT SEWAGE TREATMENT PLANT</v>
          </cell>
          <cell r="I100" t="str">
            <v>Rate Rider for Global Adjustment Sub Account Disposition - effective until April 30, 2016 Applicable only for Non RPP Customers</v>
          </cell>
        </row>
        <row r="101">
          <cell r="A101" t="str">
            <v>YEAR-ROUND RESIDENTIAL - R2</v>
          </cell>
          <cell r="I101" t="str">
            <v>Rate Rider for Incremental Capital (2012) - effective until April 30, 2015</v>
          </cell>
        </row>
        <row r="102">
          <cell r="I102" t="str">
            <v>Rate Rider for Lost Revenue Adjustment (LRAM) Recovery/Shared Savings Mechanism Recovery 
 (2011) - effective until April 30, 2014</v>
          </cell>
        </row>
        <row r="103">
          <cell r="I103" t="str">
            <v>Rate Rider for Lost Revenue Adjustment Mechanism Variance Account (LRAMVA) (2011) – effective until April 30, 2014</v>
          </cell>
        </row>
        <row r="104">
          <cell r="I104" t="str">
            <v>Rate Rider for Lost Revenue Adjustment Mechanism Variance Account (LRAMVA) Recovery 
 (2011 CDM Activities) - effective until April 30, 2014</v>
          </cell>
        </row>
        <row r="105">
          <cell r="I105" t="str">
            <v>Rate Rider for Recover of Residual Historical Smart Meter Costs - effective until June 30, 2014</v>
          </cell>
        </row>
        <row r="106">
          <cell r="I106" t="str">
            <v>Rate Rider for Recovery of Deferred Revenue - effective until December 31, 2013</v>
          </cell>
        </row>
        <row r="107">
          <cell r="I107" t="str">
            <v>Rate Rider for Recovery of Forgone Revenue - effective until April 30, 2014</v>
          </cell>
        </row>
        <row r="108">
          <cell r="I108" t="str">
            <v>Rate Rider for Recovery of Green Energy Act related costs - effective until December 31, 2013</v>
          </cell>
        </row>
        <row r="109">
          <cell r="I109" t="str">
            <v>Rate Rider for Recovery of Incremental Capital (2013) - in effect until the effective date of the
 next cost of service-based rate order</v>
          </cell>
        </row>
        <row r="110">
          <cell r="I110" t="str">
            <v>Rate Rider for Recovery of Incremental Capital (2013) (per connection) - in effect until the effective date of 
 the next cost of service-based rate order</v>
          </cell>
        </row>
        <row r="111">
          <cell r="I111" t="str">
            <v>Rate Rider for Recovery of Incremental Capital Costs</v>
          </cell>
        </row>
        <row r="112">
          <cell r="I112" t="str">
            <v>Rate Rider for Recovery of Incremental Capital Costs - effective until April 30, 2014</v>
          </cell>
        </row>
        <row r="113">
          <cell r="I113" t="str">
            <v>Rate Rider for Recovery of Incremental Capital Costs - effective until April 30, 2015</v>
          </cell>
        </row>
        <row r="114">
          <cell r="I114" t="str">
            <v>Rate Rider for Recovery of Lost Revenue Adjustment Mechanism (LRAM) - effective until April 30, 2014</v>
          </cell>
        </row>
        <row r="115">
          <cell r="I115" t="str">
            <v>Rate Rider for Recovery of Lost Revenue Adjustment Mechanism (LRAM) - effective until April 30, 2016</v>
          </cell>
        </row>
        <row r="116">
          <cell r="I116" t="str">
            <v>Rate Rider for Recovery of Lost Revenue Adjustment Mechanism (LRAM) - effective until August 31, 2013</v>
          </cell>
        </row>
        <row r="117">
          <cell r="I117" t="str">
            <v>Rate Rider for Recovery of Lost Revenue Adjustment Mechanism (LRAM) - effective until December 31, 2013</v>
          </cell>
        </row>
        <row r="118">
          <cell r="I118" t="str">
            <v>Rate Rider for Recovery of Lost Revenue Adjustment Mechanism (LRAM) - effective until June 30, 2013</v>
          </cell>
        </row>
        <row r="119">
          <cell r="I119" t="str">
            <v>Rate Rider for Recovery of Lost Revenue Adjustment Mechanism (LRAM) - effective until November 30, 2013</v>
          </cell>
        </row>
        <row r="120">
          <cell r="I120" t="str">
            <v>Rate Rider for Recovery of Lost Revenue Adjustment Mechanism (LRAM) (2012) - effective until April 30, 2014</v>
          </cell>
        </row>
        <row r="121">
          <cell r="I121" t="str">
            <v>Rate Rider for Recovery of Lost Revenue Adjustment Mechanism (LRAM) (2012) - effective until February 28, 2013</v>
          </cell>
        </row>
        <row r="122">
          <cell r="I122" t="str">
            <v>Rate Rider for Recovery of Lost Revenue Adjustment Mechanism (LRAM) (2013) - effective until December 31, 2013</v>
          </cell>
        </row>
        <row r="123">
          <cell r="I123" t="str">
            <v>Rate Rider for Recovery of Lost Revenue Adjustment Mechanism (LRAM) (pre-2011 CDM Activities) - effective until April 30, 2014</v>
          </cell>
        </row>
        <row r="124">
          <cell r="I124" t="str">
            <v>Rate Rider for Recovery of Lost Revenue Adjustment Mechanism (LRAM)/Shared Savings</v>
          </cell>
        </row>
        <row r="125">
          <cell r="I125" t="str">
            <v>Rate Rider for Recovery of Lost Revenue Adjustment Mechanism (LRAM)/Shared Savings Mechanism (SSM) - effective until April 30, 2014</v>
          </cell>
        </row>
        <row r="126">
          <cell r="I126" t="str">
            <v>Rate Rider for Recovery of Lost Revenue Adjustment Mechanism (LRAM)/Shared Savings Mechanism (SSM) - effective until December 31, 2014 and applicable in the service area excluding the former service area of Clinton Power</v>
          </cell>
        </row>
        <row r="127">
          <cell r="I127" t="str">
            <v>Rate Rider for Recovery of Lost Revenue Adjustment Mechanism (LRAM)/Shared Savings Mechanism (SSM) - effective until December 31, 2014 and applicable in the service area excluding the former service areas of Clinton Power and West Perth Power</v>
          </cell>
        </row>
        <row r="128">
          <cell r="I128" t="str">
            <v>Rate Rider for Recovery of Lost Revenue Adjustment Mechanism (LRAM)/Shared Savings Mechanism (SSM) - effective until December 31, 2014 and applicable only in the former service area of Clinton Power</v>
          </cell>
        </row>
        <row r="129">
          <cell r="I129" t="str">
            <v>Rate Rider for Recovery of Lost Revenue Adjustment Mechanism (LRAM)/Shared Savings Mechanism (SSM) - effective until December 31, 2014 and applicable only in the former service area of West Perth Power</v>
          </cell>
        </row>
        <row r="130">
          <cell r="I130" t="str">
            <v>Rate Rider for Recovery of Lost Revenue Adjustment Mechanism (LRAM)/Shared Savings Mechanism (SSM) - effective until March 31, 2016</v>
          </cell>
        </row>
        <row r="131">
          <cell r="I131" t="str">
            <v>Rate Rider for Recovery of Lost Revenue Adjustment Mechanism (LRAM)/Shared Savings Mechanism (SSM) Recovery - effective until April 30, 2014</v>
          </cell>
        </row>
        <row r="132">
          <cell r="I132" t="str">
            <v>Rate Rider for Recovery of Lost Revenue Adjustment Mechanism (LRAM)/Shared Savings Mechanism (SSM) Recovery - effective until April 30, 2015</v>
          </cell>
        </row>
        <row r="133">
          <cell r="I133" t="str">
            <v>Rate Rider for Recovery of Lost Revenue Adjustment Mechanism (LRAM)/Shared Savings Mechanism (SSM) Recovery (2010) - effective until April 30, 2014</v>
          </cell>
        </row>
        <row r="134">
          <cell r="I134" t="str">
            <v>Rate Rider for Recovery of Lost Revenue Adjustment Mechanism (LRAM)/Shared Savings Mechanism (SSM) Recovery (2012) - effective until April 30, 2014</v>
          </cell>
        </row>
        <row r="135">
          <cell r="I135" t="str">
            <v>Rate Rider for Recovery of Lost Revenue Adjustment Mechanism (LRAM)/Shared Savings Mechanism (SSM) Recovery (2012) - effective until October 31, 2013</v>
          </cell>
        </row>
        <row r="136">
          <cell r="I136" t="str">
            <v>Rate Rider for Recovery of Residual Historical Smart Meter Costs - effective July 1, 2012 - April 30, 2016</v>
          </cell>
        </row>
        <row r="137">
          <cell r="I137" t="str">
            <v>Rate Rider for Recovery of Smart Meter Incremental Revenue Requirement - effective until the date of the next cost of service-based rate order</v>
          </cell>
        </row>
        <row r="138">
          <cell r="I138" t="str">
            <v>Rate Rider for Recovery of Smart Meter Incremental Revenue Requirement - in effect until the effective date of the next cost of service-based rate order</v>
          </cell>
        </row>
        <row r="139">
          <cell r="I139" t="str">
            <v>Rate Rider for Recovery of Smart Meter Incremental Revenue Requirement - Non-Interval Metered - in effect until the effective date of the next cost of service-based rate order</v>
          </cell>
        </row>
        <row r="140">
          <cell r="I140" t="str">
            <v>Rate Rider for Recovery of Smart Meter Incremental Revenue Requirements - in effect until the effective date of the next cost of service application</v>
          </cell>
        </row>
        <row r="141">
          <cell r="I141" t="str">
            <v>Rate Rider for Recovery of Smart Meter Stranded Assets - effective until April 30, 2016</v>
          </cell>
        </row>
        <row r="142">
          <cell r="I142" t="str">
            <v>Rate Rider for Recovery of Stranded Assets - effective until April 30, 2016</v>
          </cell>
        </row>
        <row r="143">
          <cell r="I143" t="str">
            <v>Rate Rider for Recovery of Stranded Meter Assets - effective July 1, 2012 - April 30, 2016</v>
          </cell>
        </row>
        <row r="144">
          <cell r="I144" t="str">
            <v>Rate Rider for Recovery of Stranded Meter Assets - effective until April 30, 2014</v>
          </cell>
        </row>
        <row r="145">
          <cell r="I145" t="str">
            <v>Rate Rider for Recovery of Stranded Meter Assets – effective until April 30, 2015</v>
          </cell>
        </row>
        <row r="146">
          <cell r="I146" t="str">
            <v>Rate Rider for Recovery of Stranded Meter Assets - effective until April 30, 2016</v>
          </cell>
        </row>
        <row r="147">
          <cell r="I147" t="str">
            <v>Rate Rider for Recovery of Stranded Meter Assets - effective until August 31, 2013</v>
          </cell>
        </row>
        <row r="148">
          <cell r="I148" t="str">
            <v>Rate Rider for Recovery of Stranded Meter Assets - effective until August 31, 2015</v>
          </cell>
        </row>
        <row r="149">
          <cell r="I149" t="str">
            <v>Rate Rider for Recovery of Stranded Meter Assets - effective until December 31, 2014</v>
          </cell>
        </row>
        <row r="150">
          <cell r="I150" t="str">
            <v>Rate Rider for Recovery of Stranded Meter Assets - effective until December 31, 2015</v>
          </cell>
        </row>
        <row r="151">
          <cell r="I151" t="str">
            <v>Rate Rider for Recovery of Stranded Meter Assets - effective until June 30, 2016</v>
          </cell>
        </row>
        <row r="152">
          <cell r="I152" t="str">
            <v>Rate Rider for Recovery of Stranded Meter Assets - effective until March 31, 2016</v>
          </cell>
        </row>
        <row r="153">
          <cell r="I153" t="str">
            <v>Rate Rider for Recovery of Stranded Meter Assets - effective until November 30, 2013</v>
          </cell>
        </row>
        <row r="154">
          <cell r="I154" t="str">
            <v>Rate Rider for Reversal of Deferral/Variance Account Disposition (2011) - effective until April 30, 2015</v>
          </cell>
        </row>
        <row r="155">
          <cell r="I155" t="str">
            <v>Rate Rider for Smart Meter Disposition - effective until October 31, 2013</v>
          </cell>
        </row>
        <row r="156">
          <cell r="I156" t="str">
            <v>Rate Rider for Smart Meter Incremental Revenue Requirement - in effect until the effective date of the next cost of service-based rate order</v>
          </cell>
        </row>
        <row r="157">
          <cell r="I157" t="str">
            <v>Rate Rider for Smart Metering Entity Charge - effective until October 31, 2018</v>
          </cell>
        </row>
        <row r="158">
          <cell r="I158" t="str">
            <v>Rate Rider for the disposition of Deferral/Variance Accounts Disposition (2013) - effective on an interim basis until April 30, 2014</v>
          </cell>
        </row>
        <row r="159">
          <cell r="I159" t="str">
            <v>Rate Rider for the disposition of Global Adjustment Sub-Account Disposition (2013) - effective on an interim basis until April 30, 2014 Applicable only for Non-RPP Customers</v>
          </cell>
        </row>
        <row r="160">
          <cell r="I160" t="str">
            <v>Retail Transmission Rate - Line and Transformation Connection Service Rate</v>
          </cell>
        </row>
        <row r="161">
          <cell r="I161" t="str">
            <v>Retail Transmission Rate - Line and Transformation Connection Service Rate - (less than 1,000 kW)</v>
          </cell>
        </row>
        <row r="162">
          <cell r="I162" t="str">
            <v>Retail Transmission Rate - Line and Transformation Connection Service Rate - Interval Metered</v>
          </cell>
        </row>
        <row r="163">
          <cell r="I163" t="str">
            <v>Retail Transmission Rate - Line and Transformation Connection Service Rate - Interval Metered (1,000 to 4,999 kW)</v>
          </cell>
        </row>
        <row r="164">
          <cell r="I164" t="str">
            <v>Retail Transmission Rate - Line and Transformation Connection Service Rate - Interval Metered (less than 1,000 kW)</v>
          </cell>
        </row>
        <row r="165">
          <cell r="I165" t="str">
            <v>Retail Transmission Rate - Line and Transformation Connection Service Rate - Interval Metered &lt; 1,000 kW</v>
          </cell>
        </row>
        <row r="166">
          <cell r="I166" t="str">
            <v>Retail Transmission Rate - Line and Transformation Connection Service Rate - Interval Metered &gt; 1,000 kW</v>
          </cell>
        </row>
        <row r="167">
          <cell r="I167" t="str">
            <v>Retail Transmission Rate - Line and Transformation Connection Service Rate FOR ALL SERVICE AREAS EXCEPT HENSALL</v>
          </cell>
        </row>
        <row r="168">
          <cell r="I168" t="str">
            <v>Retail Transmission Rate - Line Connection Service Rate</v>
          </cell>
        </row>
        <row r="169">
          <cell r="I169" t="str">
            <v>Retail Transmission Rate - Network Service Rate</v>
          </cell>
        </row>
        <row r="170">
          <cell r="I170" t="str">
            <v>Retail Transmission Rate - Network Service Rate - (less than 1,000 kW)</v>
          </cell>
        </row>
        <row r="171">
          <cell r="I171" t="str">
            <v>Retail Transmission Rate - Network Service Rate - Interval Metered</v>
          </cell>
        </row>
        <row r="172">
          <cell r="I172" t="str">
            <v>Retail Transmission Rate - Network Service Rate - Interval Metered (1,000 to 4,999 kW)</v>
          </cell>
        </row>
        <row r="173">
          <cell r="I173" t="str">
            <v>Retail Transmission Rate - Network Service Rate - Interval Metered (less than 1,000 kW)</v>
          </cell>
        </row>
        <row r="174">
          <cell r="I174" t="str">
            <v>Retail Transmission Rate - Network Service Rate - Interval Metered &gt; 1,000 kW</v>
          </cell>
        </row>
        <row r="175">
          <cell r="I175" t="str">
            <v>Retail Transmission Rate - Transformation Connection Service Rate</v>
          </cell>
        </row>
        <row r="176">
          <cell r="I176" t="str">
            <v>Rider for Global Adjustment Sub-Account Disposition (2012) - effective until April 30, 2016 Applicable only for Non-RPP Customers</v>
          </cell>
        </row>
        <row r="177">
          <cell r="I177" t="str">
            <v>Rural Rate Protection Charge</v>
          </cell>
        </row>
        <row r="178">
          <cell r="I178" t="str">
            <v>Sentinel lights (dusk-to-dawn) connected to unmetered wires will have a flat rate monthly energy charge added to the regular customer bill. Further servicing details are available in the distributor’s Conditions of Service.</v>
          </cell>
        </row>
        <row r="179">
          <cell r="I179" t="str">
            <v>Service Charge</v>
          </cell>
        </row>
        <row r="180">
          <cell r="I180" t="str">
            <v>Service Charge (per connection)</v>
          </cell>
        </row>
        <row r="181">
          <cell r="I181" t="str">
            <v>Service Charge (per customer)</v>
          </cell>
        </row>
        <row r="182">
          <cell r="I182" t="str">
            <v>Standard Supply Service - Administrative Charge (if applicable)</v>
          </cell>
        </row>
        <row r="183">
          <cell r="I183" t="str">
            <v>Standby Charge - for a month where standby power is not provided. The charge is applied to the amount of reserved load transfer capacity contracted or the amount of monthly peak load displaced by a generating facility</v>
          </cell>
        </row>
        <row r="184">
          <cell r="I184" t="str">
            <v>Standby Charge - for a month where standby power is not provided. The charge is applied to the contracted amount (e.g. nameplate rating of the generation facility).</v>
          </cell>
        </row>
        <row r="185">
          <cell r="I185" t="str">
            <v>Wholesale Market Service Rate</v>
          </cell>
        </row>
      </sheetData>
      <sheetData sheetId="72" refreshError="1"/>
      <sheetData sheetId="7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App.2-A_Capital Projects"/>
      <sheetName val="App.2-B_Fixed Asset Continuity"/>
      <sheetName val="App.2-C_Other_Oper_Rev"/>
      <sheetName val="App.2-D_Detailed_OM&amp;A_Expenses"/>
      <sheetName val="App.2-E_OM&amp;A_Detailed_Analysis"/>
      <sheetName val="App.2-F_OM&amp;A_Summary_Analysis"/>
      <sheetName val="App.2-G_OM&amp;A_Cost _Drivers"/>
      <sheetName val="App.2-H_OM&amp;A_per_Cust_FTEE"/>
      <sheetName val="App.2-I Employee Costs"/>
      <sheetName val="App.2-J_Regulatory_Costs"/>
      <sheetName val="App.2-K_Corp_Cost_Allocation"/>
      <sheetName val="App.2-L_Depreciation Expense"/>
      <sheetName val="App.2-M Capital Structure"/>
      <sheetName val="App.2-N_Cost_Allocation"/>
      <sheetName val="App.2-O_Cost of Serv. Emb. Dx"/>
      <sheetName val="App.2-P_Loss Factors"/>
      <sheetName val="App.2-Q_Stranded Meters"/>
      <sheetName val="App.2-S_1592_Defer_PILs"/>
      <sheetName val="App.2-T_Rev_Reconciliation"/>
      <sheetName val="App.2-U Bill Impacts"/>
      <sheetName val="App.2-V_CoS_Flowchart"/>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AA26" t="str">
            <v>Greater Sudbury Hydro Inc.</v>
          </cell>
        </row>
        <row r="27">
          <cell r="AA27" t="str">
            <v>Grimsby Power Inc.</v>
          </cell>
        </row>
        <row r="28">
          <cell r="AA28" t="str">
            <v>Guelph Hydro Electric Systems Inc.</v>
          </cell>
        </row>
        <row r="29">
          <cell r="AA29" t="str">
            <v>Haldimand County Hydro Inc.</v>
          </cell>
        </row>
        <row r="30">
          <cell r="AA30" t="str">
            <v>Halton Hills Hydro Inc.</v>
          </cell>
        </row>
        <row r="31">
          <cell r="AA31" t="str">
            <v>Hearst Power Distribution Co. Ltd.</v>
          </cell>
        </row>
        <row r="32">
          <cell r="AA32" t="str">
            <v>Horizon Utilities Corporation</v>
          </cell>
        </row>
        <row r="33">
          <cell r="AA33" t="str">
            <v>Hydro 2000 Inc.</v>
          </cell>
        </row>
        <row r="34">
          <cell r="AA34" t="str">
            <v>Hydro Hawkesbury Inc.</v>
          </cell>
        </row>
        <row r="35">
          <cell r="AA35" t="str">
            <v>Hydro One Brampton Networks Inc.</v>
          </cell>
        </row>
        <row r="36">
          <cell r="AA36" t="str">
            <v>Hydro One Networks Inc.</v>
          </cell>
        </row>
        <row r="37">
          <cell r="AA37" t="str">
            <v>Hydro One Remote Communities Inc.</v>
          </cell>
        </row>
        <row r="38">
          <cell r="AA38" t="str">
            <v>Hydro Ottawa Limited</v>
          </cell>
        </row>
        <row r="39">
          <cell r="AA39" t="str">
            <v>Innisfil Hydro Dist. Systems Limited</v>
          </cell>
        </row>
        <row r="40">
          <cell r="AA40" t="str">
            <v>Kashechewan Power Corporation</v>
          </cell>
        </row>
        <row r="41">
          <cell r="AA41" t="str">
            <v>Kenora Hydro Electric Corporation Ltd.</v>
          </cell>
        </row>
        <row r="42">
          <cell r="AA42" t="str">
            <v>Kingston Hydro Corporation</v>
          </cell>
        </row>
        <row r="43">
          <cell r="AA43" t="str">
            <v>Kitchener-Wilmot Hydro Inc.</v>
          </cell>
        </row>
        <row r="44">
          <cell r="AA44" t="str">
            <v>Lakefront Utilities Inc.</v>
          </cell>
        </row>
        <row r="45">
          <cell r="AA45" t="str">
            <v>Lakeland Power Distribution Ltd.</v>
          </cell>
        </row>
        <row r="46">
          <cell r="AA46" t="str">
            <v>London Hydro Inc.</v>
          </cell>
        </row>
        <row r="47">
          <cell r="AA47" t="str">
            <v>Midland Power Utility Corporation</v>
          </cell>
        </row>
        <row r="48">
          <cell r="AA48" t="str">
            <v>Milton Hydro Distribution Inc.</v>
          </cell>
        </row>
        <row r="49">
          <cell r="AA49" t="str">
            <v>Newmarket – Tay Power Distribution Ltd.</v>
          </cell>
        </row>
        <row r="50">
          <cell r="AA50" t="str">
            <v>Niagara Peninsula Energy Inc.</v>
          </cell>
        </row>
        <row r="51">
          <cell r="AA51" t="str">
            <v>Niagara-on-the-Lake Hydro Inc.</v>
          </cell>
        </row>
        <row r="52">
          <cell r="AA52" t="str">
            <v>Norfolk Power Distribution Ltd.</v>
          </cell>
        </row>
        <row r="53">
          <cell r="AA53" t="str">
            <v>North Bay Hydro Distribution Limited</v>
          </cell>
        </row>
        <row r="54">
          <cell r="AA54" t="str">
            <v>Northern Ontario Wires Inc.</v>
          </cell>
        </row>
        <row r="55">
          <cell r="AA55" t="str">
            <v>Oakville Hydro Distribution Inc.</v>
          </cell>
        </row>
        <row r="56">
          <cell r="AA56" t="str">
            <v>Orangeville Hydro Limited</v>
          </cell>
        </row>
        <row r="57">
          <cell r="AA57" t="str">
            <v>Orillia Power Distribution Corp.</v>
          </cell>
        </row>
        <row r="58">
          <cell r="AA58" t="str">
            <v>Oshawa PUC Networks Inc.</v>
          </cell>
        </row>
        <row r="59">
          <cell r="AA59" t="str">
            <v>Ottawa River Power Corporation</v>
          </cell>
        </row>
        <row r="60">
          <cell r="AA60" t="str">
            <v>Parry Sound Power Corporation</v>
          </cell>
        </row>
        <row r="61">
          <cell r="AA61" t="str">
            <v>Peterborough Distribution Inc.</v>
          </cell>
        </row>
        <row r="62">
          <cell r="AA62" t="str">
            <v>PowerStream Inc.</v>
          </cell>
        </row>
        <row r="63">
          <cell r="AA63" t="str">
            <v>PUC Distribution Inc.</v>
          </cell>
        </row>
        <row r="64">
          <cell r="AA64" t="str">
            <v>Renfrew Hydro Inc.</v>
          </cell>
        </row>
        <row r="65">
          <cell r="AA65" t="str">
            <v>Rideau St. Lawrence Distribution Inc.</v>
          </cell>
        </row>
        <row r="66">
          <cell r="AA66" t="str">
            <v>St. Thomas Energy Inc.</v>
          </cell>
        </row>
        <row r="67">
          <cell r="AA67" t="str">
            <v>Sioux Lookout Hydro Inc.</v>
          </cell>
        </row>
        <row r="68">
          <cell r="AA68" t="str">
            <v>Thunder Bay Hydro Electricity Distribution</v>
          </cell>
        </row>
        <row r="69">
          <cell r="AA69" t="str">
            <v>Tillsonburg Hydro Inc.</v>
          </cell>
        </row>
        <row r="70">
          <cell r="AA70" t="str">
            <v>Toronto Hydro-Electric System Limited</v>
          </cell>
        </row>
        <row r="71">
          <cell r="AA71" t="str">
            <v>Veridian Connections Inc.</v>
          </cell>
        </row>
        <row r="72">
          <cell r="AA72" t="str">
            <v>Wasaga Distribution Inc.</v>
          </cell>
        </row>
        <row r="73">
          <cell r="AA73" t="str">
            <v>Waterloo North Hydro Inc.</v>
          </cell>
        </row>
        <row r="74">
          <cell r="AA74" t="str">
            <v>Welland Hydro Electric System Corp.</v>
          </cell>
        </row>
        <row r="75">
          <cell r="AA75" t="str">
            <v>Wellington North Power Inc.</v>
          </cell>
        </row>
        <row r="76">
          <cell r="AA76" t="str">
            <v>West Coast Huron Energy Inc.</v>
          </cell>
        </row>
        <row r="77">
          <cell r="AA77" t="str">
            <v>Westario Power Inc.</v>
          </cell>
        </row>
        <row r="78">
          <cell r="AA78" t="str">
            <v>Whitby Hydro Electric Corporation</v>
          </cell>
        </row>
        <row r="79">
          <cell r="AA79"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meronmckenzie@miltonhydro.com"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ontarioenergyboard.ca/OEB/_Documents/EB-2010-0178/Kinetrics-418033-OEB%20Asset%20Amortization-%20Final%20Rep.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4.emf"/><Relationship Id="rId4" Type="http://schemas.openxmlformats.org/officeDocument/2006/relationships/oleObject" Target="../embeddings/oleObject1.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51.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5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54.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3:AA99"/>
  <sheetViews>
    <sheetView showGridLines="0" tabSelected="1" zoomScaleNormal="100" workbookViewId="0"/>
  </sheetViews>
  <sheetFormatPr defaultRowHeight="12.75" x14ac:dyDescent="0.2"/>
  <cols>
    <col min="3" max="3" width="13.5703125" customWidth="1"/>
    <col min="4" max="4" width="18.7109375" customWidth="1"/>
    <col min="5" max="5" width="14.28515625" bestFit="1" customWidth="1"/>
    <col min="13" max="13" width="3.7109375" customWidth="1"/>
    <col min="26" max="26" width="9.140625" customWidth="1"/>
    <col min="27" max="27" width="9.140625" hidden="1" customWidth="1"/>
    <col min="28" max="31" width="9.140625" customWidth="1"/>
  </cols>
  <sheetData>
    <row r="3" spans="4:27" x14ac:dyDescent="0.2">
      <c r="AA3" s="16" t="s">
        <v>412</v>
      </c>
    </row>
    <row r="4" spans="4:27" x14ac:dyDescent="0.2">
      <c r="AA4" s="16" t="s">
        <v>413</v>
      </c>
    </row>
    <row r="5" spans="4:27" x14ac:dyDescent="0.2">
      <c r="AA5" s="16" t="s">
        <v>414</v>
      </c>
    </row>
    <row r="6" spans="4:27" x14ac:dyDescent="0.2">
      <c r="AA6" s="16" t="s">
        <v>1007</v>
      </c>
    </row>
    <row r="7" spans="4:27" x14ac:dyDescent="0.2">
      <c r="AA7" s="16" t="s">
        <v>1015</v>
      </c>
    </row>
    <row r="8" spans="4:27" x14ac:dyDescent="0.2">
      <c r="AA8" s="16" t="s">
        <v>415</v>
      </c>
    </row>
    <row r="9" spans="4:27" x14ac:dyDescent="0.2">
      <c r="AA9" s="16" t="s">
        <v>416</v>
      </c>
    </row>
    <row r="10" spans="4:27" x14ac:dyDescent="0.2">
      <c r="AA10" s="16" t="s">
        <v>1029</v>
      </c>
    </row>
    <row r="11" spans="4:27" x14ac:dyDescent="0.2">
      <c r="AA11" s="16" t="s">
        <v>1036</v>
      </c>
    </row>
    <row r="12" spans="4:27" x14ac:dyDescent="0.2">
      <c r="AA12" s="16" t="s">
        <v>417</v>
      </c>
    </row>
    <row r="13" spans="4:27" ht="13.5" thickBot="1" x14ac:dyDescent="0.25">
      <c r="L13" s="37"/>
      <c r="AA13" s="16" t="s">
        <v>418</v>
      </c>
    </row>
    <row r="14" spans="4:27" ht="32.25" customHeight="1" thickTop="1" thickBot="1" x14ac:dyDescent="0.25">
      <c r="D14" s="20" t="s">
        <v>408</v>
      </c>
      <c r="E14" s="1930" t="s">
        <v>449</v>
      </c>
      <c r="F14" s="1931"/>
      <c r="G14" s="1931"/>
      <c r="H14" s="1931"/>
      <c r="I14" s="1931"/>
      <c r="J14" s="1931"/>
      <c r="K14" s="1932"/>
      <c r="AA14" s="16" t="s">
        <v>1925</v>
      </c>
    </row>
    <row r="15" spans="4:27" ht="13.5" thickBot="1" x14ac:dyDescent="0.25">
      <c r="D15" s="21"/>
      <c r="E15" s="4"/>
      <c r="F15" s="5"/>
      <c r="G15" s="4"/>
      <c r="H15" s="4"/>
      <c r="I15" s="4"/>
      <c r="J15" s="1"/>
      <c r="K15" s="1"/>
      <c r="AA15" s="16" t="s">
        <v>419</v>
      </c>
    </row>
    <row r="16" spans="4:27" ht="16.5" thickTop="1" thickBot="1" x14ac:dyDescent="0.25">
      <c r="D16" s="22" t="s">
        <v>409</v>
      </c>
      <c r="E16" s="1933" t="s">
        <v>1982</v>
      </c>
      <c r="F16" s="1934"/>
      <c r="G16" s="1934"/>
      <c r="H16" s="1934"/>
      <c r="I16" s="1935"/>
      <c r="J16" s="1"/>
      <c r="K16" s="1"/>
      <c r="AA16" s="16" t="s">
        <v>420</v>
      </c>
    </row>
    <row r="17" spans="1:27" ht="13.5" thickBot="1" x14ac:dyDescent="0.25">
      <c r="D17" s="14"/>
      <c r="E17" s="1"/>
      <c r="F17" s="1"/>
      <c r="G17" s="1"/>
      <c r="H17" s="1"/>
      <c r="I17" s="1"/>
      <c r="J17" s="1"/>
      <c r="K17" s="1"/>
      <c r="AA17" s="16" t="s">
        <v>421</v>
      </c>
    </row>
    <row r="18" spans="1:27" ht="16.5" thickTop="1" thickBot="1" x14ac:dyDescent="0.25">
      <c r="D18" s="22" t="s">
        <v>606</v>
      </c>
      <c r="E18" s="1927" t="s">
        <v>1983</v>
      </c>
      <c r="F18" s="1928"/>
      <c r="G18" s="1928"/>
      <c r="H18" s="1928"/>
      <c r="I18" s="1928"/>
      <c r="J18" s="1928"/>
      <c r="K18" s="1929"/>
      <c r="AA18" s="16" t="s">
        <v>422</v>
      </c>
    </row>
    <row r="19" spans="1:27" ht="14.25" thickTop="1" thickBot="1" x14ac:dyDescent="0.25">
      <c r="D19" s="21"/>
      <c r="E19" s="4"/>
      <c r="F19" s="5"/>
      <c r="G19" s="4"/>
      <c r="H19" s="4"/>
      <c r="I19" s="4"/>
      <c r="J19" s="1"/>
      <c r="K19" s="1"/>
      <c r="AA19" s="16" t="s">
        <v>1926</v>
      </c>
    </row>
    <row r="20" spans="1:27" ht="16.5" thickTop="1" thickBot="1" x14ac:dyDescent="0.25">
      <c r="D20" s="20" t="s">
        <v>410</v>
      </c>
      <c r="E20" s="1933" t="s">
        <v>1984</v>
      </c>
      <c r="F20" s="1934"/>
      <c r="G20" s="1934"/>
      <c r="H20" s="1934"/>
      <c r="I20" s="1935"/>
      <c r="J20" s="1"/>
      <c r="K20" s="1"/>
      <c r="AA20" s="16" t="s">
        <v>1092</v>
      </c>
    </row>
    <row r="21" spans="1:27" ht="13.5" thickBot="1" x14ac:dyDescent="0.25">
      <c r="D21" s="21"/>
      <c r="E21" s="4"/>
      <c r="F21" s="5"/>
      <c r="G21" s="4"/>
      <c r="H21" s="4"/>
      <c r="I21" s="4"/>
      <c r="J21" s="1"/>
      <c r="K21" s="1"/>
      <c r="AA21" s="16" t="s">
        <v>424</v>
      </c>
    </row>
    <row r="22" spans="1:27" ht="16.5" thickTop="1" thickBot="1" x14ac:dyDescent="0.25">
      <c r="D22" s="20" t="s">
        <v>411</v>
      </c>
      <c r="E22" s="1523" t="s">
        <v>1985</v>
      </c>
      <c r="F22" s="42"/>
      <c r="G22" s="42"/>
      <c r="H22" s="42"/>
      <c r="I22" s="43"/>
      <c r="J22" s="1"/>
      <c r="K22" s="1"/>
      <c r="AA22" s="16" t="s">
        <v>425</v>
      </c>
    </row>
    <row r="23" spans="1:27" ht="13.5" thickBot="1" x14ac:dyDescent="0.25">
      <c r="D23" s="21"/>
      <c r="E23" s="4"/>
      <c r="F23" s="5"/>
      <c r="G23" s="4"/>
      <c r="H23" s="4"/>
      <c r="I23" s="4"/>
      <c r="J23" s="1"/>
      <c r="K23" s="1"/>
      <c r="AA23" s="16" t="s">
        <v>426</v>
      </c>
    </row>
    <row r="24" spans="1:27" ht="16.5" thickTop="1" thickBot="1" x14ac:dyDescent="0.25">
      <c r="D24" s="22" t="s">
        <v>407</v>
      </c>
      <c r="E24" s="1915">
        <v>2016</v>
      </c>
      <c r="F24" s="1916"/>
      <c r="G24" s="1917"/>
      <c r="H24" s="4"/>
      <c r="I24" s="4"/>
      <c r="J24" s="1"/>
      <c r="K24" s="1"/>
      <c r="AA24" s="16" t="s">
        <v>427</v>
      </c>
    </row>
    <row r="25" spans="1:27" ht="13.5" thickBot="1" x14ac:dyDescent="0.25">
      <c r="D25" s="10"/>
      <c r="AA25" s="16" t="s">
        <v>428</v>
      </c>
    </row>
    <row r="26" spans="1:27" ht="16.5" thickTop="1" thickBot="1" x14ac:dyDescent="0.25">
      <c r="D26" s="22" t="s">
        <v>406</v>
      </c>
      <c r="E26" s="1936">
        <f>IF(ISBLANK(E24), "", E24-1)</f>
        <v>2015</v>
      </c>
      <c r="F26" s="1937"/>
      <c r="G26" s="1938"/>
      <c r="AA26" s="16" t="s">
        <v>429</v>
      </c>
    </row>
    <row r="27" spans="1:27" ht="13.5" thickBot="1" x14ac:dyDescent="0.25">
      <c r="D27" s="23"/>
      <c r="AA27" s="16" t="s">
        <v>430</v>
      </c>
    </row>
    <row r="28" spans="1:27" ht="16.5" thickTop="1" thickBot="1" x14ac:dyDescent="0.25">
      <c r="D28" s="22" t="s">
        <v>405</v>
      </c>
      <c r="E28" s="1915">
        <v>2011</v>
      </c>
      <c r="F28" s="1916"/>
      <c r="G28" s="1917"/>
      <c r="AA28" s="16" t="s">
        <v>431</v>
      </c>
    </row>
    <row r="29" spans="1:27" x14ac:dyDescent="0.2">
      <c r="AA29" s="16" t="s">
        <v>432</v>
      </c>
    </row>
    <row r="30" spans="1:27" ht="14.25" customHeight="1" thickBot="1" x14ac:dyDescent="0.25">
      <c r="A30" s="1925" t="s">
        <v>630</v>
      </c>
      <c r="B30" s="1925"/>
      <c r="C30" s="1925"/>
      <c r="D30" s="1925"/>
      <c r="AA30" s="16" t="s">
        <v>433</v>
      </c>
    </row>
    <row r="31" spans="1:27" ht="15.75" customHeight="1" thickTop="1" thickBot="1" x14ac:dyDescent="0.25">
      <c r="A31" s="1925"/>
      <c r="B31" s="1925"/>
      <c r="C31" s="1925"/>
      <c r="D31" s="1925"/>
      <c r="E31" s="1915" t="s">
        <v>152</v>
      </c>
      <c r="F31" s="1916"/>
      <c r="G31" s="1917"/>
      <c r="H31" s="41"/>
      <c r="I31" s="41"/>
      <c r="J31" s="41"/>
      <c r="AA31" s="16" t="s">
        <v>1150</v>
      </c>
    </row>
    <row r="32" spans="1:27" ht="15.75" customHeight="1" x14ac:dyDescent="0.2">
      <c r="A32" s="39"/>
      <c r="B32" s="39"/>
      <c r="C32" s="39"/>
      <c r="D32" s="39"/>
      <c r="AA32" s="16" t="s">
        <v>434</v>
      </c>
    </row>
    <row r="33" spans="1:27" ht="15.75" customHeight="1" thickBot="1" x14ac:dyDescent="0.25">
      <c r="A33" s="1925" t="s">
        <v>929</v>
      </c>
      <c r="B33" s="1925"/>
      <c r="C33" s="1925"/>
      <c r="D33" s="1925"/>
      <c r="AA33" s="16" t="s">
        <v>435</v>
      </c>
    </row>
    <row r="34" spans="1:27" ht="15.75" customHeight="1" thickTop="1" thickBot="1" x14ac:dyDescent="0.25">
      <c r="A34" s="1925"/>
      <c r="B34" s="1925"/>
      <c r="C34" s="1925"/>
      <c r="D34" s="1925"/>
      <c r="E34" s="1915" t="s">
        <v>1986</v>
      </c>
      <c r="F34" s="1916"/>
      <c r="G34" s="1917"/>
      <c r="AA34" s="16" t="s">
        <v>436</v>
      </c>
    </row>
    <row r="35" spans="1:27" ht="15.75" customHeight="1" x14ac:dyDescent="0.2">
      <c r="A35" s="44"/>
      <c r="B35" s="44"/>
      <c r="C35" s="44"/>
      <c r="D35" s="44"/>
      <c r="AA35" s="16" t="s">
        <v>437</v>
      </c>
    </row>
    <row r="36" spans="1:27" ht="15.75" customHeight="1" thickBot="1" x14ac:dyDescent="0.25">
      <c r="A36" s="1925" t="s">
        <v>930</v>
      </c>
      <c r="B36" s="1925"/>
      <c r="C36" s="1925"/>
      <c r="D36" s="1925"/>
      <c r="AA36" s="16" t="s">
        <v>438</v>
      </c>
    </row>
    <row r="37" spans="1:27" ht="15.75" customHeight="1" thickTop="1" thickBot="1" x14ac:dyDescent="0.25">
      <c r="A37" s="1925"/>
      <c r="B37" s="1925"/>
      <c r="C37" s="1925"/>
      <c r="D37" s="1925"/>
      <c r="E37" s="126">
        <v>36892</v>
      </c>
      <c r="F37" s="127">
        <v>2013</v>
      </c>
      <c r="AA37" s="16" t="s">
        <v>439</v>
      </c>
    </row>
    <row r="38" spans="1:27" ht="15.75" customHeight="1" x14ac:dyDescent="0.2">
      <c r="A38" s="44"/>
      <c r="B38" s="44"/>
      <c r="C38" s="44"/>
      <c r="AA38" s="16" t="s">
        <v>440</v>
      </c>
    </row>
    <row r="39" spans="1:27" ht="20.25" customHeight="1" thickBot="1" x14ac:dyDescent="0.25">
      <c r="A39" s="1925" t="s">
        <v>1504</v>
      </c>
      <c r="B39" s="1925"/>
      <c r="C39" s="1925"/>
      <c r="D39" s="1925"/>
      <c r="AA39" s="16" t="s">
        <v>1927</v>
      </c>
    </row>
    <row r="40" spans="1:27" ht="26.25" customHeight="1" thickTop="1" thickBot="1" x14ac:dyDescent="0.25">
      <c r="A40" s="1925"/>
      <c r="B40" s="1925"/>
      <c r="C40" s="1925"/>
      <c r="D40" s="1925"/>
      <c r="E40" s="1915" t="s">
        <v>1987</v>
      </c>
      <c r="F40" s="1916"/>
      <c r="G40" s="1917"/>
      <c r="AA40" s="16" t="s">
        <v>441</v>
      </c>
    </row>
    <row r="41" spans="1:27" ht="12.75" customHeight="1" x14ac:dyDescent="0.2">
      <c r="A41" s="39"/>
      <c r="B41" s="39"/>
      <c r="C41" s="39"/>
      <c r="D41" s="39"/>
      <c r="AA41" s="16" t="s">
        <v>442</v>
      </c>
    </row>
    <row r="42" spans="1:27" ht="12.75" customHeight="1" x14ac:dyDescent="0.2">
      <c r="A42" s="40"/>
      <c r="B42" s="40"/>
      <c r="C42" s="40"/>
      <c r="D42" s="40"/>
      <c r="N42" s="13"/>
      <c r="AA42" s="16" t="s">
        <v>443</v>
      </c>
    </row>
    <row r="43" spans="1:27" ht="3" customHeight="1" thickBot="1" x14ac:dyDescent="0.25">
      <c r="A43" s="1926" t="s">
        <v>631</v>
      </c>
      <c r="B43" s="1926"/>
      <c r="C43" s="1926"/>
      <c r="D43" s="1926"/>
      <c r="AA43" s="16" t="s">
        <v>444</v>
      </c>
    </row>
    <row r="44" spans="1:27" ht="47.25" customHeight="1" thickTop="1" thickBot="1" x14ac:dyDescent="0.25">
      <c r="A44" s="1926"/>
      <c r="B44" s="1926"/>
      <c r="C44" s="1926"/>
      <c r="D44" s="1926"/>
      <c r="E44" s="1520" t="s">
        <v>1988</v>
      </c>
      <c r="AA44" s="16" t="s">
        <v>445</v>
      </c>
    </row>
    <row r="45" spans="1:27" ht="12.75" customHeight="1" thickBot="1" x14ac:dyDescent="0.25">
      <c r="B45" s="38"/>
      <c r="C45" s="38"/>
      <c r="D45" s="38"/>
      <c r="AA45" s="16" t="s">
        <v>446</v>
      </c>
    </row>
    <row r="46" spans="1:27" ht="16.5" thickTop="1" thickBot="1" x14ac:dyDescent="0.25">
      <c r="A46" s="1918" t="str">
        <f>"Is " &amp; E14 &amp; " an embedded distributor?"</f>
        <v>Is Milton Hydro Distribution Inc. an embedded distributor?</v>
      </c>
      <c r="B46" s="1918"/>
      <c r="C46" s="1918"/>
      <c r="D46" s="1919"/>
      <c r="E46" s="1915" t="s">
        <v>1986</v>
      </c>
      <c r="F46" s="1916"/>
      <c r="G46" s="1917"/>
      <c r="AA46" s="16" t="s">
        <v>447</v>
      </c>
    </row>
    <row r="47" spans="1:27" ht="12.75" customHeight="1" x14ac:dyDescent="0.2">
      <c r="B47" s="38"/>
      <c r="C47" s="38"/>
      <c r="D47" s="38"/>
      <c r="AA47" s="16" t="s">
        <v>448</v>
      </c>
    </row>
    <row r="48" spans="1:27" ht="12.75" customHeight="1" x14ac:dyDescent="0.2">
      <c r="B48" s="38"/>
      <c r="C48" s="38"/>
      <c r="D48" s="38"/>
      <c r="AA48" s="16" t="s">
        <v>449</v>
      </c>
    </row>
    <row r="49" spans="2:27" x14ac:dyDescent="0.2">
      <c r="B49" s="6" t="s">
        <v>404</v>
      </c>
      <c r="AA49" s="16" t="s">
        <v>1928</v>
      </c>
    </row>
    <row r="50" spans="2:27" ht="13.5" thickBot="1" x14ac:dyDescent="0.25">
      <c r="AA50" s="16" t="s">
        <v>450</v>
      </c>
    </row>
    <row r="51" spans="2:27" ht="13.5" thickBot="1" x14ac:dyDescent="0.25">
      <c r="B51" s="17"/>
      <c r="C51" s="1920" t="s">
        <v>272</v>
      </c>
      <c r="D51" s="1920"/>
      <c r="E51" s="1920"/>
      <c r="F51" s="1920"/>
      <c r="G51" s="1920"/>
      <c r="H51" s="1920"/>
      <c r="I51" s="1920"/>
      <c r="J51" s="1920"/>
      <c r="K51" s="1920"/>
      <c r="L51" s="1920"/>
      <c r="AA51" s="16" t="s">
        <v>451</v>
      </c>
    </row>
    <row r="52" spans="2:27" ht="13.5" thickBot="1" x14ac:dyDescent="0.25">
      <c r="AA52" s="16" t="s">
        <v>1217</v>
      </c>
    </row>
    <row r="53" spans="2:27" ht="13.5" thickBot="1" x14ac:dyDescent="0.25">
      <c r="B53" s="18"/>
      <c r="C53" s="1923" t="s">
        <v>474</v>
      </c>
      <c r="D53" s="1924"/>
      <c r="E53" s="1924"/>
      <c r="F53" s="1924"/>
      <c r="G53" s="1924"/>
      <c r="H53" s="1924"/>
      <c r="I53" s="1924"/>
      <c r="J53" s="1924"/>
      <c r="K53" s="1924"/>
      <c r="L53" s="1924"/>
      <c r="M53" s="1924"/>
      <c r="N53" s="1924"/>
      <c r="AA53" s="16" t="s">
        <v>452</v>
      </c>
    </row>
    <row r="54" spans="2:27" ht="13.5" thickBot="1" x14ac:dyDescent="0.25">
      <c r="B54" s="9"/>
      <c r="AA54" s="16" t="s">
        <v>453</v>
      </c>
    </row>
    <row r="55" spans="2:27" ht="13.5" customHeight="1" thickBot="1" x14ac:dyDescent="0.25">
      <c r="B55" s="7"/>
      <c r="C55" s="1921" t="s">
        <v>607</v>
      </c>
      <c r="D55" s="1922"/>
      <c r="E55" s="1922"/>
      <c r="F55" s="1922"/>
      <c r="G55" s="1922"/>
      <c r="H55" s="1922"/>
      <c r="I55" s="1922"/>
      <c r="J55" s="1922"/>
      <c r="K55" s="1922"/>
      <c r="L55" s="1922"/>
      <c r="M55" s="1922"/>
      <c r="AA55" s="16" t="s">
        <v>1225</v>
      </c>
    </row>
    <row r="56" spans="2:27" x14ac:dyDescent="0.2">
      <c r="AA56" s="16" t="s">
        <v>454</v>
      </c>
    </row>
    <row r="57" spans="2:27" x14ac:dyDescent="0.2">
      <c r="AA57" s="16" t="s">
        <v>1233</v>
      </c>
    </row>
    <row r="58" spans="2:27" x14ac:dyDescent="0.2">
      <c r="AA58" s="16" t="s">
        <v>455</v>
      </c>
    </row>
    <row r="59" spans="2:27" x14ac:dyDescent="0.2">
      <c r="AA59" s="16" t="s">
        <v>456</v>
      </c>
    </row>
    <row r="60" spans="2:27" x14ac:dyDescent="0.2">
      <c r="AA60" s="16" t="s">
        <v>1244</v>
      </c>
    </row>
    <row r="61" spans="2:27" x14ac:dyDescent="0.2">
      <c r="AA61" s="16" t="s">
        <v>458</v>
      </c>
    </row>
    <row r="62" spans="2:27" x14ac:dyDescent="0.2">
      <c r="AA62" s="16" t="s">
        <v>459</v>
      </c>
    </row>
    <row r="63" spans="2:27" x14ac:dyDescent="0.2">
      <c r="AA63" s="16" t="s">
        <v>460</v>
      </c>
    </row>
    <row r="64" spans="2:27" x14ac:dyDescent="0.2">
      <c r="AA64" s="16" t="s">
        <v>461</v>
      </c>
    </row>
    <row r="65" spans="27:27" x14ac:dyDescent="0.2">
      <c r="AA65" s="16" t="s">
        <v>463</v>
      </c>
    </row>
    <row r="66" spans="27:27" x14ac:dyDescent="0.2">
      <c r="AA66" s="16" t="s">
        <v>462</v>
      </c>
    </row>
    <row r="67" spans="27:27" x14ac:dyDescent="0.2">
      <c r="AA67" s="16" t="s">
        <v>1262</v>
      </c>
    </row>
    <row r="68" spans="27:27" x14ac:dyDescent="0.2">
      <c r="AA68" s="16" t="s">
        <v>464</v>
      </c>
    </row>
    <row r="69" spans="27:27" x14ac:dyDescent="0.2">
      <c r="AA69" s="16" t="s">
        <v>465</v>
      </c>
    </row>
    <row r="70" spans="27:27" x14ac:dyDescent="0.2">
      <c r="AA70" s="16" t="s">
        <v>466</v>
      </c>
    </row>
    <row r="71" spans="27:27" x14ac:dyDescent="0.2">
      <c r="AA71" s="16" t="s">
        <v>467</v>
      </c>
    </row>
    <row r="72" spans="27:27" x14ac:dyDescent="0.2">
      <c r="AA72" s="16" t="s">
        <v>468</v>
      </c>
    </row>
    <row r="73" spans="27:27" x14ac:dyDescent="0.2">
      <c r="AA73" s="16" t="s">
        <v>1279</v>
      </c>
    </row>
    <row r="74" spans="27:27" x14ac:dyDescent="0.2">
      <c r="AA74" s="16" t="s">
        <v>469</v>
      </c>
    </row>
    <row r="75" spans="27:27" x14ac:dyDescent="0.2">
      <c r="AA75" s="16" t="s">
        <v>470</v>
      </c>
    </row>
    <row r="76" spans="27:27" x14ac:dyDescent="0.2">
      <c r="AA76" s="16" t="s">
        <v>471</v>
      </c>
    </row>
    <row r="77" spans="27:27" x14ac:dyDescent="0.2">
      <c r="AA77" s="16" t="s">
        <v>472</v>
      </c>
    </row>
    <row r="78" spans="27:27" x14ac:dyDescent="0.2">
      <c r="AA78" s="16" t="s">
        <v>473</v>
      </c>
    </row>
    <row r="79" spans="27:27" x14ac:dyDescent="0.2">
      <c r="AA79" s="16"/>
    </row>
    <row r="80" spans="27:27" x14ac:dyDescent="0.2">
      <c r="AA80" s="16"/>
    </row>
    <row r="81" spans="27:27" x14ac:dyDescent="0.2">
      <c r="AA81" s="16"/>
    </row>
    <row r="82" spans="27:27" x14ac:dyDescent="0.2">
      <c r="AA82" s="16"/>
    </row>
    <row r="83" spans="27:27" x14ac:dyDescent="0.2">
      <c r="AA83" s="16"/>
    </row>
    <row r="84" spans="27:27" x14ac:dyDescent="0.2">
      <c r="AA84" s="16"/>
    </row>
    <row r="85" spans="27:27" x14ac:dyDescent="0.2">
      <c r="AA85" s="16"/>
    </row>
    <row r="86" spans="27:27" x14ac:dyDescent="0.2">
      <c r="AA86" s="16"/>
    </row>
    <row r="87" spans="27:27" x14ac:dyDescent="0.2">
      <c r="AA87" s="16"/>
    </row>
    <row r="88" spans="27:27" x14ac:dyDescent="0.2">
      <c r="AA88" s="16"/>
    </row>
    <row r="89" spans="27:27" x14ac:dyDescent="0.2">
      <c r="AA89" s="16"/>
    </row>
    <row r="90" spans="27:27" x14ac:dyDescent="0.2">
      <c r="AA90" s="16"/>
    </row>
    <row r="91" spans="27:27" x14ac:dyDescent="0.2">
      <c r="AA91" s="16"/>
    </row>
    <row r="92" spans="27:27" x14ac:dyDescent="0.2">
      <c r="AA92" s="16"/>
    </row>
    <row r="93" spans="27:27" x14ac:dyDescent="0.2">
      <c r="AA93" s="16"/>
    </row>
    <row r="94" spans="27:27" x14ac:dyDescent="0.2">
      <c r="AA94" s="16"/>
    </row>
    <row r="95" spans="27:27" x14ac:dyDescent="0.2">
      <c r="AA95" s="16"/>
    </row>
    <row r="96" spans="27:27" x14ac:dyDescent="0.2">
      <c r="AA96" s="16"/>
    </row>
    <row r="97" spans="27:27" x14ac:dyDescent="0.2">
      <c r="AA97" s="16"/>
    </row>
    <row r="98" spans="27:27" x14ac:dyDescent="0.2">
      <c r="AA98" s="16"/>
    </row>
    <row r="99" spans="27:27" x14ac:dyDescent="0.2">
      <c r="AA99" s="16"/>
    </row>
  </sheetData>
  <mergeCells count="20">
    <mergeCell ref="E18:K18"/>
    <mergeCell ref="E14:K14"/>
    <mergeCell ref="E16:I16"/>
    <mergeCell ref="E20:I20"/>
    <mergeCell ref="E26:G26"/>
    <mergeCell ref="E24:G24"/>
    <mergeCell ref="E28:G28"/>
    <mergeCell ref="E31:G31"/>
    <mergeCell ref="A30:D31"/>
    <mergeCell ref="A43:D44"/>
    <mergeCell ref="A39:D40"/>
    <mergeCell ref="E40:G40"/>
    <mergeCell ref="A33:D34"/>
    <mergeCell ref="E34:G34"/>
    <mergeCell ref="A36:D37"/>
    <mergeCell ref="E46:G46"/>
    <mergeCell ref="A46:D46"/>
    <mergeCell ref="C51:L51"/>
    <mergeCell ref="C55:M55"/>
    <mergeCell ref="C53:N53"/>
  </mergeCells>
  <phoneticPr fontId="17" type="noConversion"/>
  <dataValidations count="9">
    <dataValidation allowBlank="1" showErrorMessage="1" error="Use the following date format when inserting a date:_x000a__x000a_Eg:  &quot;January 1, 2013&quot;" prompt="Use the following format eg: January 1, 2013" sqref="E26:G26"/>
    <dataValidation type="list" allowBlank="1" showErrorMessage="1" error="Use the following date format when inserting a date:_x000a__x000a_Eg:  &quot;January 1, 2013&quot;" prompt="Use the following format eg: January 1, 2013" sqref="E31:G31">
      <formula1>"CGAAP, MIFRS,USGAAP, ASPE"</formula1>
    </dataValidation>
    <dataValidation type="list" allowBlank="1" showErrorMessage="1" prompt="Use the following format eg: January 1, 2013" sqref="E44">
      <formula1>"Yes, No"</formula1>
    </dataValidation>
    <dataValidation type="list" allowBlank="1" showErrorMessage="1" error="Use the following date format when inserting a date:_x000a__x000a_Eg:  &quot;January 1, 2013&quot;" prompt="Use the following format eg: January 1, 2013" sqref="E40:G40">
      <formula1>"2012,2013, 2014, 2015 or Later"</formula1>
    </dataValidation>
    <dataValidation type="list" allowBlank="1" showErrorMessage="1" error="Use the following date format when inserting a date:_x000a__x000a_Eg:  &quot;January 1, 2013&quot;" prompt="Use the following format eg: January 1, 2013" sqref="E34:G34 E46:G46">
      <formula1>"Yes, No"</formula1>
    </dataValidation>
    <dataValidation type="list" allowBlank="1" showErrorMessage="1" error="Use the following date format when inserting a date:_x000a__x000a_Eg:  &quot;January 1, 2013&quot;" prompt="Use the following format eg: January 1, 2013" sqref="E28:G28">
      <formula1>"2008,2009,2010,2011,2012,2013, 2014,2015"</formula1>
    </dataValidation>
    <dataValidation type="list" allowBlank="1" showErrorMessage="1" error="Use the following date format when inserting a date:_x000a__x000a_Eg:  &quot;January 1, 2013&quot;" prompt="Use the following format eg: January 1, 2013" sqref="E24:G24">
      <formula1>"2010,2011,2012,2013, 2014, 2015, 2016"</formula1>
    </dataValidation>
    <dataValidation type="list" allowBlank="1" showErrorMessage="1" error="Use the following date format when inserting a date:_x000a__x000a_Eg:  &quot;January 1, 2013&quot;" prompt="Use the following format eg: January 1, 2013" sqref="F37">
      <formula1>"2012, 2013"</formula1>
    </dataValidation>
    <dataValidation type="list" allowBlank="1" showInputMessage="1" showErrorMessage="1" sqref="E14:K14">
      <formula1>LDCLIST</formula1>
    </dataValidation>
  </dataValidations>
  <hyperlinks>
    <hyperlink ref="E22" r:id="rId1"/>
  </hyperlinks>
  <pageMargins left="0.75" right="0.75" top="1" bottom="1" header="0.5" footer="0.5"/>
  <pageSetup scale="66" orientation="portrait" r:id="rId2"/>
  <headerFooter alignWithMargins="0"/>
  <colBreaks count="1" manualBreakCount="1">
    <brk id="15" max="1048575"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Q112"/>
  <sheetViews>
    <sheetView showGridLines="0" topLeftCell="D1" zoomScaleNormal="100" workbookViewId="0"/>
  </sheetViews>
  <sheetFormatPr defaultRowHeight="12.75" x14ac:dyDescent="0.2"/>
  <cols>
    <col min="1" max="2" width="9.140625" style="1608"/>
    <col min="3" max="3" width="34" style="1608" bestFit="1" customWidth="1"/>
    <col min="4" max="4" width="19.7109375" style="1608" customWidth="1"/>
    <col min="5" max="5" width="11.85546875" style="1608" customWidth="1"/>
    <col min="6" max="8" width="9.140625" style="1608"/>
    <col min="9" max="9" width="1.85546875" style="1608" customWidth="1"/>
    <col min="10" max="10" width="15" style="1608" customWidth="1"/>
    <col min="11" max="11" width="34" style="1608" customWidth="1"/>
    <col min="12" max="15" width="9.140625" style="1608"/>
    <col min="16" max="16" width="11.140625" style="1607" customWidth="1"/>
    <col min="17" max="17" width="12" style="1607" customWidth="1"/>
    <col min="18" max="16384" width="9.140625" style="1608"/>
  </cols>
  <sheetData>
    <row r="1" spans="1:17" x14ac:dyDescent="0.2">
      <c r="A1" s="1607"/>
      <c r="B1" s="1607"/>
      <c r="C1" s="1607"/>
      <c r="M1" s="1609" t="s">
        <v>394</v>
      </c>
      <c r="O1" s="1610" t="s">
        <v>2341</v>
      </c>
    </row>
    <row r="2" spans="1:17" x14ac:dyDescent="0.2">
      <c r="A2" s="1607"/>
      <c r="B2" s="1607"/>
      <c r="C2" s="1607"/>
      <c r="M2" s="1609" t="s">
        <v>395</v>
      </c>
      <c r="O2" s="1611">
        <v>4</v>
      </c>
    </row>
    <row r="3" spans="1:17" x14ac:dyDescent="0.2">
      <c r="A3" s="1607"/>
      <c r="B3" s="1607"/>
      <c r="C3" s="1607"/>
      <c r="M3" s="1609" t="s">
        <v>396</v>
      </c>
      <c r="O3" s="1611" t="s">
        <v>2456</v>
      </c>
    </row>
    <row r="4" spans="1:17" x14ac:dyDescent="0.2">
      <c r="A4" s="1607"/>
      <c r="B4" s="1607"/>
      <c r="C4" s="1607"/>
      <c r="M4" s="1609" t="s">
        <v>397</v>
      </c>
      <c r="O4" s="1611" t="s">
        <v>2415</v>
      </c>
    </row>
    <row r="5" spans="1:17" x14ac:dyDescent="0.2">
      <c r="A5" s="1607"/>
      <c r="B5" s="1607"/>
      <c r="C5" s="1607"/>
      <c r="M5" s="1609" t="s">
        <v>398</v>
      </c>
      <c r="O5" s="1612">
        <v>67</v>
      </c>
    </row>
    <row r="6" spans="1:17" ht="9" customHeight="1" x14ac:dyDescent="0.2">
      <c r="A6" s="1607"/>
      <c r="B6" s="1607"/>
      <c r="C6" s="1607"/>
      <c r="M6" s="1609"/>
      <c r="O6" s="1610"/>
    </row>
    <row r="7" spans="1:17" x14ac:dyDescent="0.2">
      <c r="A7" s="1607"/>
      <c r="B7" s="1607"/>
      <c r="C7" s="1607"/>
      <c r="M7" s="1609" t="s">
        <v>399</v>
      </c>
      <c r="O7" s="1839" t="s">
        <v>2455</v>
      </c>
    </row>
    <row r="8" spans="1:17" ht="9" customHeight="1" x14ac:dyDescent="0.2">
      <c r="A8" s="1607"/>
      <c r="B8" s="1607"/>
      <c r="C8" s="1607"/>
      <c r="I8" s="1613"/>
    </row>
    <row r="9" spans="1:17" ht="20.25" customHeight="1" x14ac:dyDescent="0.2">
      <c r="A9" s="2065" t="s">
        <v>652</v>
      </c>
      <c r="B9" s="2065"/>
      <c r="C9" s="2065"/>
      <c r="D9" s="2065"/>
      <c r="E9" s="2065"/>
      <c r="F9" s="2065"/>
      <c r="G9" s="2065"/>
      <c r="H9" s="2065"/>
      <c r="I9" s="2065"/>
      <c r="J9" s="2065"/>
      <c r="K9" s="2065"/>
      <c r="L9" s="2065"/>
      <c r="M9" s="2065"/>
      <c r="N9" s="2065"/>
      <c r="O9" s="2065"/>
      <c r="P9" s="2065"/>
      <c r="Q9" s="2065"/>
    </row>
    <row r="10" spans="1:17" ht="18" customHeight="1" x14ac:dyDescent="0.2">
      <c r="A10" s="2066" t="s">
        <v>653</v>
      </c>
      <c r="B10" s="2066"/>
      <c r="C10" s="2066"/>
      <c r="D10" s="2066"/>
      <c r="E10" s="2066"/>
      <c r="F10" s="2066"/>
      <c r="G10" s="2066"/>
      <c r="H10" s="2066"/>
      <c r="I10" s="2066"/>
      <c r="J10" s="2066"/>
      <c r="K10" s="2066"/>
      <c r="L10" s="2066"/>
      <c r="M10" s="2066"/>
      <c r="N10" s="2066"/>
      <c r="O10" s="2066"/>
      <c r="P10" s="2066"/>
      <c r="Q10" s="2066"/>
    </row>
    <row r="11" spans="1:17" ht="18" customHeight="1" x14ac:dyDescent="0.2">
      <c r="A11" s="2021" t="s">
        <v>1494</v>
      </c>
      <c r="B11" s="2021"/>
      <c r="C11" s="2021"/>
      <c r="D11" s="2021"/>
      <c r="E11" s="2021"/>
      <c r="F11" s="2021"/>
      <c r="G11" s="2021"/>
      <c r="H11" s="2021"/>
      <c r="I11" s="2021"/>
      <c r="J11" s="2021"/>
      <c r="K11" s="2021"/>
      <c r="L11" s="2021"/>
      <c r="M11" s="2021"/>
      <c r="N11" s="2021"/>
      <c r="O11" s="2021"/>
      <c r="P11" s="2021"/>
      <c r="Q11" s="2021"/>
    </row>
    <row r="12" spans="1:17" ht="18" customHeight="1" x14ac:dyDescent="0.2">
      <c r="A12" s="1614"/>
      <c r="B12" s="1614"/>
      <c r="C12" s="1614"/>
      <c r="D12" s="1614"/>
      <c r="E12" s="1614"/>
      <c r="F12" s="1614"/>
      <c r="G12" s="1614"/>
      <c r="H12" s="1614"/>
      <c r="I12" s="1615"/>
      <c r="J12" s="1616"/>
      <c r="K12" s="1617"/>
      <c r="L12" s="1617"/>
      <c r="M12" s="1617"/>
      <c r="N12" s="1617"/>
    </row>
    <row r="13" spans="1:17" ht="18" customHeight="1" x14ac:dyDescent="0.2">
      <c r="A13" s="1614"/>
      <c r="B13" s="1614"/>
      <c r="C13" s="1614"/>
      <c r="D13" s="1614"/>
      <c r="E13" s="1614"/>
      <c r="F13" s="1614"/>
      <c r="G13" s="1614"/>
      <c r="H13" s="1614"/>
      <c r="I13" s="1615"/>
      <c r="J13" s="1616"/>
      <c r="K13" s="1617"/>
      <c r="L13" s="1617"/>
      <c r="M13" s="1617"/>
      <c r="N13" s="1617"/>
    </row>
    <row r="14" spans="1:17" ht="15.75" customHeight="1" x14ac:dyDescent="0.2"/>
    <row r="15" spans="1:17" ht="33.75" customHeight="1" x14ac:dyDescent="0.2">
      <c r="A15" s="1618"/>
      <c r="B15" s="1618"/>
      <c r="C15" s="2018" t="s">
        <v>1432</v>
      </c>
      <c r="D15" s="2018"/>
      <c r="E15" s="2018"/>
      <c r="F15" s="2018" t="s">
        <v>1433</v>
      </c>
      <c r="G15" s="2018"/>
      <c r="H15" s="2064"/>
      <c r="I15" s="1619"/>
      <c r="J15" s="2019" t="s">
        <v>1434</v>
      </c>
      <c r="K15" s="2019" t="s">
        <v>1435</v>
      </c>
      <c r="L15" s="2017" t="s">
        <v>634</v>
      </c>
      <c r="M15" s="2017"/>
      <c r="N15" s="2015" t="s">
        <v>16</v>
      </c>
      <c r="O15" s="2015"/>
      <c r="P15" s="2017" t="s">
        <v>1521</v>
      </c>
      <c r="Q15" s="2017"/>
    </row>
    <row r="16" spans="1:17" ht="30.75" thickBot="1" x14ac:dyDescent="0.25">
      <c r="A16" s="1620" t="s">
        <v>1437</v>
      </c>
      <c r="B16" s="1620" t="s">
        <v>1410</v>
      </c>
      <c r="C16" s="2067" t="s">
        <v>1411</v>
      </c>
      <c r="D16" s="2067"/>
      <c r="E16" s="2067"/>
      <c r="F16" s="1621" t="s">
        <v>1413</v>
      </c>
      <c r="G16" s="1621" t="s">
        <v>633</v>
      </c>
      <c r="H16" s="1622" t="s">
        <v>1414</v>
      </c>
      <c r="I16" s="1623"/>
      <c r="J16" s="2020"/>
      <c r="K16" s="2020"/>
      <c r="L16" s="1624" t="s">
        <v>7</v>
      </c>
      <c r="M16" s="1624" t="s">
        <v>19</v>
      </c>
      <c r="N16" s="1625" t="s">
        <v>7</v>
      </c>
      <c r="O16" s="1626" t="s">
        <v>19</v>
      </c>
      <c r="P16" s="1627" t="s">
        <v>1522</v>
      </c>
      <c r="Q16" s="1627" t="s">
        <v>1523</v>
      </c>
    </row>
    <row r="17" spans="1:17" x14ac:dyDescent="0.2">
      <c r="A17" s="2056" t="s">
        <v>1399</v>
      </c>
      <c r="B17" s="2058">
        <v>1</v>
      </c>
      <c r="C17" s="2060" t="s">
        <v>1409</v>
      </c>
      <c r="D17" s="2061" t="s">
        <v>1403</v>
      </c>
      <c r="E17" s="2061"/>
      <c r="F17" s="1628">
        <v>35</v>
      </c>
      <c r="G17" s="1628">
        <v>45</v>
      </c>
      <c r="H17" s="1629">
        <v>75</v>
      </c>
      <c r="I17" s="1630"/>
      <c r="J17" s="1631">
        <v>1830</v>
      </c>
      <c r="K17" s="1632" t="s">
        <v>2164</v>
      </c>
      <c r="L17" s="1633">
        <v>25</v>
      </c>
      <c r="M17" s="1634">
        <f>IF(ISERROR(1/L17), "", 1/L17)</f>
        <v>0.04</v>
      </c>
      <c r="N17" s="1633">
        <v>45</v>
      </c>
      <c r="O17" s="1635">
        <f>IF(ISERROR(1/N17), "", 1/N17)</f>
        <v>2.2222222222222223E-2</v>
      </c>
      <c r="P17" s="1636" t="str">
        <f>IF(ISBLANK(N17),"",IF(N17&lt;F17,"Yes","No"))</f>
        <v>No</v>
      </c>
      <c r="Q17" s="1636" t="str">
        <f>IF(ISBLANK(N17),"",IF(N17&gt;H17,"Yes","No"))</f>
        <v>No</v>
      </c>
    </row>
    <row r="18" spans="1:17" x14ac:dyDescent="0.2">
      <c r="A18" s="2057"/>
      <c r="B18" s="2059"/>
      <c r="C18" s="2046"/>
      <c r="D18" s="2046" t="s">
        <v>1400</v>
      </c>
      <c r="E18" s="1637" t="s">
        <v>1404</v>
      </c>
      <c r="F18" s="1638">
        <v>20</v>
      </c>
      <c r="G18" s="1638">
        <v>40</v>
      </c>
      <c r="H18" s="1639">
        <v>55</v>
      </c>
      <c r="I18" s="1630"/>
      <c r="J18" s="1631"/>
      <c r="K18" s="1640"/>
      <c r="L18" s="1633"/>
      <c r="M18" s="1634" t="str">
        <f t="shared" ref="M18:M71" si="0">IF(ISERROR(1/L18), "", 1/L18)</f>
        <v/>
      </c>
      <c r="N18" s="1633"/>
      <c r="O18" s="1635" t="str">
        <f t="shared" ref="O18:O71" si="1">IF(ISERROR(1/N18), "", 1/N18)</f>
        <v/>
      </c>
      <c r="P18" s="1636" t="str">
        <f t="shared" ref="P18:P71" si="2">IF(ISBLANK(N18),"",IF(N18&lt;F18,"Yes","No"))</f>
        <v/>
      </c>
      <c r="Q18" s="1636" t="str">
        <f t="shared" ref="Q18:Q71" si="3">IF(ISBLANK(N18),"",IF(N18&gt;H18,"Yes","No"))</f>
        <v/>
      </c>
    </row>
    <row r="19" spans="1:17" x14ac:dyDescent="0.2">
      <c r="A19" s="2057"/>
      <c r="B19" s="2059"/>
      <c r="C19" s="2046"/>
      <c r="D19" s="2046"/>
      <c r="E19" s="1637" t="s">
        <v>1405</v>
      </c>
      <c r="F19" s="1638">
        <v>30</v>
      </c>
      <c r="G19" s="1638">
        <v>70</v>
      </c>
      <c r="H19" s="1639">
        <v>95</v>
      </c>
      <c r="I19" s="1630"/>
      <c r="J19" s="1631"/>
      <c r="K19" s="1640"/>
      <c r="L19" s="1633"/>
      <c r="M19" s="1634" t="str">
        <f t="shared" si="0"/>
        <v/>
      </c>
      <c r="N19" s="1633"/>
      <c r="O19" s="1635" t="str">
        <f t="shared" si="1"/>
        <v/>
      </c>
      <c r="P19" s="1636" t="str">
        <f t="shared" si="2"/>
        <v/>
      </c>
      <c r="Q19" s="1636" t="str">
        <f t="shared" si="3"/>
        <v/>
      </c>
    </row>
    <row r="20" spans="1:17" x14ac:dyDescent="0.2">
      <c r="A20" s="2057"/>
      <c r="B20" s="2059">
        <v>2</v>
      </c>
      <c r="C20" s="2046" t="s">
        <v>1412</v>
      </c>
      <c r="D20" s="2063" t="s">
        <v>1403</v>
      </c>
      <c r="E20" s="2063"/>
      <c r="F20" s="1638">
        <v>50</v>
      </c>
      <c r="G20" s="1638">
        <v>60</v>
      </c>
      <c r="H20" s="1639">
        <v>80</v>
      </c>
      <c r="I20" s="1630"/>
      <c r="J20" s="1631">
        <v>1830</v>
      </c>
      <c r="K20" s="1632" t="s">
        <v>2164</v>
      </c>
      <c r="L20" s="1633">
        <v>25</v>
      </c>
      <c r="M20" s="1634">
        <f>IF(ISERROR(1/L20), "", 1/L20)</f>
        <v>0.04</v>
      </c>
      <c r="N20" s="1633">
        <v>45</v>
      </c>
      <c r="O20" s="1635">
        <f t="shared" si="1"/>
        <v>2.2222222222222223E-2</v>
      </c>
      <c r="P20" s="1636" t="str">
        <f t="shared" si="2"/>
        <v>Yes</v>
      </c>
      <c r="Q20" s="1636" t="str">
        <f t="shared" si="3"/>
        <v>No</v>
      </c>
    </row>
    <row r="21" spans="1:17" x14ac:dyDescent="0.2">
      <c r="A21" s="2057"/>
      <c r="B21" s="2059"/>
      <c r="C21" s="2046"/>
      <c r="D21" s="2046" t="s">
        <v>1400</v>
      </c>
      <c r="E21" s="1637" t="s">
        <v>1404</v>
      </c>
      <c r="F21" s="1638">
        <v>20</v>
      </c>
      <c r="G21" s="1638">
        <v>40</v>
      </c>
      <c r="H21" s="1639">
        <v>55</v>
      </c>
      <c r="I21" s="1630"/>
      <c r="J21" s="1631"/>
      <c r="K21" s="1640"/>
      <c r="L21" s="1633"/>
      <c r="M21" s="1634" t="str">
        <f t="shared" si="0"/>
        <v/>
      </c>
      <c r="N21" s="1633"/>
      <c r="O21" s="1635" t="str">
        <f t="shared" si="1"/>
        <v/>
      </c>
      <c r="P21" s="1636" t="str">
        <f t="shared" si="2"/>
        <v/>
      </c>
      <c r="Q21" s="1636" t="str">
        <f t="shared" si="3"/>
        <v/>
      </c>
    </row>
    <row r="22" spans="1:17" x14ac:dyDescent="0.2">
      <c r="A22" s="2057"/>
      <c r="B22" s="2059"/>
      <c r="C22" s="2046"/>
      <c r="D22" s="2046"/>
      <c r="E22" s="1637" t="s">
        <v>1405</v>
      </c>
      <c r="F22" s="1638">
        <v>30</v>
      </c>
      <c r="G22" s="1638">
        <v>70</v>
      </c>
      <c r="H22" s="1639">
        <v>95</v>
      </c>
      <c r="I22" s="1630"/>
      <c r="J22" s="1631"/>
      <c r="K22" s="1640"/>
      <c r="L22" s="1633"/>
      <c r="M22" s="1634" t="str">
        <f t="shared" si="0"/>
        <v/>
      </c>
      <c r="N22" s="1633"/>
      <c r="O22" s="1635" t="str">
        <f t="shared" si="1"/>
        <v/>
      </c>
      <c r="P22" s="1636" t="str">
        <f t="shared" si="2"/>
        <v/>
      </c>
      <c r="Q22" s="1636" t="str">
        <f t="shared" si="3"/>
        <v/>
      </c>
    </row>
    <row r="23" spans="1:17" x14ac:dyDescent="0.2">
      <c r="A23" s="2057"/>
      <c r="B23" s="2059">
        <v>3</v>
      </c>
      <c r="C23" s="2046" t="s">
        <v>1402</v>
      </c>
      <c r="D23" s="2063" t="s">
        <v>1403</v>
      </c>
      <c r="E23" s="2063"/>
      <c r="F23" s="1638">
        <v>60</v>
      </c>
      <c r="G23" s="1638">
        <v>60</v>
      </c>
      <c r="H23" s="1639">
        <v>80</v>
      </c>
      <c r="I23" s="1630"/>
      <c r="J23" s="1631">
        <v>1830</v>
      </c>
      <c r="K23" s="1632" t="s">
        <v>2177</v>
      </c>
      <c r="L23" s="1633"/>
      <c r="M23" s="1634" t="str">
        <f t="shared" si="0"/>
        <v/>
      </c>
      <c r="N23" s="1633"/>
      <c r="O23" s="1635" t="str">
        <f t="shared" si="1"/>
        <v/>
      </c>
      <c r="P23" s="1636" t="str">
        <f t="shared" si="2"/>
        <v/>
      </c>
      <c r="Q23" s="1636" t="str">
        <f t="shared" si="3"/>
        <v/>
      </c>
    </row>
    <row r="24" spans="1:17" x14ac:dyDescent="0.2">
      <c r="A24" s="2057"/>
      <c r="B24" s="2059"/>
      <c r="C24" s="2046"/>
      <c r="D24" s="2046" t="s">
        <v>1400</v>
      </c>
      <c r="E24" s="1637" t="s">
        <v>1404</v>
      </c>
      <c r="F24" s="1638">
        <v>20</v>
      </c>
      <c r="G24" s="1638">
        <v>40</v>
      </c>
      <c r="H24" s="1639">
        <v>55</v>
      </c>
      <c r="I24" s="1630"/>
      <c r="J24" s="1631"/>
      <c r="K24" s="1640"/>
      <c r="L24" s="1633"/>
      <c r="M24" s="1634" t="str">
        <f t="shared" si="0"/>
        <v/>
      </c>
      <c r="N24" s="1633"/>
      <c r="O24" s="1635" t="str">
        <f t="shared" si="1"/>
        <v/>
      </c>
      <c r="P24" s="1636" t="str">
        <f t="shared" si="2"/>
        <v/>
      </c>
      <c r="Q24" s="1636" t="str">
        <f t="shared" si="3"/>
        <v/>
      </c>
    </row>
    <row r="25" spans="1:17" x14ac:dyDescent="0.2">
      <c r="A25" s="2057"/>
      <c r="B25" s="2059"/>
      <c r="C25" s="2046"/>
      <c r="D25" s="2046"/>
      <c r="E25" s="1637" t="s">
        <v>1405</v>
      </c>
      <c r="F25" s="1638">
        <v>30</v>
      </c>
      <c r="G25" s="1638">
        <v>70</v>
      </c>
      <c r="H25" s="1639">
        <v>95</v>
      </c>
      <c r="I25" s="1630"/>
      <c r="J25" s="1631"/>
      <c r="K25" s="1640"/>
      <c r="L25" s="1633"/>
      <c r="M25" s="1634" t="str">
        <f t="shared" si="0"/>
        <v/>
      </c>
      <c r="N25" s="1633"/>
      <c r="O25" s="1635" t="str">
        <f t="shared" si="1"/>
        <v/>
      </c>
      <c r="P25" s="1636" t="str">
        <f t="shared" si="2"/>
        <v/>
      </c>
      <c r="Q25" s="1636" t="str">
        <f t="shared" si="3"/>
        <v/>
      </c>
    </row>
    <row r="26" spans="1:17" x14ac:dyDescent="0.2">
      <c r="A26" s="2057"/>
      <c r="B26" s="1638">
        <v>4</v>
      </c>
      <c r="C26" s="2030" t="s">
        <v>1415</v>
      </c>
      <c r="D26" s="2062"/>
      <c r="E26" s="2031"/>
      <c r="F26" s="1638">
        <v>30</v>
      </c>
      <c r="G26" s="1638">
        <v>45</v>
      </c>
      <c r="H26" s="1639">
        <v>55</v>
      </c>
      <c r="I26" s="1630"/>
      <c r="J26" s="1631">
        <v>1835</v>
      </c>
      <c r="K26" s="1632" t="s">
        <v>2165</v>
      </c>
      <c r="L26" s="1633">
        <v>25</v>
      </c>
      <c r="M26" s="1634">
        <f t="shared" si="0"/>
        <v>0.04</v>
      </c>
      <c r="N26" s="1633">
        <v>45</v>
      </c>
      <c r="O26" s="1635">
        <f t="shared" si="1"/>
        <v>2.2222222222222223E-2</v>
      </c>
      <c r="P26" s="1636" t="str">
        <f t="shared" si="2"/>
        <v>No</v>
      </c>
      <c r="Q26" s="1636" t="str">
        <f t="shared" si="3"/>
        <v>No</v>
      </c>
    </row>
    <row r="27" spans="1:17" x14ac:dyDescent="0.2">
      <c r="A27" s="2057"/>
      <c r="B27" s="1638">
        <v>5</v>
      </c>
      <c r="C27" s="2030" t="s">
        <v>1416</v>
      </c>
      <c r="D27" s="2062"/>
      <c r="E27" s="2031"/>
      <c r="F27" s="1638">
        <v>15</v>
      </c>
      <c r="G27" s="1638">
        <v>25</v>
      </c>
      <c r="H27" s="1639">
        <v>25</v>
      </c>
      <c r="I27" s="1630"/>
      <c r="J27" s="1631">
        <v>1835</v>
      </c>
      <c r="K27" s="1632" t="s">
        <v>2177</v>
      </c>
      <c r="L27" s="1633"/>
      <c r="M27" s="1634" t="str">
        <f t="shared" si="0"/>
        <v/>
      </c>
      <c r="N27" s="1633"/>
      <c r="O27" s="1635" t="str">
        <f t="shared" si="1"/>
        <v/>
      </c>
      <c r="P27" s="1636" t="str">
        <f t="shared" si="2"/>
        <v/>
      </c>
      <c r="Q27" s="1636" t="str">
        <f t="shared" si="3"/>
        <v/>
      </c>
    </row>
    <row r="28" spans="1:17" x14ac:dyDescent="0.2">
      <c r="A28" s="2057"/>
      <c r="B28" s="1638">
        <v>6</v>
      </c>
      <c r="C28" s="2030" t="s">
        <v>1417</v>
      </c>
      <c r="D28" s="2062"/>
      <c r="E28" s="2031"/>
      <c r="F28" s="1638">
        <v>15</v>
      </c>
      <c r="G28" s="1638">
        <v>20</v>
      </c>
      <c r="H28" s="1639">
        <v>20</v>
      </c>
      <c r="I28" s="1630"/>
      <c r="J28" s="1631">
        <v>1980</v>
      </c>
      <c r="K28" s="1632" t="s">
        <v>2154</v>
      </c>
      <c r="L28" s="1633">
        <v>15</v>
      </c>
      <c r="M28" s="1634">
        <f t="shared" si="0"/>
        <v>6.6666666666666666E-2</v>
      </c>
      <c r="N28" s="1633">
        <v>15</v>
      </c>
      <c r="O28" s="1635">
        <f t="shared" si="1"/>
        <v>6.6666666666666666E-2</v>
      </c>
      <c r="P28" s="1636" t="str">
        <f t="shared" si="2"/>
        <v>No</v>
      </c>
      <c r="Q28" s="1636" t="str">
        <f t="shared" si="3"/>
        <v>No</v>
      </c>
    </row>
    <row r="29" spans="1:17" x14ac:dyDescent="0.2">
      <c r="A29" s="2057"/>
      <c r="B29" s="1638">
        <v>7</v>
      </c>
      <c r="C29" s="2030" t="s">
        <v>1418</v>
      </c>
      <c r="D29" s="2062"/>
      <c r="E29" s="2031"/>
      <c r="F29" s="1638">
        <v>35</v>
      </c>
      <c r="G29" s="1638">
        <v>45</v>
      </c>
      <c r="H29" s="1639">
        <v>60</v>
      </c>
      <c r="I29" s="1630"/>
      <c r="J29" s="1631">
        <v>1835</v>
      </c>
      <c r="K29" s="1632" t="s">
        <v>2165</v>
      </c>
      <c r="L29" s="1633">
        <v>25</v>
      </c>
      <c r="M29" s="1634">
        <f t="shared" si="0"/>
        <v>0.04</v>
      </c>
      <c r="N29" s="1633">
        <v>45</v>
      </c>
      <c r="O29" s="1635">
        <f t="shared" si="1"/>
        <v>2.2222222222222223E-2</v>
      </c>
      <c r="P29" s="1636" t="str">
        <f t="shared" si="2"/>
        <v>No</v>
      </c>
      <c r="Q29" s="1636" t="str">
        <f t="shared" si="3"/>
        <v>No</v>
      </c>
    </row>
    <row r="30" spans="1:17" x14ac:dyDescent="0.2">
      <c r="A30" s="2057"/>
      <c r="B30" s="1638">
        <v>8</v>
      </c>
      <c r="C30" s="2030" t="s">
        <v>1419</v>
      </c>
      <c r="D30" s="2062"/>
      <c r="E30" s="2031"/>
      <c r="F30" s="1638">
        <v>50</v>
      </c>
      <c r="G30" s="1638">
        <v>60</v>
      </c>
      <c r="H30" s="1639">
        <v>75</v>
      </c>
      <c r="I30" s="1630"/>
      <c r="J30" s="1631">
        <v>1835</v>
      </c>
      <c r="K30" s="1632" t="s">
        <v>2166</v>
      </c>
      <c r="L30" s="1633">
        <v>25</v>
      </c>
      <c r="M30" s="1634">
        <f t="shared" si="0"/>
        <v>0.04</v>
      </c>
      <c r="N30" s="1633">
        <v>45</v>
      </c>
      <c r="O30" s="1635">
        <f t="shared" si="1"/>
        <v>2.2222222222222223E-2</v>
      </c>
      <c r="P30" s="1636" t="str">
        <f t="shared" si="2"/>
        <v>Yes</v>
      </c>
      <c r="Q30" s="1636" t="str">
        <f t="shared" si="3"/>
        <v>No</v>
      </c>
    </row>
    <row r="31" spans="1:17" x14ac:dyDescent="0.2">
      <c r="A31" s="2057"/>
      <c r="B31" s="1638">
        <v>9</v>
      </c>
      <c r="C31" s="2030" t="s">
        <v>1420</v>
      </c>
      <c r="D31" s="2062"/>
      <c r="E31" s="2031"/>
      <c r="F31" s="1638">
        <v>30</v>
      </c>
      <c r="G31" s="1638">
        <v>40</v>
      </c>
      <c r="H31" s="1639">
        <v>60</v>
      </c>
      <c r="I31" s="1630"/>
      <c r="J31" s="1631">
        <v>1850</v>
      </c>
      <c r="K31" s="1632" t="s">
        <v>2167</v>
      </c>
      <c r="L31" s="1633">
        <v>25</v>
      </c>
      <c r="M31" s="1634">
        <f t="shared" si="0"/>
        <v>0.04</v>
      </c>
      <c r="N31" s="1633">
        <v>40</v>
      </c>
      <c r="O31" s="1635">
        <f t="shared" si="1"/>
        <v>2.5000000000000001E-2</v>
      </c>
      <c r="P31" s="1636" t="str">
        <f t="shared" si="2"/>
        <v>No</v>
      </c>
      <c r="Q31" s="1636" t="str">
        <f t="shared" si="3"/>
        <v>No</v>
      </c>
    </row>
    <row r="32" spans="1:17" x14ac:dyDescent="0.2">
      <c r="A32" s="2057"/>
      <c r="B32" s="1638">
        <v>10</v>
      </c>
      <c r="C32" s="2030" t="s">
        <v>1421</v>
      </c>
      <c r="D32" s="2062"/>
      <c r="E32" s="2031"/>
      <c r="F32" s="1638">
        <v>25</v>
      </c>
      <c r="G32" s="1638">
        <v>30</v>
      </c>
      <c r="H32" s="1639">
        <v>40</v>
      </c>
      <c r="I32" s="1630"/>
      <c r="J32" s="1641"/>
      <c r="K32" s="1642"/>
      <c r="L32" s="1643"/>
      <c r="M32" s="1634" t="str">
        <f t="shared" si="0"/>
        <v/>
      </c>
      <c r="N32" s="1643"/>
      <c r="O32" s="1635" t="str">
        <f t="shared" si="1"/>
        <v/>
      </c>
      <c r="P32" s="1636" t="str">
        <f t="shared" si="2"/>
        <v/>
      </c>
      <c r="Q32" s="1636" t="str">
        <f t="shared" si="3"/>
        <v/>
      </c>
    </row>
    <row r="33" spans="1:17" s="1664" customFormat="1" ht="13.5" thickBot="1" x14ac:dyDescent="0.25">
      <c r="A33" s="2057"/>
      <c r="B33" s="1638">
        <v>11</v>
      </c>
      <c r="C33" s="2030" t="s">
        <v>1422</v>
      </c>
      <c r="D33" s="2062"/>
      <c r="E33" s="2031"/>
      <c r="F33" s="1638">
        <v>25</v>
      </c>
      <c r="G33" s="1638">
        <v>40</v>
      </c>
      <c r="H33" s="1639">
        <v>55</v>
      </c>
      <c r="I33" s="1630"/>
      <c r="J33" s="1631">
        <v>1835</v>
      </c>
      <c r="K33" s="1632" t="s">
        <v>2165</v>
      </c>
      <c r="L33" s="1633">
        <v>25</v>
      </c>
      <c r="M33" s="1634">
        <f t="shared" ref="M33" si="4">IF(ISERROR(1/L33), "", 1/L33)</f>
        <v>0.04</v>
      </c>
      <c r="N33" s="1633">
        <v>45</v>
      </c>
      <c r="O33" s="1635">
        <f t="shared" ref="O33" si="5">IF(ISERROR(1/N33), "", 1/N33)</f>
        <v>2.2222222222222223E-2</v>
      </c>
      <c r="P33" s="1636" t="str">
        <f t="shared" ref="P33" si="6">IF(ISBLANK(N33),"",IF(N33&lt;F33,"Yes","No"))</f>
        <v>No</v>
      </c>
      <c r="Q33" s="1636" t="str">
        <f t="shared" ref="Q33" si="7">IF(ISBLANK(N33),"",IF(N33&gt;H33,"Yes","No"))</f>
        <v>No</v>
      </c>
    </row>
    <row r="34" spans="1:17" x14ac:dyDescent="0.2">
      <c r="A34" s="2035" t="s">
        <v>1401</v>
      </c>
      <c r="B34" s="2052">
        <v>12</v>
      </c>
      <c r="C34" s="2053" t="s">
        <v>1423</v>
      </c>
      <c r="D34" s="2038" t="s">
        <v>1403</v>
      </c>
      <c r="E34" s="2054"/>
      <c r="F34" s="1628">
        <v>30</v>
      </c>
      <c r="G34" s="1628">
        <v>45</v>
      </c>
      <c r="H34" s="1629">
        <v>60</v>
      </c>
      <c r="I34" s="1630"/>
      <c r="J34" s="1631">
        <v>1850</v>
      </c>
      <c r="K34" s="1632" t="s">
        <v>2167</v>
      </c>
      <c r="L34" s="1633">
        <v>25</v>
      </c>
      <c r="M34" s="1634">
        <f t="shared" si="0"/>
        <v>0.04</v>
      </c>
      <c r="N34" s="1633">
        <v>40</v>
      </c>
      <c r="O34" s="1635">
        <f t="shared" si="1"/>
        <v>2.5000000000000001E-2</v>
      </c>
      <c r="P34" s="1636" t="str">
        <f t="shared" si="2"/>
        <v>No</v>
      </c>
      <c r="Q34" s="1636" t="str">
        <f t="shared" si="3"/>
        <v>No</v>
      </c>
    </row>
    <row r="35" spans="1:17" x14ac:dyDescent="0.2">
      <c r="A35" s="2050"/>
      <c r="B35" s="2012"/>
      <c r="C35" s="2047"/>
      <c r="D35" s="2004" t="s">
        <v>1424</v>
      </c>
      <c r="E35" s="2006"/>
      <c r="F35" s="1638">
        <v>10</v>
      </c>
      <c r="G35" s="1638">
        <v>20</v>
      </c>
      <c r="H35" s="1639">
        <v>30</v>
      </c>
      <c r="I35" s="1630"/>
      <c r="J35" s="1641"/>
      <c r="K35" s="1642"/>
      <c r="L35" s="1643"/>
      <c r="M35" s="1634" t="str">
        <f t="shared" si="0"/>
        <v/>
      </c>
      <c r="N35" s="1643"/>
      <c r="O35" s="1635" t="str">
        <f t="shared" si="1"/>
        <v/>
      </c>
      <c r="P35" s="1636" t="str">
        <f t="shared" si="2"/>
        <v/>
      </c>
      <c r="Q35" s="1636" t="str">
        <f t="shared" si="3"/>
        <v/>
      </c>
    </row>
    <row r="36" spans="1:17" x14ac:dyDescent="0.2">
      <c r="A36" s="2050"/>
      <c r="B36" s="2009"/>
      <c r="C36" s="2047"/>
      <c r="D36" s="2004" t="s">
        <v>1425</v>
      </c>
      <c r="E36" s="2006"/>
      <c r="F36" s="1638">
        <v>20</v>
      </c>
      <c r="G36" s="1638">
        <v>30</v>
      </c>
      <c r="H36" s="1639">
        <v>60</v>
      </c>
      <c r="I36" s="1630"/>
      <c r="J36" s="1641"/>
      <c r="K36" s="1642"/>
      <c r="L36" s="1643"/>
      <c r="M36" s="1634" t="str">
        <f t="shared" si="0"/>
        <v/>
      </c>
      <c r="N36" s="1643"/>
      <c r="O36" s="1635" t="str">
        <f t="shared" si="1"/>
        <v/>
      </c>
      <c r="P36" s="1636" t="str">
        <f t="shared" si="2"/>
        <v/>
      </c>
      <c r="Q36" s="1636" t="str">
        <f t="shared" si="3"/>
        <v/>
      </c>
    </row>
    <row r="37" spans="1:17" x14ac:dyDescent="0.2">
      <c r="A37" s="2050"/>
      <c r="B37" s="1636">
        <v>13</v>
      </c>
      <c r="C37" s="2055" t="s">
        <v>1406</v>
      </c>
      <c r="D37" s="2041"/>
      <c r="E37" s="2042"/>
      <c r="F37" s="1638">
        <v>30</v>
      </c>
      <c r="G37" s="1638">
        <v>45</v>
      </c>
      <c r="H37" s="1639">
        <v>55</v>
      </c>
      <c r="I37" s="1630"/>
      <c r="J37" s="1631">
        <v>1850</v>
      </c>
      <c r="K37" s="1632" t="s">
        <v>2167</v>
      </c>
      <c r="L37" s="1633">
        <v>25</v>
      </c>
      <c r="M37" s="1634">
        <f t="shared" si="0"/>
        <v>0.04</v>
      </c>
      <c r="N37" s="1633">
        <v>40</v>
      </c>
      <c r="O37" s="1635">
        <f t="shared" si="1"/>
        <v>2.5000000000000001E-2</v>
      </c>
      <c r="P37" s="1636" t="str">
        <f t="shared" si="2"/>
        <v>No</v>
      </c>
      <c r="Q37" s="1636" t="str">
        <f t="shared" si="3"/>
        <v>No</v>
      </c>
    </row>
    <row r="38" spans="1:17" x14ac:dyDescent="0.2">
      <c r="A38" s="2050"/>
      <c r="B38" s="1636">
        <v>14</v>
      </c>
      <c r="C38" s="2055" t="s">
        <v>1426</v>
      </c>
      <c r="D38" s="2041"/>
      <c r="E38" s="2042"/>
      <c r="F38" s="1638">
        <v>30</v>
      </c>
      <c r="G38" s="1638">
        <v>40</v>
      </c>
      <c r="H38" s="1639">
        <v>40</v>
      </c>
      <c r="I38" s="1630"/>
      <c r="J38" s="1631">
        <v>1850</v>
      </c>
      <c r="K38" s="1632" t="s">
        <v>2177</v>
      </c>
      <c r="L38" s="1633"/>
      <c r="M38" s="1634" t="str">
        <f t="shared" si="0"/>
        <v/>
      </c>
      <c r="N38" s="1633"/>
      <c r="O38" s="1635" t="str">
        <f t="shared" si="1"/>
        <v/>
      </c>
      <c r="P38" s="1636" t="str">
        <f t="shared" si="2"/>
        <v/>
      </c>
      <c r="Q38" s="1636" t="str">
        <f t="shared" si="3"/>
        <v/>
      </c>
    </row>
    <row r="39" spans="1:17" x14ac:dyDescent="0.2">
      <c r="A39" s="2050"/>
      <c r="B39" s="2008">
        <v>15</v>
      </c>
      <c r="C39" s="2047" t="s">
        <v>1407</v>
      </c>
      <c r="D39" s="2004" t="s">
        <v>1403</v>
      </c>
      <c r="E39" s="2006"/>
      <c r="F39" s="1638">
        <v>10</v>
      </c>
      <c r="G39" s="1638">
        <v>20</v>
      </c>
      <c r="H39" s="1639">
        <v>30</v>
      </c>
      <c r="I39" s="1630"/>
      <c r="J39" s="1631">
        <v>1980</v>
      </c>
      <c r="K39" s="1632" t="s">
        <v>2154</v>
      </c>
      <c r="L39" s="1633">
        <v>15</v>
      </c>
      <c r="M39" s="1634">
        <f t="shared" si="0"/>
        <v>6.6666666666666666E-2</v>
      </c>
      <c r="N39" s="1633">
        <v>15</v>
      </c>
      <c r="O39" s="1635">
        <f t="shared" si="1"/>
        <v>6.6666666666666666E-2</v>
      </c>
      <c r="P39" s="1636" t="str">
        <f t="shared" si="2"/>
        <v>No</v>
      </c>
      <c r="Q39" s="1636" t="str">
        <f t="shared" si="3"/>
        <v>No</v>
      </c>
    </row>
    <row r="40" spans="1:17" x14ac:dyDescent="0.2">
      <c r="A40" s="2050"/>
      <c r="B40" s="2012"/>
      <c r="C40" s="2047"/>
      <c r="D40" s="2004" t="s">
        <v>1427</v>
      </c>
      <c r="E40" s="2006"/>
      <c r="F40" s="1638">
        <v>10</v>
      </c>
      <c r="G40" s="1638">
        <v>15</v>
      </c>
      <c r="H40" s="1639">
        <v>15</v>
      </c>
      <c r="I40" s="1630"/>
      <c r="J40" s="1641"/>
      <c r="K40" s="1642" t="s">
        <v>2177</v>
      </c>
      <c r="L40" s="1643"/>
      <c r="M40" s="1634" t="str">
        <f t="shared" si="0"/>
        <v/>
      </c>
      <c r="N40" s="1643"/>
      <c r="O40" s="1635" t="str">
        <f t="shared" si="1"/>
        <v/>
      </c>
      <c r="P40" s="1636" t="str">
        <f t="shared" si="2"/>
        <v/>
      </c>
      <c r="Q40" s="1636" t="str">
        <f t="shared" si="3"/>
        <v/>
      </c>
    </row>
    <row r="41" spans="1:17" x14ac:dyDescent="0.2">
      <c r="A41" s="2050"/>
      <c r="B41" s="2009"/>
      <c r="C41" s="2047"/>
      <c r="D41" s="2004" t="s">
        <v>1408</v>
      </c>
      <c r="E41" s="2006"/>
      <c r="F41" s="1638">
        <v>20</v>
      </c>
      <c r="G41" s="1638">
        <v>20</v>
      </c>
      <c r="H41" s="1639">
        <v>30</v>
      </c>
      <c r="I41" s="1630"/>
      <c r="J41" s="1641"/>
      <c r="K41" s="1642" t="s">
        <v>2177</v>
      </c>
      <c r="L41" s="1643"/>
      <c r="M41" s="1634" t="str">
        <f t="shared" si="0"/>
        <v/>
      </c>
      <c r="N41" s="1643"/>
      <c r="O41" s="1635" t="str">
        <f t="shared" si="1"/>
        <v/>
      </c>
      <c r="P41" s="1636" t="str">
        <f t="shared" si="2"/>
        <v/>
      </c>
      <c r="Q41" s="1636" t="str">
        <f t="shared" si="3"/>
        <v/>
      </c>
    </row>
    <row r="42" spans="1:17" x14ac:dyDescent="0.2">
      <c r="A42" s="2050"/>
      <c r="B42" s="2008">
        <v>16</v>
      </c>
      <c r="C42" s="1647" t="s">
        <v>1428</v>
      </c>
      <c r="D42" s="2004" t="s">
        <v>1403</v>
      </c>
      <c r="E42" s="2006"/>
      <c r="F42" s="1638">
        <v>30</v>
      </c>
      <c r="G42" s="1638">
        <v>40</v>
      </c>
      <c r="H42" s="1639">
        <v>60</v>
      </c>
      <c r="I42" s="1630"/>
      <c r="J42" s="1631">
        <v>1820</v>
      </c>
      <c r="K42" s="1632" t="s">
        <v>2168</v>
      </c>
      <c r="L42" s="1633">
        <v>25</v>
      </c>
      <c r="M42" s="1634">
        <f t="shared" si="0"/>
        <v>0.04</v>
      </c>
      <c r="N42" s="1633">
        <v>40</v>
      </c>
      <c r="O42" s="1635">
        <f t="shared" si="1"/>
        <v>2.5000000000000001E-2</v>
      </c>
      <c r="P42" s="1636" t="str">
        <f t="shared" si="2"/>
        <v>No</v>
      </c>
      <c r="Q42" s="1636" t="str">
        <f t="shared" si="3"/>
        <v>No</v>
      </c>
    </row>
    <row r="43" spans="1:17" x14ac:dyDescent="0.2">
      <c r="A43" s="2050"/>
      <c r="B43" s="2009"/>
      <c r="C43" s="1647"/>
      <c r="D43" s="2004" t="s">
        <v>1429</v>
      </c>
      <c r="E43" s="2006"/>
      <c r="F43" s="1638">
        <v>25</v>
      </c>
      <c r="G43" s="1638">
        <v>40</v>
      </c>
      <c r="H43" s="1639">
        <v>60</v>
      </c>
      <c r="I43" s="1630"/>
      <c r="J43" s="1631">
        <v>1820</v>
      </c>
      <c r="K43" s="1632" t="s">
        <v>2168</v>
      </c>
      <c r="L43" s="1633">
        <v>25</v>
      </c>
      <c r="M43" s="1634">
        <f t="shared" si="0"/>
        <v>0.04</v>
      </c>
      <c r="N43" s="1633">
        <v>40</v>
      </c>
      <c r="O43" s="1635">
        <f t="shared" si="1"/>
        <v>2.5000000000000001E-2</v>
      </c>
      <c r="P43" s="1636" t="str">
        <f t="shared" si="2"/>
        <v>No</v>
      </c>
      <c r="Q43" s="1636" t="str">
        <f t="shared" si="3"/>
        <v>No</v>
      </c>
    </row>
    <row r="44" spans="1:17" x14ac:dyDescent="0.2">
      <c r="A44" s="2050"/>
      <c r="B44" s="1638">
        <v>17</v>
      </c>
      <c r="C44" s="2004" t="s">
        <v>1430</v>
      </c>
      <c r="D44" s="2005"/>
      <c r="E44" s="2006"/>
      <c r="F44" s="1638">
        <v>35</v>
      </c>
      <c r="G44" s="1638">
        <v>45</v>
      </c>
      <c r="H44" s="1639">
        <v>65</v>
      </c>
      <c r="I44" s="1630"/>
      <c r="J44" s="1631">
        <v>1820</v>
      </c>
      <c r="K44" s="1632" t="s">
        <v>2177</v>
      </c>
      <c r="L44" s="1633"/>
      <c r="M44" s="1634" t="str">
        <f t="shared" si="0"/>
        <v/>
      </c>
      <c r="N44" s="1633"/>
      <c r="O44" s="1635" t="str">
        <f t="shared" si="1"/>
        <v/>
      </c>
      <c r="P44" s="1636" t="str">
        <f t="shared" si="2"/>
        <v/>
      </c>
      <c r="Q44" s="1636" t="str">
        <f t="shared" si="3"/>
        <v/>
      </c>
    </row>
    <row r="45" spans="1:17" ht="20.25" customHeight="1" x14ac:dyDescent="0.2">
      <c r="A45" s="2050"/>
      <c r="B45" s="1638">
        <v>18</v>
      </c>
      <c r="C45" s="2055" t="s">
        <v>1431</v>
      </c>
      <c r="D45" s="2041"/>
      <c r="E45" s="2042"/>
      <c r="F45" s="1638">
        <v>30</v>
      </c>
      <c r="G45" s="1638">
        <v>50</v>
      </c>
      <c r="H45" s="1639">
        <v>60</v>
      </c>
      <c r="I45" s="1648"/>
      <c r="J45" s="1631">
        <v>1820</v>
      </c>
      <c r="K45" s="1632" t="s">
        <v>2177</v>
      </c>
      <c r="L45" s="1633"/>
      <c r="M45" s="1634" t="str">
        <f t="shared" si="0"/>
        <v/>
      </c>
      <c r="N45" s="1633"/>
      <c r="O45" s="1635" t="str">
        <f t="shared" si="1"/>
        <v/>
      </c>
      <c r="P45" s="1636" t="str">
        <f t="shared" si="2"/>
        <v/>
      </c>
      <c r="Q45" s="1636" t="str">
        <f t="shared" si="3"/>
        <v/>
      </c>
    </row>
    <row r="46" spans="1:17" x14ac:dyDescent="0.2">
      <c r="A46" s="2050"/>
      <c r="B46" s="1638">
        <v>19</v>
      </c>
      <c r="C46" s="2004" t="s">
        <v>1438</v>
      </c>
      <c r="D46" s="2041"/>
      <c r="E46" s="2042"/>
      <c r="F46" s="1638">
        <v>25</v>
      </c>
      <c r="G46" s="1638">
        <v>35</v>
      </c>
      <c r="H46" s="1639">
        <v>50</v>
      </c>
      <c r="I46" s="1649"/>
      <c r="J46" s="1631">
        <v>1820</v>
      </c>
      <c r="K46" s="1632" t="s">
        <v>2169</v>
      </c>
      <c r="L46" s="1633">
        <v>25</v>
      </c>
      <c r="M46" s="1634">
        <f t="shared" si="0"/>
        <v>0.04</v>
      </c>
      <c r="N46" s="1633">
        <v>40</v>
      </c>
      <c r="O46" s="1635">
        <f t="shared" si="1"/>
        <v>2.5000000000000001E-2</v>
      </c>
      <c r="P46" s="1636" t="str">
        <f t="shared" si="2"/>
        <v>No</v>
      </c>
      <c r="Q46" s="1636" t="str">
        <f t="shared" si="3"/>
        <v>No</v>
      </c>
    </row>
    <row r="47" spans="1:17" x14ac:dyDescent="0.2">
      <c r="A47" s="2050"/>
      <c r="B47" s="1638">
        <v>20</v>
      </c>
      <c r="C47" s="2004" t="s">
        <v>1439</v>
      </c>
      <c r="D47" s="2041"/>
      <c r="E47" s="2042"/>
      <c r="F47" s="1638">
        <v>10</v>
      </c>
      <c r="G47" s="1638">
        <v>30</v>
      </c>
      <c r="H47" s="1639">
        <v>45</v>
      </c>
      <c r="I47" s="1649"/>
      <c r="J47" s="1631">
        <v>1820</v>
      </c>
      <c r="K47" s="1632" t="s">
        <v>2169</v>
      </c>
      <c r="L47" s="1633">
        <v>25</v>
      </c>
      <c r="M47" s="1634">
        <f t="shared" si="0"/>
        <v>0.04</v>
      </c>
      <c r="N47" s="1633">
        <v>40</v>
      </c>
      <c r="O47" s="1635">
        <f t="shared" si="1"/>
        <v>2.5000000000000001E-2</v>
      </c>
      <c r="P47" s="1636" t="str">
        <f t="shared" si="2"/>
        <v>No</v>
      </c>
      <c r="Q47" s="1636" t="str">
        <f t="shared" si="3"/>
        <v>No</v>
      </c>
    </row>
    <row r="48" spans="1:17" x14ac:dyDescent="0.2">
      <c r="A48" s="2050"/>
      <c r="B48" s="1638">
        <v>21</v>
      </c>
      <c r="C48" s="2004" t="s">
        <v>1440</v>
      </c>
      <c r="D48" s="2041"/>
      <c r="E48" s="2042"/>
      <c r="F48" s="1638">
        <v>15</v>
      </c>
      <c r="G48" s="1638">
        <v>20</v>
      </c>
      <c r="H48" s="1639">
        <v>20</v>
      </c>
      <c r="I48" s="1649"/>
      <c r="J48" s="1631">
        <v>1820</v>
      </c>
      <c r="K48" s="1632" t="s">
        <v>2177</v>
      </c>
      <c r="L48" s="1633"/>
      <c r="M48" s="1634" t="str">
        <f t="shared" si="0"/>
        <v/>
      </c>
      <c r="N48" s="1633"/>
      <c r="O48" s="1635" t="str">
        <f t="shared" si="1"/>
        <v/>
      </c>
      <c r="P48" s="1636" t="str">
        <f t="shared" si="2"/>
        <v/>
      </c>
      <c r="Q48" s="1636" t="str">
        <f t="shared" si="3"/>
        <v/>
      </c>
    </row>
    <row r="49" spans="1:17" x14ac:dyDescent="0.2">
      <c r="A49" s="2050"/>
      <c r="B49" s="1638">
        <v>22</v>
      </c>
      <c r="C49" s="2004" t="s">
        <v>1441</v>
      </c>
      <c r="D49" s="2041"/>
      <c r="E49" s="2042"/>
      <c r="F49" s="1638">
        <v>30</v>
      </c>
      <c r="G49" s="1638">
        <v>55</v>
      </c>
      <c r="H49" s="1639">
        <v>60</v>
      </c>
      <c r="I49" s="1649"/>
      <c r="J49" s="1631">
        <v>1820</v>
      </c>
      <c r="K49" s="1632" t="s">
        <v>2177</v>
      </c>
      <c r="L49" s="1633"/>
      <c r="M49" s="1634" t="str">
        <f t="shared" si="0"/>
        <v/>
      </c>
      <c r="N49" s="1633"/>
      <c r="O49" s="1635" t="str">
        <f t="shared" si="1"/>
        <v/>
      </c>
      <c r="P49" s="1636" t="str">
        <f t="shared" si="2"/>
        <v/>
      </c>
      <c r="Q49" s="1636" t="str">
        <f t="shared" si="3"/>
        <v/>
      </c>
    </row>
    <row r="50" spans="1:17" ht="13.5" thickBot="1" x14ac:dyDescent="0.25">
      <c r="A50" s="2051"/>
      <c r="B50" s="1650">
        <v>23</v>
      </c>
      <c r="C50" s="2032" t="s">
        <v>1442</v>
      </c>
      <c r="D50" s="2033"/>
      <c r="E50" s="2034"/>
      <c r="F50" s="1650">
        <v>35</v>
      </c>
      <c r="G50" s="1650">
        <v>50</v>
      </c>
      <c r="H50" s="1651">
        <v>90</v>
      </c>
      <c r="I50" s="1649"/>
      <c r="J50" s="1631">
        <v>1820</v>
      </c>
      <c r="K50" s="1632" t="s">
        <v>2169</v>
      </c>
      <c r="L50" s="1633">
        <v>25</v>
      </c>
      <c r="M50" s="1634">
        <f t="shared" si="0"/>
        <v>0.04</v>
      </c>
      <c r="N50" s="1633">
        <v>40</v>
      </c>
      <c r="O50" s="1635">
        <f t="shared" si="1"/>
        <v>2.5000000000000001E-2</v>
      </c>
      <c r="P50" s="1636" t="str">
        <f t="shared" si="2"/>
        <v>No</v>
      </c>
      <c r="Q50" s="1636" t="str">
        <f t="shared" si="3"/>
        <v>No</v>
      </c>
    </row>
    <row r="51" spans="1:17" x14ac:dyDescent="0.2">
      <c r="A51" s="2035" t="s">
        <v>1463</v>
      </c>
      <c r="B51" s="1628">
        <v>24</v>
      </c>
      <c r="C51" s="2038" t="s">
        <v>1443</v>
      </c>
      <c r="D51" s="2039"/>
      <c r="E51" s="2040"/>
      <c r="F51" s="1628">
        <v>60</v>
      </c>
      <c r="G51" s="1628">
        <v>65</v>
      </c>
      <c r="H51" s="1629">
        <v>75</v>
      </c>
      <c r="I51" s="1649"/>
      <c r="J51" s="1631">
        <v>1845</v>
      </c>
      <c r="K51" s="1632" t="s">
        <v>2177</v>
      </c>
      <c r="L51" s="1633"/>
      <c r="M51" s="1634" t="str">
        <f t="shared" ref="M51" si="8">IF(ISERROR(1/L51), "", 1/L51)</f>
        <v/>
      </c>
      <c r="N51" s="1633"/>
      <c r="O51" s="1635" t="str">
        <f t="shared" ref="O51" si="9">IF(ISERROR(1/N51), "", 1/N51)</f>
        <v/>
      </c>
      <c r="P51" s="1636" t="str">
        <f t="shared" ref="P51" si="10">IF(ISBLANK(N51),"",IF(N51&lt;F51,"Yes","No"))</f>
        <v/>
      </c>
      <c r="Q51" s="1636" t="str">
        <f t="shared" ref="Q51" si="11">IF(ISBLANK(N51),"",IF(N51&gt;H51,"Yes","No"))</f>
        <v/>
      </c>
    </row>
    <row r="52" spans="1:17" x14ac:dyDescent="0.2">
      <c r="A52" s="2036"/>
      <c r="B52" s="1638">
        <v>25</v>
      </c>
      <c r="C52" s="2004" t="s">
        <v>1444</v>
      </c>
      <c r="D52" s="2041"/>
      <c r="E52" s="2042"/>
      <c r="F52" s="1638">
        <v>20</v>
      </c>
      <c r="G52" s="1638">
        <v>25</v>
      </c>
      <c r="H52" s="1639">
        <v>25</v>
      </c>
      <c r="I52" s="1649"/>
      <c r="J52" s="1631">
        <v>1845</v>
      </c>
      <c r="K52" s="1632" t="s">
        <v>2177</v>
      </c>
      <c r="L52" s="1633"/>
      <c r="M52" s="1634" t="str">
        <f t="shared" ref="M52" si="12">IF(ISERROR(1/L52), "", 1/L52)</f>
        <v/>
      </c>
      <c r="N52" s="1633"/>
      <c r="O52" s="1635" t="str">
        <f t="shared" ref="O52" si="13">IF(ISERROR(1/N52), "", 1/N52)</f>
        <v/>
      </c>
      <c r="P52" s="1636" t="str">
        <f t="shared" ref="P52" si="14">IF(ISBLANK(N52),"",IF(N52&lt;F52,"Yes","No"))</f>
        <v/>
      </c>
      <c r="Q52" s="1636" t="str">
        <f t="shared" ref="Q52" si="15">IF(ISBLANK(N52),"",IF(N52&gt;H52,"Yes","No"))</f>
        <v/>
      </c>
    </row>
    <row r="53" spans="1:17" ht="27" customHeight="1" x14ac:dyDescent="0.2">
      <c r="A53" s="2036"/>
      <c r="B53" s="1638">
        <v>26</v>
      </c>
      <c r="C53" s="2043" t="s">
        <v>1462</v>
      </c>
      <c r="D53" s="2044"/>
      <c r="E53" s="2045"/>
      <c r="F53" s="1638">
        <v>20</v>
      </c>
      <c r="G53" s="1638">
        <v>25</v>
      </c>
      <c r="H53" s="1639">
        <v>30</v>
      </c>
      <c r="I53" s="1649"/>
      <c r="J53" s="1631">
        <v>1845</v>
      </c>
      <c r="K53" s="1632" t="s">
        <v>2177</v>
      </c>
      <c r="L53" s="1633"/>
      <c r="M53" s="1634" t="str">
        <f t="shared" si="0"/>
        <v/>
      </c>
      <c r="N53" s="1633"/>
      <c r="O53" s="1635" t="str">
        <f t="shared" si="1"/>
        <v/>
      </c>
      <c r="P53" s="1636" t="str">
        <f t="shared" si="2"/>
        <v/>
      </c>
      <c r="Q53" s="1636" t="str">
        <f t="shared" si="3"/>
        <v/>
      </c>
    </row>
    <row r="54" spans="1:17" x14ac:dyDescent="0.2">
      <c r="A54" s="2036"/>
      <c r="B54" s="1638">
        <v>27</v>
      </c>
      <c r="C54" s="2004" t="s">
        <v>1445</v>
      </c>
      <c r="D54" s="2041"/>
      <c r="E54" s="2042"/>
      <c r="F54" s="1638">
        <v>20</v>
      </c>
      <c r="G54" s="1638">
        <v>25</v>
      </c>
      <c r="H54" s="1639">
        <v>30</v>
      </c>
      <c r="I54" s="1649"/>
      <c r="J54" s="1631">
        <v>1845</v>
      </c>
      <c r="K54" s="1632" t="s">
        <v>2177</v>
      </c>
      <c r="L54" s="1633"/>
      <c r="M54" s="1634" t="str">
        <f t="shared" si="0"/>
        <v/>
      </c>
      <c r="N54" s="1633"/>
      <c r="O54" s="1635" t="str">
        <f t="shared" si="1"/>
        <v/>
      </c>
      <c r="P54" s="1636" t="str">
        <f t="shared" si="2"/>
        <v/>
      </c>
      <c r="Q54" s="1636" t="str">
        <f t="shared" si="3"/>
        <v/>
      </c>
    </row>
    <row r="55" spans="1:17" x14ac:dyDescent="0.2">
      <c r="A55" s="2036"/>
      <c r="B55" s="1638">
        <v>29</v>
      </c>
      <c r="C55" s="1644" t="s">
        <v>2180</v>
      </c>
      <c r="D55" s="1645"/>
      <c r="E55" s="1646"/>
      <c r="F55" s="1638">
        <v>35</v>
      </c>
      <c r="G55" s="1638">
        <v>40</v>
      </c>
      <c r="H55" s="1639">
        <v>55</v>
      </c>
      <c r="I55" s="1649"/>
      <c r="J55" s="1631">
        <v>1855</v>
      </c>
      <c r="K55" s="1632" t="s">
        <v>2170</v>
      </c>
      <c r="L55" s="1633">
        <v>25</v>
      </c>
      <c r="M55" s="1634">
        <f t="shared" si="0"/>
        <v>0.04</v>
      </c>
      <c r="N55" s="1633">
        <v>40</v>
      </c>
      <c r="O55" s="1635">
        <f t="shared" si="1"/>
        <v>2.5000000000000001E-2</v>
      </c>
      <c r="P55" s="1636" t="str">
        <f t="shared" si="2"/>
        <v>No</v>
      </c>
      <c r="Q55" s="1636" t="str">
        <f t="shared" si="3"/>
        <v>No</v>
      </c>
    </row>
    <row r="56" spans="1:17" x14ac:dyDescent="0.2">
      <c r="A56" s="2036"/>
      <c r="B56" s="1638">
        <v>30</v>
      </c>
      <c r="C56" s="2046" t="s">
        <v>1446</v>
      </c>
      <c r="D56" s="2047"/>
      <c r="E56" s="2047"/>
      <c r="F56" s="1652">
        <v>70</v>
      </c>
      <c r="G56" s="1638">
        <v>75</v>
      </c>
      <c r="H56" s="1639">
        <v>80</v>
      </c>
      <c r="I56" s="1649"/>
      <c r="J56" s="1641"/>
      <c r="K56" s="1642"/>
      <c r="L56" s="1643"/>
      <c r="M56" s="1634" t="str">
        <f t="shared" si="0"/>
        <v/>
      </c>
      <c r="N56" s="1643"/>
      <c r="O56" s="1635" t="str">
        <f t="shared" si="1"/>
        <v/>
      </c>
      <c r="P56" s="1636" t="str">
        <f t="shared" si="2"/>
        <v/>
      </c>
      <c r="Q56" s="1636" t="str">
        <f t="shared" si="3"/>
        <v/>
      </c>
    </row>
    <row r="57" spans="1:17" x14ac:dyDescent="0.2">
      <c r="A57" s="2036"/>
      <c r="B57" s="1638">
        <v>31</v>
      </c>
      <c r="C57" s="2046" t="s">
        <v>1447</v>
      </c>
      <c r="D57" s="2047"/>
      <c r="E57" s="2047"/>
      <c r="F57" s="1652">
        <v>25</v>
      </c>
      <c r="G57" s="1638">
        <v>35</v>
      </c>
      <c r="H57" s="1639">
        <v>40</v>
      </c>
      <c r="I57" s="1649"/>
      <c r="J57" s="1631">
        <v>1855</v>
      </c>
      <c r="K57" s="1632" t="s">
        <v>2170</v>
      </c>
      <c r="L57" s="1633">
        <v>25</v>
      </c>
      <c r="M57" s="1634">
        <f t="shared" si="0"/>
        <v>0.04</v>
      </c>
      <c r="N57" s="1633">
        <v>40</v>
      </c>
      <c r="O57" s="1635">
        <f t="shared" si="1"/>
        <v>2.5000000000000001E-2</v>
      </c>
      <c r="P57" s="1636" t="str">
        <f t="shared" si="2"/>
        <v>No</v>
      </c>
      <c r="Q57" s="1636" t="str">
        <f t="shared" si="3"/>
        <v>No</v>
      </c>
    </row>
    <row r="58" spans="1:17" x14ac:dyDescent="0.2">
      <c r="A58" s="2036"/>
      <c r="B58" s="1638">
        <v>32</v>
      </c>
      <c r="C58" s="2046" t="s">
        <v>1448</v>
      </c>
      <c r="D58" s="2047"/>
      <c r="E58" s="2047"/>
      <c r="F58" s="1652">
        <v>35</v>
      </c>
      <c r="G58" s="1638">
        <v>40</v>
      </c>
      <c r="H58" s="1639">
        <v>60</v>
      </c>
      <c r="I58" s="1649"/>
      <c r="J58" s="1631">
        <v>1855</v>
      </c>
      <c r="K58" s="1632" t="s">
        <v>2170</v>
      </c>
      <c r="L58" s="1633">
        <v>25</v>
      </c>
      <c r="M58" s="1634">
        <f t="shared" si="0"/>
        <v>0.04</v>
      </c>
      <c r="N58" s="1633">
        <v>40</v>
      </c>
      <c r="O58" s="1635">
        <f t="shared" si="1"/>
        <v>2.5000000000000001E-2</v>
      </c>
      <c r="P58" s="1636" t="str">
        <f t="shared" si="2"/>
        <v>No</v>
      </c>
      <c r="Q58" s="1636" t="str">
        <f t="shared" si="3"/>
        <v>No</v>
      </c>
    </row>
    <row r="59" spans="1:17" x14ac:dyDescent="0.2">
      <c r="A59" s="2036"/>
      <c r="B59" s="2008">
        <v>33</v>
      </c>
      <c r="C59" s="2046" t="s">
        <v>1449</v>
      </c>
      <c r="D59" s="2030" t="s">
        <v>1403</v>
      </c>
      <c r="E59" s="2031"/>
      <c r="F59" s="1652">
        <v>20</v>
      </c>
      <c r="G59" s="1638">
        <v>35</v>
      </c>
      <c r="H59" s="1639">
        <v>50</v>
      </c>
      <c r="I59" s="1649"/>
      <c r="J59" s="1631">
        <v>1850</v>
      </c>
      <c r="K59" s="1632" t="s">
        <v>2167</v>
      </c>
      <c r="L59" s="1633">
        <v>25</v>
      </c>
      <c r="M59" s="1634">
        <f t="shared" si="0"/>
        <v>0.04</v>
      </c>
      <c r="N59" s="1633">
        <v>40</v>
      </c>
      <c r="O59" s="1635">
        <f t="shared" si="1"/>
        <v>2.5000000000000001E-2</v>
      </c>
      <c r="P59" s="1636" t="str">
        <f t="shared" si="2"/>
        <v>No</v>
      </c>
      <c r="Q59" s="1636" t="str">
        <f t="shared" si="3"/>
        <v>No</v>
      </c>
    </row>
    <row r="60" spans="1:17" x14ac:dyDescent="0.2">
      <c r="A60" s="2036"/>
      <c r="B60" s="2009"/>
      <c r="C60" s="2046"/>
      <c r="D60" s="2030" t="s">
        <v>1450</v>
      </c>
      <c r="E60" s="2031"/>
      <c r="F60" s="1652">
        <v>20</v>
      </c>
      <c r="G60" s="1638">
        <v>35</v>
      </c>
      <c r="H60" s="1639">
        <v>40</v>
      </c>
      <c r="I60" s="1649"/>
      <c r="J60" s="1641"/>
      <c r="K60" s="1642"/>
      <c r="L60" s="1643"/>
      <c r="M60" s="1634" t="str">
        <f t="shared" si="0"/>
        <v/>
      </c>
      <c r="N60" s="1643"/>
      <c r="O60" s="1635" t="str">
        <f t="shared" si="1"/>
        <v/>
      </c>
      <c r="P60" s="1636" t="str">
        <f t="shared" si="2"/>
        <v/>
      </c>
      <c r="Q60" s="1636" t="str">
        <f t="shared" si="3"/>
        <v/>
      </c>
    </row>
    <row r="61" spans="1:17" x14ac:dyDescent="0.2">
      <c r="A61" s="2036"/>
      <c r="B61" s="1638">
        <v>34</v>
      </c>
      <c r="C61" s="2004" t="s">
        <v>1451</v>
      </c>
      <c r="D61" s="2005"/>
      <c r="E61" s="2006"/>
      <c r="F61" s="1652">
        <v>25</v>
      </c>
      <c r="G61" s="1638">
        <v>40</v>
      </c>
      <c r="H61" s="1639">
        <v>45</v>
      </c>
      <c r="I61" s="1649"/>
      <c r="J61" s="1631">
        <v>1850</v>
      </c>
      <c r="K61" s="1632" t="s">
        <v>2167</v>
      </c>
      <c r="L61" s="1633">
        <v>25</v>
      </c>
      <c r="M61" s="1634">
        <f t="shared" si="0"/>
        <v>0.04</v>
      </c>
      <c r="N61" s="1633">
        <v>40</v>
      </c>
      <c r="O61" s="1635">
        <f t="shared" si="1"/>
        <v>2.5000000000000001E-2</v>
      </c>
      <c r="P61" s="1636" t="str">
        <f t="shared" si="2"/>
        <v>No</v>
      </c>
      <c r="Q61" s="1636" t="str">
        <f t="shared" si="3"/>
        <v>No</v>
      </c>
    </row>
    <row r="62" spans="1:17" x14ac:dyDescent="0.2">
      <c r="A62" s="2036"/>
      <c r="B62" s="1638">
        <v>35</v>
      </c>
      <c r="C62" s="2004" t="s">
        <v>1452</v>
      </c>
      <c r="D62" s="2005"/>
      <c r="E62" s="2006"/>
      <c r="F62" s="1652">
        <v>25</v>
      </c>
      <c r="G62" s="1638">
        <v>35</v>
      </c>
      <c r="H62" s="1639">
        <v>45</v>
      </c>
      <c r="I62" s="1649"/>
      <c r="J62" s="1631">
        <v>1850</v>
      </c>
      <c r="K62" s="1632" t="s">
        <v>2167</v>
      </c>
      <c r="L62" s="1633">
        <v>25</v>
      </c>
      <c r="M62" s="1634">
        <f t="shared" si="0"/>
        <v>0.04</v>
      </c>
      <c r="N62" s="1633">
        <v>40</v>
      </c>
      <c r="O62" s="1635">
        <f t="shared" si="1"/>
        <v>2.5000000000000001E-2</v>
      </c>
      <c r="P62" s="1636" t="str">
        <f t="shared" si="2"/>
        <v>No</v>
      </c>
      <c r="Q62" s="1636" t="str">
        <f t="shared" si="3"/>
        <v>No</v>
      </c>
    </row>
    <row r="63" spans="1:17" x14ac:dyDescent="0.2">
      <c r="A63" s="2036"/>
      <c r="B63" s="1638">
        <v>36</v>
      </c>
      <c r="C63" s="2004" t="s">
        <v>1453</v>
      </c>
      <c r="D63" s="2005"/>
      <c r="E63" s="2006"/>
      <c r="F63" s="1652">
        <v>35</v>
      </c>
      <c r="G63" s="1638">
        <v>55</v>
      </c>
      <c r="H63" s="1639">
        <v>70</v>
      </c>
      <c r="I63" s="1649"/>
      <c r="J63" s="1631">
        <v>1840</v>
      </c>
      <c r="K63" s="1632" t="s">
        <v>2171</v>
      </c>
      <c r="L63" s="1633">
        <v>25</v>
      </c>
      <c r="M63" s="1634">
        <f t="shared" si="0"/>
        <v>0.04</v>
      </c>
      <c r="N63" s="1633">
        <v>45</v>
      </c>
      <c r="O63" s="1635">
        <f t="shared" si="1"/>
        <v>2.2222222222222223E-2</v>
      </c>
      <c r="P63" s="1636" t="str">
        <f t="shared" si="2"/>
        <v>No</v>
      </c>
      <c r="Q63" s="1636" t="str">
        <f t="shared" si="3"/>
        <v>No</v>
      </c>
    </row>
    <row r="64" spans="1:17" x14ac:dyDescent="0.2">
      <c r="A64" s="2036"/>
      <c r="B64" s="2008">
        <v>37</v>
      </c>
      <c r="C64" s="2010" t="s">
        <v>1454</v>
      </c>
      <c r="D64" s="2030" t="s">
        <v>1403</v>
      </c>
      <c r="E64" s="2031"/>
      <c r="F64" s="1652">
        <v>40</v>
      </c>
      <c r="G64" s="1638">
        <v>60</v>
      </c>
      <c r="H64" s="1639">
        <v>80</v>
      </c>
      <c r="I64" s="1649"/>
      <c r="J64" s="1631">
        <v>1840</v>
      </c>
      <c r="K64" s="1632" t="s">
        <v>2171</v>
      </c>
      <c r="L64" s="1633">
        <v>25</v>
      </c>
      <c r="M64" s="1634">
        <f t="shared" si="0"/>
        <v>0.04</v>
      </c>
      <c r="N64" s="1633">
        <v>45</v>
      </c>
      <c r="O64" s="1635">
        <f t="shared" si="1"/>
        <v>2.2222222222222223E-2</v>
      </c>
      <c r="P64" s="1636" t="str">
        <f t="shared" si="2"/>
        <v>No</v>
      </c>
      <c r="Q64" s="1636" t="str">
        <f t="shared" si="3"/>
        <v>No</v>
      </c>
    </row>
    <row r="65" spans="1:17" x14ac:dyDescent="0.2">
      <c r="A65" s="2036"/>
      <c r="B65" s="2009"/>
      <c r="C65" s="2011"/>
      <c r="D65" s="2030" t="s">
        <v>1455</v>
      </c>
      <c r="E65" s="2031"/>
      <c r="F65" s="1652">
        <v>20</v>
      </c>
      <c r="G65" s="1638">
        <v>30</v>
      </c>
      <c r="H65" s="1639">
        <v>45</v>
      </c>
      <c r="I65" s="1649"/>
      <c r="J65" s="1641"/>
      <c r="K65" s="1642"/>
      <c r="L65" s="1643"/>
      <c r="M65" s="1634" t="str">
        <f t="shared" si="0"/>
        <v/>
      </c>
      <c r="N65" s="1643"/>
      <c r="O65" s="1635" t="str">
        <f t="shared" si="1"/>
        <v/>
      </c>
      <c r="P65" s="1636" t="str">
        <f t="shared" si="2"/>
        <v/>
      </c>
      <c r="Q65" s="1636" t="str">
        <f t="shared" si="3"/>
        <v/>
      </c>
    </row>
    <row r="66" spans="1:17" x14ac:dyDescent="0.2">
      <c r="A66" s="2036"/>
      <c r="B66" s="1638">
        <v>38</v>
      </c>
      <c r="C66" s="2004" t="s">
        <v>1461</v>
      </c>
      <c r="D66" s="2005"/>
      <c r="E66" s="2006"/>
      <c r="F66" s="1652">
        <v>20</v>
      </c>
      <c r="G66" s="1638">
        <v>35</v>
      </c>
      <c r="H66" s="1639">
        <v>50</v>
      </c>
      <c r="I66" s="1649"/>
      <c r="J66" s="1641">
        <v>1845</v>
      </c>
      <c r="K66" s="1632" t="s">
        <v>2170</v>
      </c>
      <c r="L66" s="1633">
        <v>25</v>
      </c>
      <c r="M66" s="1634">
        <f t="shared" ref="M66" si="16">IF(ISERROR(1/L66), "", 1/L66)</f>
        <v>0.04</v>
      </c>
      <c r="N66" s="1633">
        <v>40</v>
      </c>
      <c r="O66" s="1635">
        <f t="shared" ref="O66" si="17">IF(ISERROR(1/N66), "", 1/N66)</f>
        <v>2.5000000000000001E-2</v>
      </c>
      <c r="P66" s="1636" t="str">
        <f t="shared" ref="P66" si="18">IF(ISBLANK(N66),"",IF(N66&lt;F66,"Yes","No"))</f>
        <v>No</v>
      </c>
      <c r="Q66" s="1636" t="str">
        <f t="shared" ref="Q66" si="19">IF(ISBLANK(N66),"",IF(N66&gt;H66,"Yes","No"))</f>
        <v>No</v>
      </c>
    </row>
    <row r="67" spans="1:17" x14ac:dyDescent="0.2">
      <c r="A67" s="2036"/>
      <c r="B67" s="1638">
        <v>39</v>
      </c>
      <c r="C67" s="2046" t="s">
        <v>1456</v>
      </c>
      <c r="D67" s="2047"/>
      <c r="E67" s="2047"/>
      <c r="F67" s="1652">
        <v>20</v>
      </c>
      <c r="G67" s="1638">
        <v>30</v>
      </c>
      <c r="H67" s="1639">
        <v>45</v>
      </c>
      <c r="I67" s="1649"/>
      <c r="J67" s="1631">
        <v>1845</v>
      </c>
      <c r="K67" s="1632" t="s">
        <v>2172</v>
      </c>
      <c r="L67" s="1633">
        <v>25</v>
      </c>
      <c r="M67" s="1634">
        <f t="shared" si="0"/>
        <v>0.04</v>
      </c>
      <c r="N67" s="1633">
        <v>40</v>
      </c>
      <c r="O67" s="1635">
        <f t="shared" si="1"/>
        <v>2.5000000000000001E-2</v>
      </c>
      <c r="P67" s="1636" t="str">
        <f t="shared" si="2"/>
        <v>No</v>
      </c>
      <c r="Q67" s="1636" t="str">
        <f t="shared" si="3"/>
        <v>No</v>
      </c>
    </row>
    <row r="68" spans="1:17" x14ac:dyDescent="0.2">
      <c r="A68" s="2036"/>
      <c r="B68" s="1638">
        <v>40</v>
      </c>
      <c r="C68" s="2046" t="s">
        <v>1457</v>
      </c>
      <c r="D68" s="2047"/>
      <c r="E68" s="2047"/>
      <c r="F68" s="1652">
        <v>30</v>
      </c>
      <c r="G68" s="1638">
        <v>50</v>
      </c>
      <c r="H68" s="1639">
        <v>85</v>
      </c>
      <c r="I68" s="1649"/>
      <c r="J68" s="1631">
        <v>1840</v>
      </c>
      <c r="K68" s="1632" t="s">
        <v>2171</v>
      </c>
      <c r="L68" s="1633">
        <v>25</v>
      </c>
      <c r="M68" s="1634">
        <f t="shared" si="0"/>
        <v>0.04</v>
      </c>
      <c r="N68" s="1633">
        <v>40</v>
      </c>
      <c r="O68" s="1635">
        <f t="shared" si="1"/>
        <v>2.5000000000000001E-2</v>
      </c>
      <c r="P68" s="1636" t="str">
        <f t="shared" si="2"/>
        <v>No</v>
      </c>
      <c r="Q68" s="1636" t="str">
        <f t="shared" si="3"/>
        <v>No</v>
      </c>
    </row>
    <row r="69" spans="1:17" x14ac:dyDescent="0.2">
      <c r="A69" s="2036"/>
      <c r="B69" s="1638">
        <v>41</v>
      </c>
      <c r="C69" s="2046" t="s">
        <v>1458</v>
      </c>
      <c r="D69" s="2047"/>
      <c r="E69" s="2047"/>
      <c r="F69" s="1652">
        <v>35</v>
      </c>
      <c r="G69" s="1638">
        <v>55</v>
      </c>
      <c r="H69" s="1639">
        <v>80</v>
      </c>
      <c r="I69" s="1649"/>
      <c r="J69" s="1631">
        <v>1840</v>
      </c>
      <c r="K69" s="1632" t="s">
        <v>2171</v>
      </c>
      <c r="L69" s="1633">
        <v>25</v>
      </c>
      <c r="M69" s="1634">
        <f t="shared" si="0"/>
        <v>0.04</v>
      </c>
      <c r="N69" s="1633">
        <v>40</v>
      </c>
      <c r="O69" s="1635">
        <f t="shared" si="1"/>
        <v>2.5000000000000001E-2</v>
      </c>
      <c r="P69" s="1636" t="str">
        <f t="shared" si="2"/>
        <v>No</v>
      </c>
      <c r="Q69" s="1636" t="str">
        <f t="shared" si="3"/>
        <v>No</v>
      </c>
    </row>
    <row r="70" spans="1:17" ht="13.5" thickBot="1" x14ac:dyDescent="0.25">
      <c r="A70" s="2037"/>
      <c r="B70" s="1650">
        <v>42</v>
      </c>
      <c r="C70" s="2048" t="s">
        <v>1459</v>
      </c>
      <c r="D70" s="2049"/>
      <c r="E70" s="2049"/>
      <c r="F70" s="1653">
        <v>50</v>
      </c>
      <c r="G70" s="1650">
        <v>60</v>
      </c>
      <c r="H70" s="1651">
        <v>80</v>
      </c>
      <c r="I70" s="1649"/>
      <c r="J70" s="1631">
        <v>1840</v>
      </c>
      <c r="K70" s="1632" t="s">
        <v>2177</v>
      </c>
      <c r="L70" s="1633"/>
      <c r="M70" s="1634" t="str">
        <f t="shared" si="0"/>
        <v/>
      </c>
      <c r="N70" s="1633"/>
      <c r="O70" s="1635" t="str">
        <f t="shared" si="1"/>
        <v/>
      </c>
      <c r="P70" s="1636" t="str">
        <f t="shared" si="2"/>
        <v/>
      </c>
      <c r="Q70" s="1636" t="str">
        <f t="shared" si="3"/>
        <v/>
      </c>
    </row>
    <row r="71" spans="1:17" ht="13.5" thickBot="1" x14ac:dyDescent="0.25">
      <c r="A71" s="1654" t="s">
        <v>1464</v>
      </c>
      <c r="B71" s="1655">
        <v>43</v>
      </c>
      <c r="C71" s="2028" t="s">
        <v>1460</v>
      </c>
      <c r="D71" s="2029"/>
      <c r="E71" s="2029"/>
      <c r="F71" s="1656">
        <v>15</v>
      </c>
      <c r="G71" s="1655">
        <v>20</v>
      </c>
      <c r="H71" s="1657">
        <v>30</v>
      </c>
      <c r="I71" s="1649"/>
      <c r="J71" s="1631">
        <v>1980</v>
      </c>
      <c r="K71" s="1632" t="s">
        <v>2154</v>
      </c>
      <c r="L71" s="1633">
        <v>15</v>
      </c>
      <c r="M71" s="1634">
        <f t="shared" si="0"/>
        <v>6.6666666666666666E-2</v>
      </c>
      <c r="N71" s="1633">
        <v>15</v>
      </c>
      <c r="O71" s="1635">
        <f t="shared" si="1"/>
        <v>6.6666666666666666E-2</v>
      </c>
      <c r="P71" s="1636" t="str">
        <f t="shared" si="2"/>
        <v>No</v>
      </c>
      <c r="Q71" s="1636" t="str">
        <f t="shared" si="3"/>
        <v>No</v>
      </c>
    </row>
    <row r="72" spans="1:17" x14ac:dyDescent="0.2">
      <c r="I72" s="1649"/>
    </row>
    <row r="73" spans="1:17" x14ac:dyDescent="0.2">
      <c r="I73" s="1649"/>
    </row>
    <row r="74" spans="1:17" ht="18" x14ac:dyDescent="0.2">
      <c r="A74" s="2021" t="s">
        <v>1495</v>
      </c>
      <c r="B74" s="2021"/>
      <c r="C74" s="2021"/>
      <c r="D74" s="2021"/>
      <c r="E74" s="2021"/>
      <c r="F74" s="2021"/>
      <c r="G74" s="2021"/>
      <c r="H74" s="2021"/>
      <c r="I74" s="1649"/>
    </row>
    <row r="75" spans="1:17" x14ac:dyDescent="0.2">
      <c r="I75" s="1649"/>
    </row>
    <row r="76" spans="1:17" ht="30.75" customHeight="1" x14ac:dyDescent="0.2">
      <c r="B76" s="1618"/>
      <c r="C76" s="2018" t="s">
        <v>1432</v>
      </c>
      <c r="D76" s="2018"/>
      <c r="E76" s="2018"/>
      <c r="F76" s="2022" t="s">
        <v>1467</v>
      </c>
      <c r="G76" s="2023"/>
      <c r="H76" s="2024"/>
      <c r="I76" s="1649"/>
      <c r="J76" s="2019" t="s">
        <v>1434</v>
      </c>
      <c r="K76" s="2019" t="s">
        <v>1435</v>
      </c>
      <c r="L76" s="2017" t="s">
        <v>634</v>
      </c>
      <c r="M76" s="2017"/>
      <c r="N76" s="2015" t="s">
        <v>16</v>
      </c>
      <c r="O76" s="2016"/>
      <c r="P76" s="2017" t="s">
        <v>1521</v>
      </c>
      <c r="Q76" s="2017"/>
    </row>
    <row r="77" spans="1:17" ht="30" x14ac:dyDescent="0.2">
      <c r="B77" s="1658" t="s">
        <v>1410</v>
      </c>
      <c r="C77" s="2018" t="s">
        <v>1411</v>
      </c>
      <c r="D77" s="2018"/>
      <c r="E77" s="2018"/>
      <c r="F77" s="2025"/>
      <c r="G77" s="2026"/>
      <c r="H77" s="2027"/>
      <c r="I77" s="1649"/>
      <c r="J77" s="2020"/>
      <c r="K77" s="2020"/>
      <c r="L77" s="1624" t="s">
        <v>7</v>
      </c>
      <c r="M77" s="1624" t="s">
        <v>19</v>
      </c>
      <c r="N77" s="1625" t="s">
        <v>7</v>
      </c>
      <c r="O77" s="1659" t="s">
        <v>19</v>
      </c>
      <c r="P77" s="1627" t="s">
        <v>1524</v>
      </c>
      <c r="Q77" s="1627" t="s">
        <v>1525</v>
      </c>
    </row>
    <row r="78" spans="1:17" x14ac:dyDescent="0.2">
      <c r="B78" s="1638">
        <v>1</v>
      </c>
      <c r="C78" s="2004" t="s">
        <v>1466</v>
      </c>
      <c r="D78" s="2005"/>
      <c r="E78" s="2006"/>
      <c r="F78" s="1660">
        <v>5</v>
      </c>
      <c r="G78" s="2003">
        <v>15</v>
      </c>
      <c r="H78" s="2003"/>
      <c r="I78" s="1649"/>
      <c r="J78" s="1631">
        <v>1915</v>
      </c>
      <c r="K78" s="1632" t="s">
        <v>1466</v>
      </c>
      <c r="L78" s="1633">
        <v>10</v>
      </c>
      <c r="M78" s="1634">
        <f>IF(ISERROR(1/L78), "", 1/L78)</f>
        <v>0.1</v>
      </c>
      <c r="N78" s="1633">
        <v>10</v>
      </c>
      <c r="O78" s="1634">
        <f>IF(ISERROR(1/N78), "", 1/N78)</f>
        <v>0.1</v>
      </c>
      <c r="P78" s="1636" t="str">
        <f>IF(ISBLANK(N78),"",IF(N78&lt;F78,"Yes","No"))</f>
        <v>No</v>
      </c>
      <c r="Q78" s="1636" t="str">
        <f>IF(ISBLANK(N78),"",IF(N78&gt;G78,"Yes","No"))</f>
        <v>No</v>
      </c>
    </row>
    <row r="79" spans="1:17" x14ac:dyDescent="0.2">
      <c r="B79" s="2008">
        <v>2</v>
      </c>
      <c r="C79" s="2010" t="s">
        <v>1468</v>
      </c>
      <c r="D79" s="2004" t="s">
        <v>1469</v>
      </c>
      <c r="E79" s="2006"/>
      <c r="F79" s="1660">
        <v>5</v>
      </c>
      <c r="G79" s="2003">
        <v>15</v>
      </c>
      <c r="H79" s="2003"/>
      <c r="I79" s="1649"/>
      <c r="J79" s="1631">
        <v>1930</v>
      </c>
      <c r="K79" s="1632" t="s">
        <v>2173</v>
      </c>
      <c r="L79" s="1633">
        <v>8</v>
      </c>
      <c r="M79" s="1634">
        <f t="shared" ref="M79:M100" si="20">IF(ISERROR(1/L79), "", 1/L79)</f>
        <v>0.125</v>
      </c>
      <c r="N79" s="1633">
        <v>12</v>
      </c>
      <c r="O79" s="1634">
        <f t="shared" ref="O79:O103" si="21">IF(ISERROR(1/N79), "", 1/N79)</f>
        <v>8.3333333333333329E-2</v>
      </c>
      <c r="P79" s="1636" t="str">
        <f t="shared" ref="P79:P103" si="22">IF(ISBLANK(N79),"",IF(N79&lt;F79,"Yes","No"))</f>
        <v>No</v>
      </c>
      <c r="Q79" s="1636" t="str">
        <f t="shared" ref="Q79:Q103" si="23">IF(ISBLANK(N79),"",IF(N79&gt;G79,"Yes","No"))</f>
        <v>No</v>
      </c>
    </row>
    <row r="80" spans="1:17" x14ac:dyDescent="0.2">
      <c r="B80" s="2012"/>
      <c r="C80" s="2013"/>
      <c r="D80" s="2004" t="s">
        <v>1470</v>
      </c>
      <c r="E80" s="2006"/>
      <c r="F80" s="1660">
        <v>5</v>
      </c>
      <c r="G80" s="2003">
        <v>20</v>
      </c>
      <c r="H80" s="2003"/>
      <c r="I80" s="1649"/>
      <c r="J80" s="1631">
        <v>1930</v>
      </c>
      <c r="K80" s="1632" t="s">
        <v>2174</v>
      </c>
      <c r="L80" s="1633">
        <v>5</v>
      </c>
      <c r="M80" s="1634">
        <f t="shared" si="20"/>
        <v>0.2</v>
      </c>
      <c r="N80" s="1633">
        <v>8</v>
      </c>
      <c r="O80" s="1634">
        <f t="shared" si="21"/>
        <v>0.125</v>
      </c>
      <c r="P80" s="1636" t="str">
        <f t="shared" si="22"/>
        <v>No</v>
      </c>
      <c r="Q80" s="1636" t="str">
        <f t="shared" si="23"/>
        <v>No</v>
      </c>
    </row>
    <row r="81" spans="2:17" x14ac:dyDescent="0.2">
      <c r="B81" s="2009"/>
      <c r="C81" s="2011"/>
      <c r="D81" s="2004" t="s">
        <v>1471</v>
      </c>
      <c r="E81" s="2006"/>
      <c r="F81" s="1660">
        <v>5</v>
      </c>
      <c r="G81" s="2003">
        <v>10</v>
      </c>
      <c r="H81" s="2003"/>
      <c r="I81" s="1649"/>
      <c r="J81" s="1631">
        <v>1930</v>
      </c>
      <c r="K81" s="1632" t="s">
        <v>2175</v>
      </c>
      <c r="L81" s="1633">
        <v>8</v>
      </c>
      <c r="M81" s="1634">
        <f t="shared" si="20"/>
        <v>0.125</v>
      </c>
      <c r="N81" s="1633">
        <v>8</v>
      </c>
      <c r="O81" s="1634">
        <f t="shared" si="21"/>
        <v>0.125</v>
      </c>
      <c r="P81" s="1636" t="str">
        <f t="shared" si="22"/>
        <v>No</v>
      </c>
      <c r="Q81" s="1636" t="str">
        <f t="shared" si="23"/>
        <v>No</v>
      </c>
    </row>
    <row r="82" spans="2:17" x14ac:dyDescent="0.2">
      <c r="B82" s="1638">
        <v>3</v>
      </c>
      <c r="C82" s="2004" t="s">
        <v>1472</v>
      </c>
      <c r="D82" s="2005"/>
      <c r="E82" s="2006"/>
      <c r="F82" s="1660">
        <v>50</v>
      </c>
      <c r="G82" s="2003">
        <v>75</v>
      </c>
      <c r="H82" s="2003"/>
      <c r="I82" s="1649"/>
      <c r="J82" s="1641">
        <v>1908</v>
      </c>
      <c r="K82" s="1642" t="s">
        <v>1472</v>
      </c>
      <c r="L82" s="1643">
        <v>50</v>
      </c>
      <c r="M82" s="1634">
        <f t="shared" si="20"/>
        <v>0.02</v>
      </c>
      <c r="N82" s="1643">
        <v>50</v>
      </c>
      <c r="O82" s="1634">
        <f t="shared" si="21"/>
        <v>0.02</v>
      </c>
      <c r="P82" s="1636" t="str">
        <f t="shared" si="22"/>
        <v>No</v>
      </c>
      <c r="Q82" s="1636" t="str">
        <f t="shared" si="23"/>
        <v>No</v>
      </c>
    </row>
    <row r="83" spans="2:17" x14ac:dyDescent="0.2">
      <c r="B83" s="1636">
        <v>4</v>
      </c>
      <c r="C83" s="2004" t="s">
        <v>392</v>
      </c>
      <c r="D83" s="2005"/>
      <c r="E83" s="2006"/>
      <c r="F83" s="2014" t="s">
        <v>1493</v>
      </c>
      <c r="G83" s="2014"/>
      <c r="H83" s="2014"/>
      <c r="I83" s="1649"/>
      <c r="J83" s="1631">
        <v>1910</v>
      </c>
      <c r="K83" s="1632" t="s">
        <v>392</v>
      </c>
      <c r="L83" s="1633">
        <v>5</v>
      </c>
      <c r="M83" s="1634">
        <f t="shared" si="20"/>
        <v>0.2</v>
      </c>
      <c r="N83" s="1633">
        <v>5</v>
      </c>
      <c r="O83" s="1634">
        <f t="shared" si="21"/>
        <v>0.2</v>
      </c>
      <c r="P83" s="1643"/>
      <c r="Q83" s="1643"/>
    </row>
    <row r="84" spans="2:17" x14ac:dyDescent="0.2">
      <c r="B84" s="2008">
        <v>5</v>
      </c>
      <c r="C84" s="2010" t="s">
        <v>1473</v>
      </c>
      <c r="D84" s="2004" t="s">
        <v>1473</v>
      </c>
      <c r="E84" s="2006"/>
      <c r="F84" s="1660">
        <v>50</v>
      </c>
      <c r="G84" s="2003">
        <v>75</v>
      </c>
      <c r="H84" s="2003"/>
      <c r="I84" s="1649"/>
      <c r="J84" s="1631"/>
      <c r="K84" s="1632" t="s">
        <v>2177</v>
      </c>
      <c r="L84" s="1633"/>
      <c r="M84" s="1634" t="str">
        <f t="shared" si="20"/>
        <v/>
      </c>
      <c r="N84" s="1633"/>
      <c r="O84" s="1634" t="str">
        <f t="shared" si="21"/>
        <v/>
      </c>
      <c r="P84" s="1643" t="str">
        <f t="shared" si="22"/>
        <v/>
      </c>
      <c r="Q84" s="1643" t="str">
        <f t="shared" si="23"/>
        <v/>
      </c>
    </row>
    <row r="85" spans="2:17" x14ac:dyDescent="0.2">
      <c r="B85" s="2012"/>
      <c r="C85" s="2013"/>
      <c r="D85" s="2004" t="s">
        <v>1474</v>
      </c>
      <c r="E85" s="2006"/>
      <c r="F85" s="1660">
        <v>25</v>
      </c>
      <c r="G85" s="2003">
        <v>30</v>
      </c>
      <c r="H85" s="2003"/>
      <c r="I85" s="1649"/>
      <c r="J85" s="1641"/>
      <c r="K85" s="1642" t="s">
        <v>2177</v>
      </c>
      <c r="L85" s="1643"/>
      <c r="M85" s="1634" t="str">
        <f t="shared" si="20"/>
        <v/>
      </c>
      <c r="N85" s="1643"/>
      <c r="O85" s="1634" t="str">
        <f t="shared" si="21"/>
        <v/>
      </c>
      <c r="P85" s="1636" t="str">
        <f t="shared" si="22"/>
        <v/>
      </c>
      <c r="Q85" s="1636" t="str">
        <f t="shared" si="23"/>
        <v/>
      </c>
    </row>
    <row r="86" spans="2:17" x14ac:dyDescent="0.2">
      <c r="B86" s="2012"/>
      <c r="C86" s="2013"/>
      <c r="D86" s="2004" t="s">
        <v>1475</v>
      </c>
      <c r="E86" s="2006"/>
      <c r="F86" s="1660">
        <v>25</v>
      </c>
      <c r="G86" s="2003">
        <v>60</v>
      </c>
      <c r="H86" s="2003"/>
      <c r="I86" s="1649"/>
      <c r="J86" s="1641"/>
      <c r="K86" s="1642" t="s">
        <v>2177</v>
      </c>
      <c r="L86" s="1643"/>
      <c r="M86" s="1634" t="str">
        <f t="shared" si="20"/>
        <v/>
      </c>
      <c r="N86" s="1643"/>
      <c r="O86" s="1634" t="str">
        <f t="shared" si="21"/>
        <v/>
      </c>
      <c r="P86" s="1636" t="str">
        <f t="shared" si="22"/>
        <v/>
      </c>
      <c r="Q86" s="1636" t="str">
        <f t="shared" si="23"/>
        <v/>
      </c>
    </row>
    <row r="87" spans="2:17" x14ac:dyDescent="0.2">
      <c r="B87" s="2009"/>
      <c r="C87" s="2011"/>
      <c r="D87" s="2004" t="s">
        <v>1455</v>
      </c>
      <c r="E87" s="2006"/>
      <c r="F87" s="1660">
        <v>20</v>
      </c>
      <c r="G87" s="2003">
        <v>30</v>
      </c>
      <c r="H87" s="2003"/>
      <c r="I87" s="1649"/>
      <c r="J87" s="1641"/>
      <c r="K87" s="1642" t="s">
        <v>2177</v>
      </c>
      <c r="L87" s="1643"/>
      <c r="M87" s="1634" t="str">
        <f t="shared" si="20"/>
        <v/>
      </c>
      <c r="N87" s="1643"/>
      <c r="O87" s="1634" t="str">
        <f t="shared" si="21"/>
        <v/>
      </c>
      <c r="P87" s="1636" t="str">
        <f t="shared" si="22"/>
        <v/>
      </c>
      <c r="Q87" s="1636" t="str">
        <f t="shared" si="23"/>
        <v/>
      </c>
    </row>
    <row r="88" spans="2:17" x14ac:dyDescent="0.2">
      <c r="B88" s="2008">
        <v>6</v>
      </c>
      <c r="C88" s="2010" t="s">
        <v>1478</v>
      </c>
      <c r="D88" s="2004" t="s">
        <v>1476</v>
      </c>
      <c r="E88" s="2006"/>
      <c r="F88" s="1660">
        <v>3</v>
      </c>
      <c r="G88" s="2003">
        <v>5</v>
      </c>
      <c r="H88" s="2003"/>
      <c r="I88" s="1649"/>
      <c r="J88" s="1631">
        <v>1920</v>
      </c>
      <c r="K88" s="1632" t="s">
        <v>2147</v>
      </c>
      <c r="L88" s="1633">
        <v>5</v>
      </c>
      <c r="M88" s="1634">
        <f t="shared" si="20"/>
        <v>0.2</v>
      </c>
      <c r="N88" s="1633">
        <v>5</v>
      </c>
      <c r="O88" s="1634">
        <f t="shared" si="21"/>
        <v>0.2</v>
      </c>
      <c r="P88" s="1636" t="str">
        <f t="shared" si="22"/>
        <v>No</v>
      </c>
      <c r="Q88" s="1636" t="str">
        <f t="shared" si="23"/>
        <v>No</v>
      </c>
    </row>
    <row r="89" spans="2:17" x14ac:dyDescent="0.2">
      <c r="B89" s="2009"/>
      <c r="C89" s="2011"/>
      <c r="D89" s="2004" t="s">
        <v>1477</v>
      </c>
      <c r="E89" s="2006"/>
      <c r="F89" s="1660">
        <v>2</v>
      </c>
      <c r="G89" s="2003">
        <v>5</v>
      </c>
      <c r="H89" s="2003"/>
      <c r="I89" s="1649"/>
      <c r="J89" s="1631">
        <v>1925</v>
      </c>
      <c r="K89" s="1632" t="s">
        <v>2146</v>
      </c>
      <c r="L89" s="1633">
        <v>3</v>
      </c>
      <c r="M89" s="1634">
        <f t="shared" si="20"/>
        <v>0.33333333333333331</v>
      </c>
      <c r="N89" s="1633">
        <v>5</v>
      </c>
      <c r="O89" s="1634">
        <f t="shared" si="21"/>
        <v>0.2</v>
      </c>
      <c r="P89" s="1636" t="str">
        <f t="shared" si="22"/>
        <v>No</v>
      </c>
      <c r="Q89" s="1636" t="str">
        <f t="shared" si="23"/>
        <v>No</v>
      </c>
    </row>
    <row r="90" spans="2:17" x14ac:dyDescent="0.2">
      <c r="B90" s="2008">
        <v>7</v>
      </c>
      <c r="C90" s="2010" t="s">
        <v>1485</v>
      </c>
      <c r="D90" s="2004" t="s">
        <v>1479</v>
      </c>
      <c r="E90" s="2006"/>
      <c r="F90" s="1660">
        <v>5</v>
      </c>
      <c r="G90" s="2003">
        <v>10</v>
      </c>
      <c r="H90" s="2003"/>
      <c r="I90" s="1649"/>
      <c r="J90" s="1641">
        <v>1940</v>
      </c>
      <c r="K90" s="1642" t="s">
        <v>1479</v>
      </c>
      <c r="L90" s="1633">
        <v>10</v>
      </c>
      <c r="M90" s="1634">
        <f t="shared" ref="M90" si="24">IF(ISERROR(1/L90), "", 1/L90)</f>
        <v>0.1</v>
      </c>
      <c r="N90" s="1633">
        <v>10</v>
      </c>
      <c r="O90" s="1634">
        <f t="shared" ref="O90" si="25">IF(ISERROR(1/N90), "", 1/N90)</f>
        <v>0.1</v>
      </c>
      <c r="P90" s="1636" t="str">
        <f t="shared" ref="P90" si="26">IF(ISBLANK(N90),"",IF(N90&lt;F90,"Yes","No"))</f>
        <v>No</v>
      </c>
      <c r="Q90" s="1636" t="str">
        <f t="shared" ref="Q90" si="27">IF(ISBLANK(N90),"",IF(N90&gt;G90,"Yes","No"))</f>
        <v>No</v>
      </c>
    </row>
    <row r="91" spans="2:17" x14ac:dyDescent="0.2">
      <c r="B91" s="2012"/>
      <c r="C91" s="2013"/>
      <c r="D91" s="2004" t="s">
        <v>1480</v>
      </c>
      <c r="E91" s="2006"/>
      <c r="F91" s="1660">
        <v>5</v>
      </c>
      <c r="G91" s="2003">
        <v>10</v>
      </c>
      <c r="H91" s="2003"/>
      <c r="I91" s="1649"/>
      <c r="J91" s="1631">
        <v>1935</v>
      </c>
      <c r="K91" s="1632" t="s">
        <v>380</v>
      </c>
      <c r="L91" s="1633">
        <v>10</v>
      </c>
      <c r="M91" s="1634">
        <f t="shared" si="20"/>
        <v>0.1</v>
      </c>
      <c r="N91" s="1633">
        <v>10</v>
      </c>
      <c r="O91" s="1634">
        <f t="shared" si="21"/>
        <v>0.1</v>
      </c>
      <c r="P91" s="1636" t="str">
        <f t="shared" si="22"/>
        <v>No</v>
      </c>
      <c r="Q91" s="1636" t="str">
        <f t="shared" si="23"/>
        <v>No</v>
      </c>
    </row>
    <row r="92" spans="2:17" x14ac:dyDescent="0.2">
      <c r="B92" s="2012"/>
      <c r="C92" s="2013"/>
      <c r="D92" s="2004" t="s">
        <v>1481</v>
      </c>
      <c r="E92" s="2006"/>
      <c r="F92" s="1660">
        <v>5</v>
      </c>
      <c r="G92" s="2003">
        <v>10</v>
      </c>
      <c r="H92" s="2003"/>
      <c r="I92" s="1649"/>
      <c r="J92" s="1631">
        <v>1940</v>
      </c>
      <c r="K92" s="1632" t="s">
        <v>2149</v>
      </c>
      <c r="L92" s="1633">
        <v>10</v>
      </c>
      <c r="M92" s="1634">
        <f t="shared" si="20"/>
        <v>0.1</v>
      </c>
      <c r="N92" s="1633">
        <v>10</v>
      </c>
      <c r="O92" s="1634">
        <f t="shared" si="21"/>
        <v>0.1</v>
      </c>
      <c r="P92" s="1636" t="str">
        <f t="shared" si="22"/>
        <v>No</v>
      </c>
      <c r="Q92" s="1636" t="str">
        <f t="shared" si="23"/>
        <v>No</v>
      </c>
    </row>
    <row r="93" spans="2:17" x14ac:dyDescent="0.2">
      <c r="B93" s="2009"/>
      <c r="C93" s="2011"/>
      <c r="D93" s="2004" t="s">
        <v>382</v>
      </c>
      <c r="E93" s="2006"/>
      <c r="F93" s="1660">
        <v>5</v>
      </c>
      <c r="G93" s="2003">
        <v>10</v>
      </c>
      <c r="H93" s="2003"/>
      <c r="I93" s="1649"/>
      <c r="J93" s="1641">
        <v>1945</v>
      </c>
      <c r="K93" s="1642" t="s">
        <v>382</v>
      </c>
      <c r="L93" s="1643">
        <v>10</v>
      </c>
      <c r="M93" s="1634">
        <f t="shared" si="20"/>
        <v>0.1</v>
      </c>
      <c r="N93" s="1643">
        <v>10</v>
      </c>
      <c r="O93" s="1634">
        <f t="shared" si="21"/>
        <v>0.1</v>
      </c>
      <c r="P93" s="1636" t="str">
        <f t="shared" si="22"/>
        <v>No</v>
      </c>
      <c r="Q93" s="1636" t="str">
        <f t="shared" si="23"/>
        <v>No</v>
      </c>
    </row>
    <row r="94" spans="2:17" x14ac:dyDescent="0.2">
      <c r="B94" s="1776"/>
      <c r="C94" s="1777"/>
      <c r="D94" s="1774" t="s">
        <v>2333</v>
      </c>
      <c r="E94" s="1775"/>
      <c r="F94" s="1660">
        <v>5</v>
      </c>
      <c r="G94" s="2003">
        <v>10</v>
      </c>
      <c r="H94" s="2003"/>
      <c r="I94" s="1649"/>
      <c r="J94" s="1641">
        <v>1990</v>
      </c>
      <c r="K94" s="1642" t="s">
        <v>2333</v>
      </c>
      <c r="L94" s="1643">
        <v>10</v>
      </c>
      <c r="M94" s="1634">
        <f t="shared" si="20"/>
        <v>0.1</v>
      </c>
      <c r="N94" s="1643">
        <v>10</v>
      </c>
      <c r="O94" s="1634">
        <f t="shared" si="21"/>
        <v>0.1</v>
      </c>
      <c r="P94" s="1636" t="str">
        <f t="shared" si="22"/>
        <v>No</v>
      </c>
      <c r="Q94" s="1636" t="str">
        <f t="shared" si="23"/>
        <v>No</v>
      </c>
    </row>
    <row r="95" spans="2:17" x14ac:dyDescent="0.2">
      <c r="B95" s="2008">
        <v>8</v>
      </c>
      <c r="C95" s="2010" t="s">
        <v>1484</v>
      </c>
      <c r="D95" s="2004" t="s">
        <v>1482</v>
      </c>
      <c r="E95" s="2006"/>
      <c r="F95" s="1660">
        <v>60</v>
      </c>
      <c r="G95" s="2003">
        <v>70</v>
      </c>
      <c r="H95" s="2003"/>
      <c r="I95" s="1649"/>
      <c r="J95" s="1631">
        <v>1955</v>
      </c>
      <c r="K95" s="1632" t="s">
        <v>2177</v>
      </c>
      <c r="L95" s="1633"/>
      <c r="M95" s="1634" t="str">
        <f t="shared" si="20"/>
        <v/>
      </c>
      <c r="N95" s="1633"/>
      <c r="O95" s="1634" t="str">
        <f t="shared" si="21"/>
        <v/>
      </c>
      <c r="P95" s="1636" t="str">
        <f t="shared" si="22"/>
        <v/>
      </c>
      <c r="Q95" s="1636" t="str">
        <f t="shared" si="23"/>
        <v/>
      </c>
    </row>
    <row r="96" spans="2:17" x14ac:dyDescent="0.2">
      <c r="B96" s="2009"/>
      <c r="C96" s="2011"/>
      <c r="D96" s="2004" t="s">
        <v>1483</v>
      </c>
      <c r="E96" s="2006"/>
      <c r="F96" s="1660">
        <v>2</v>
      </c>
      <c r="G96" s="2003">
        <v>10</v>
      </c>
      <c r="H96" s="2003"/>
      <c r="I96" s="1649"/>
      <c r="J96" s="1631">
        <v>1955</v>
      </c>
      <c r="K96" s="1632" t="s">
        <v>2148</v>
      </c>
      <c r="L96" s="1633">
        <v>10</v>
      </c>
      <c r="M96" s="1634">
        <f t="shared" ref="M96" si="28">IF(ISERROR(1/L96), "", 1/L96)</f>
        <v>0.1</v>
      </c>
      <c r="N96" s="1633">
        <v>10</v>
      </c>
      <c r="O96" s="1634">
        <f t="shared" ref="O96" si="29">IF(ISERROR(1/N96), "", 1/N96)</f>
        <v>0.1</v>
      </c>
      <c r="P96" s="1636" t="str">
        <f t="shared" ref="P96" si="30">IF(ISBLANK(N96),"",IF(N96&lt;F96,"Yes","No"))</f>
        <v>No</v>
      </c>
      <c r="Q96" s="1636" t="str">
        <f t="shared" ref="Q96" si="31">IF(ISBLANK(N96),"",IF(N96&gt;G96,"Yes","No"))</f>
        <v>No</v>
      </c>
    </row>
    <row r="97" spans="1:17" x14ac:dyDescent="0.2">
      <c r="B97" s="1636">
        <v>9</v>
      </c>
      <c r="C97" s="2004" t="s">
        <v>1486</v>
      </c>
      <c r="D97" s="2005"/>
      <c r="E97" s="2006"/>
      <c r="F97" s="1660">
        <v>25</v>
      </c>
      <c r="G97" s="2003">
        <v>35</v>
      </c>
      <c r="H97" s="2003"/>
      <c r="I97" s="1649"/>
      <c r="J97" s="1631">
        <v>1860</v>
      </c>
      <c r="K97" s="1632" t="s">
        <v>2177</v>
      </c>
      <c r="L97" s="1661"/>
      <c r="M97" s="1634">
        <v>0</v>
      </c>
      <c r="N97" s="1633"/>
      <c r="O97" s="1634" t="str">
        <f t="shared" si="21"/>
        <v/>
      </c>
      <c r="P97" s="1636" t="str">
        <f t="shared" si="22"/>
        <v/>
      </c>
      <c r="Q97" s="1636" t="str">
        <f t="shared" si="23"/>
        <v/>
      </c>
    </row>
    <row r="98" spans="1:17" x14ac:dyDescent="0.2">
      <c r="B98" s="1636">
        <v>10</v>
      </c>
      <c r="C98" s="2004" t="s">
        <v>1487</v>
      </c>
      <c r="D98" s="2005"/>
      <c r="E98" s="2006"/>
      <c r="F98" s="1660">
        <v>25</v>
      </c>
      <c r="G98" s="2003">
        <v>35</v>
      </c>
      <c r="H98" s="2003"/>
      <c r="I98" s="1649"/>
      <c r="J98" s="1631">
        <v>1860</v>
      </c>
      <c r="K98" s="1632" t="s">
        <v>2177</v>
      </c>
      <c r="L98" s="1661"/>
      <c r="M98" s="1634">
        <v>0</v>
      </c>
      <c r="N98" s="1633"/>
      <c r="O98" s="1634" t="str">
        <f t="shared" si="21"/>
        <v/>
      </c>
      <c r="P98" s="1636" t="str">
        <f t="shared" si="22"/>
        <v/>
      </c>
      <c r="Q98" s="1636" t="str">
        <f t="shared" si="23"/>
        <v/>
      </c>
    </row>
    <row r="99" spans="1:17" x14ac:dyDescent="0.2">
      <c r="B99" s="1636">
        <v>11</v>
      </c>
      <c r="C99" s="2004" t="s">
        <v>1488</v>
      </c>
      <c r="D99" s="2005"/>
      <c r="E99" s="2006"/>
      <c r="F99" s="1660">
        <v>15</v>
      </c>
      <c r="G99" s="2003">
        <v>30</v>
      </c>
      <c r="H99" s="2003"/>
      <c r="I99" s="1649"/>
      <c r="J99" s="1641"/>
      <c r="K99" s="1642"/>
      <c r="L99" s="1643"/>
      <c r="M99" s="1634" t="str">
        <f t="shared" si="20"/>
        <v/>
      </c>
      <c r="N99" s="1643"/>
      <c r="O99" s="1634" t="str">
        <f t="shared" si="21"/>
        <v/>
      </c>
      <c r="P99" s="1636" t="str">
        <f t="shared" si="22"/>
        <v/>
      </c>
      <c r="Q99" s="1636" t="str">
        <f t="shared" si="23"/>
        <v/>
      </c>
    </row>
    <row r="100" spans="1:17" x14ac:dyDescent="0.2">
      <c r="B100" s="1636">
        <v>12</v>
      </c>
      <c r="C100" s="2004" t="s">
        <v>1489</v>
      </c>
      <c r="D100" s="2005"/>
      <c r="E100" s="2006"/>
      <c r="F100" s="1660">
        <v>35</v>
      </c>
      <c r="G100" s="2003">
        <v>50</v>
      </c>
      <c r="H100" s="2003"/>
      <c r="I100" s="1649"/>
      <c r="J100" s="1641"/>
      <c r="K100" s="1642"/>
      <c r="L100" s="1643"/>
      <c r="M100" s="1634" t="str">
        <f t="shared" si="20"/>
        <v/>
      </c>
      <c r="N100" s="1643"/>
      <c r="O100" s="1634" t="str">
        <f t="shared" si="21"/>
        <v/>
      </c>
      <c r="P100" s="1636" t="str">
        <f t="shared" si="22"/>
        <v/>
      </c>
      <c r="Q100" s="1636" t="str">
        <f t="shared" si="23"/>
        <v/>
      </c>
    </row>
    <row r="101" spans="1:17" x14ac:dyDescent="0.2">
      <c r="B101" s="1636">
        <v>13</v>
      </c>
      <c r="C101" s="2004" t="s">
        <v>1490</v>
      </c>
      <c r="D101" s="2005"/>
      <c r="E101" s="2006"/>
      <c r="F101" s="1660">
        <v>5</v>
      </c>
      <c r="G101" s="2003">
        <v>15</v>
      </c>
      <c r="H101" s="2003"/>
      <c r="I101" s="1649"/>
      <c r="J101" s="1631">
        <v>1860</v>
      </c>
      <c r="K101" s="1632" t="s">
        <v>364</v>
      </c>
      <c r="L101" s="1661" t="s">
        <v>2176</v>
      </c>
      <c r="M101" s="1634">
        <v>0</v>
      </c>
      <c r="N101" s="1633">
        <v>15</v>
      </c>
      <c r="O101" s="1634">
        <f t="shared" si="21"/>
        <v>6.6666666666666666E-2</v>
      </c>
      <c r="P101" s="1636" t="str">
        <f t="shared" si="22"/>
        <v>No</v>
      </c>
      <c r="Q101" s="1636" t="str">
        <f t="shared" si="23"/>
        <v>No</v>
      </c>
    </row>
    <row r="102" spans="1:17" x14ac:dyDescent="0.2">
      <c r="B102" s="1636">
        <v>14</v>
      </c>
      <c r="C102" s="2004" t="s">
        <v>1491</v>
      </c>
      <c r="D102" s="2005"/>
      <c r="E102" s="2006"/>
      <c r="F102" s="1660">
        <v>10</v>
      </c>
      <c r="G102" s="2003">
        <v>15</v>
      </c>
      <c r="H102" s="2003"/>
      <c r="I102" s="1649"/>
      <c r="J102" s="1631">
        <v>1860</v>
      </c>
      <c r="K102" s="1632" t="s">
        <v>364</v>
      </c>
      <c r="L102" s="1661" t="s">
        <v>2176</v>
      </c>
      <c r="M102" s="1634">
        <v>0</v>
      </c>
      <c r="N102" s="1633">
        <v>15</v>
      </c>
      <c r="O102" s="1634">
        <f t="shared" si="21"/>
        <v>6.6666666666666666E-2</v>
      </c>
      <c r="P102" s="1636" t="str">
        <f t="shared" si="22"/>
        <v>No</v>
      </c>
      <c r="Q102" s="1636" t="str">
        <f t="shared" si="23"/>
        <v>No</v>
      </c>
    </row>
    <row r="103" spans="1:17" x14ac:dyDescent="0.2">
      <c r="B103" s="1636">
        <v>15</v>
      </c>
      <c r="C103" s="2004" t="s">
        <v>1492</v>
      </c>
      <c r="D103" s="2005"/>
      <c r="E103" s="2006"/>
      <c r="F103" s="1660">
        <v>15</v>
      </c>
      <c r="G103" s="2003">
        <v>20</v>
      </c>
      <c r="H103" s="2003"/>
      <c r="I103" s="1649"/>
      <c r="J103" s="1631">
        <v>1860</v>
      </c>
      <c r="K103" s="1632" t="s">
        <v>364</v>
      </c>
      <c r="L103" s="1661" t="s">
        <v>2176</v>
      </c>
      <c r="M103" s="1634">
        <v>0</v>
      </c>
      <c r="N103" s="1633">
        <v>15</v>
      </c>
      <c r="O103" s="1634">
        <f t="shared" si="21"/>
        <v>6.6666666666666666E-2</v>
      </c>
      <c r="P103" s="1636" t="str">
        <f t="shared" si="22"/>
        <v>No</v>
      </c>
      <c r="Q103" s="1636" t="str">
        <f t="shared" si="23"/>
        <v>No</v>
      </c>
    </row>
    <row r="106" spans="1:17" x14ac:dyDescent="0.2">
      <c r="A106" s="2007" t="s">
        <v>1465</v>
      </c>
      <c r="B106" s="2007"/>
      <c r="C106" s="2007"/>
      <c r="D106" s="2007"/>
      <c r="E106" s="2007"/>
      <c r="F106" s="2007"/>
      <c r="G106" s="2007"/>
      <c r="H106" s="2007"/>
    </row>
    <row r="107" spans="1:17" x14ac:dyDescent="0.2">
      <c r="A107" s="1662"/>
      <c r="B107" s="1662"/>
      <c r="C107" s="1662"/>
      <c r="D107" s="1662"/>
      <c r="E107" s="1662"/>
      <c r="F107" s="1662"/>
      <c r="G107" s="1662"/>
      <c r="H107" s="1662"/>
    </row>
    <row r="108" spans="1:17" x14ac:dyDescent="0.2">
      <c r="A108" s="1609" t="s">
        <v>1436</v>
      </c>
      <c r="B108" s="1663" t="s">
        <v>1497</v>
      </c>
    </row>
    <row r="109" spans="1:17" x14ac:dyDescent="0.2">
      <c r="B109" s="28" t="s">
        <v>1496</v>
      </c>
    </row>
    <row r="112" spans="1:17" x14ac:dyDescent="0.2">
      <c r="A112" s="28"/>
    </row>
  </sheetData>
  <mergeCells count="151">
    <mergeCell ref="L15:M15"/>
    <mergeCell ref="N15:O15"/>
    <mergeCell ref="C32:E32"/>
    <mergeCell ref="C33:E33"/>
    <mergeCell ref="C15:E15"/>
    <mergeCell ref="F15:H15"/>
    <mergeCell ref="J15:J16"/>
    <mergeCell ref="K15:K16"/>
    <mergeCell ref="A9:Q9"/>
    <mergeCell ref="A10:Q10"/>
    <mergeCell ref="A11:Q11"/>
    <mergeCell ref="P15:Q15"/>
    <mergeCell ref="C16:E16"/>
    <mergeCell ref="D36:E36"/>
    <mergeCell ref="C37:E37"/>
    <mergeCell ref="C38:E38"/>
    <mergeCell ref="A17:A33"/>
    <mergeCell ref="B17:B19"/>
    <mergeCell ref="C17:C19"/>
    <mergeCell ref="D17:E17"/>
    <mergeCell ref="D18:D19"/>
    <mergeCell ref="C26:E26"/>
    <mergeCell ref="C27:E27"/>
    <mergeCell ref="C28:E28"/>
    <mergeCell ref="C29:E29"/>
    <mergeCell ref="C30:E30"/>
    <mergeCell ref="C31:E31"/>
    <mergeCell ref="B20:B22"/>
    <mergeCell ref="C20:C22"/>
    <mergeCell ref="D20:E20"/>
    <mergeCell ref="D21:D22"/>
    <mergeCell ref="B23:B25"/>
    <mergeCell ref="C23:C25"/>
    <mergeCell ref="D23:E23"/>
    <mergeCell ref="D24:D25"/>
    <mergeCell ref="C49:E49"/>
    <mergeCell ref="C58:E58"/>
    <mergeCell ref="B59:B60"/>
    <mergeCell ref="C59:C60"/>
    <mergeCell ref="D59:E59"/>
    <mergeCell ref="D60:E60"/>
    <mergeCell ref="B39:B41"/>
    <mergeCell ref="C39:C41"/>
    <mergeCell ref="D39:E39"/>
    <mergeCell ref="D40:E40"/>
    <mergeCell ref="D41:E41"/>
    <mergeCell ref="B42:B43"/>
    <mergeCell ref="D42:E42"/>
    <mergeCell ref="D43:E43"/>
    <mergeCell ref="C61:E61"/>
    <mergeCell ref="C50:E50"/>
    <mergeCell ref="A51:A70"/>
    <mergeCell ref="C51:E51"/>
    <mergeCell ref="C52:E52"/>
    <mergeCell ref="C53:E53"/>
    <mergeCell ref="C54:E54"/>
    <mergeCell ref="C56:E56"/>
    <mergeCell ref="C57:E57"/>
    <mergeCell ref="C66:E66"/>
    <mergeCell ref="C67:E67"/>
    <mergeCell ref="C68:E68"/>
    <mergeCell ref="C69:E69"/>
    <mergeCell ref="C70:E70"/>
    <mergeCell ref="A34:A50"/>
    <mergeCell ref="B34:B36"/>
    <mergeCell ref="C34:C36"/>
    <mergeCell ref="D34:E34"/>
    <mergeCell ref="D35:E35"/>
    <mergeCell ref="C44:E44"/>
    <mergeCell ref="C45:E45"/>
    <mergeCell ref="C46:E46"/>
    <mergeCell ref="C47:E47"/>
    <mergeCell ref="C48:E48"/>
    <mergeCell ref="A74:H74"/>
    <mergeCell ref="C76:E76"/>
    <mergeCell ref="F76:H77"/>
    <mergeCell ref="J76:J77"/>
    <mergeCell ref="G80:H80"/>
    <mergeCell ref="D81:E81"/>
    <mergeCell ref="G81:H81"/>
    <mergeCell ref="C71:E71"/>
    <mergeCell ref="C62:E62"/>
    <mergeCell ref="C63:E63"/>
    <mergeCell ref="B64:B65"/>
    <mergeCell ref="C64:C65"/>
    <mergeCell ref="D64:E64"/>
    <mergeCell ref="D65:E65"/>
    <mergeCell ref="B79:B81"/>
    <mergeCell ref="C79:C81"/>
    <mergeCell ref="D79:E79"/>
    <mergeCell ref="C82:E82"/>
    <mergeCell ref="G82:H82"/>
    <mergeCell ref="C83:E83"/>
    <mergeCell ref="F83:H83"/>
    <mergeCell ref="N76:O76"/>
    <mergeCell ref="P76:Q76"/>
    <mergeCell ref="C77:E77"/>
    <mergeCell ref="C78:E78"/>
    <mergeCell ref="G78:H78"/>
    <mergeCell ref="K76:K77"/>
    <mergeCell ref="L76:M76"/>
    <mergeCell ref="G79:H79"/>
    <mergeCell ref="D80:E80"/>
    <mergeCell ref="B88:B89"/>
    <mergeCell ref="C88:C89"/>
    <mergeCell ref="D88:E88"/>
    <mergeCell ref="G88:H88"/>
    <mergeCell ref="D89:E89"/>
    <mergeCell ref="G89:H89"/>
    <mergeCell ref="B84:B87"/>
    <mergeCell ref="C84:C87"/>
    <mergeCell ref="D84:E84"/>
    <mergeCell ref="G84:H84"/>
    <mergeCell ref="D85:E85"/>
    <mergeCell ref="G85:H85"/>
    <mergeCell ref="D86:E86"/>
    <mergeCell ref="G86:H86"/>
    <mergeCell ref="D87:E87"/>
    <mergeCell ref="G87:H87"/>
    <mergeCell ref="B90:B93"/>
    <mergeCell ref="C90:C93"/>
    <mergeCell ref="D90:E90"/>
    <mergeCell ref="G90:H90"/>
    <mergeCell ref="D91:E91"/>
    <mergeCell ref="G91:H91"/>
    <mergeCell ref="D92:E92"/>
    <mergeCell ref="G92:H92"/>
    <mergeCell ref="D93:E93"/>
    <mergeCell ref="G93:H93"/>
    <mergeCell ref="G94:H94"/>
    <mergeCell ref="C103:E103"/>
    <mergeCell ref="G103:H103"/>
    <mergeCell ref="A106:H106"/>
    <mergeCell ref="C100:E100"/>
    <mergeCell ref="G100:H100"/>
    <mergeCell ref="C101:E101"/>
    <mergeCell ref="G101:H101"/>
    <mergeCell ref="C102:E102"/>
    <mergeCell ref="G102:H102"/>
    <mergeCell ref="C97:E97"/>
    <mergeCell ref="G97:H97"/>
    <mergeCell ref="C98:E98"/>
    <mergeCell ref="G98:H98"/>
    <mergeCell ref="C99:E99"/>
    <mergeCell ref="G99:H99"/>
    <mergeCell ref="B95:B96"/>
    <mergeCell ref="C95:C96"/>
    <mergeCell ref="D95:E95"/>
    <mergeCell ref="G95:H95"/>
    <mergeCell ref="D96:E96"/>
    <mergeCell ref="G96:H96"/>
  </mergeCells>
  <conditionalFormatting sqref="P90:Q90">
    <cfRule type="cellIs" dxfId="76" priority="2" operator="equal">
      <formula>"Yes"</formula>
    </cfRule>
  </conditionalFormatting>
  <conditionalFormatting sqref="P78:Q83 P17:Q32 P67:Q71 P34:Q50 P53:Q65 P97:Q103 P91:Q95 P85:Q89">
    <cfRule type="cellIs" dxfId="75" priority="8" operator="equal">
      <formula>"Yes"</formula>
    </cfRule>
  </conditionalFormatting>
  <conditionalFormatting sqref="P66:Q66">
    <cfRule type="cellIs" dxfId="74" priority="7" operator="equal">
      <formula>"Yes"</formula>
    </cfRule>
  </conditionalFormatting>
  <conditionalFormatting sqref="P33:Q33">
    <cfRule type="cellIs" dxfId="73" priority="6" operator="equal">
      <formula>"Yes"</formula>
    </cfRule>
  </conditionalFormatting>
  <conditionalFormatting sqref="P51:Q51">
    <cfRule type="cellIs" dxfId="72" priority="5" operator="equal">
      <formula>"Yes"</formula>
    </cfRule>
  </conditionalFormatting>
  <conditionalFormatting sqref="P52:Q52">
    <cfRule type="cellIs" dxfId="71" priority="4" operator="equal">
      <formula>"Yes"</formula>
    </cfRule>
  </conditionalFormatting>
  <conditionalFormatting sqref="P96:Q96">
    <cfRule type="cellIs" dxfId="70" priority="3" operator="equal">
      <formula>"Yes"</formula>
    </cfRule>
  </conditionalFormatting>
  <conditionalFormatting sqref="P84:Q84">
    <cfRule type="cellIs" dxfId="69" priority="1" operator="equal">
      <formula>"Yes"</formula>
    </cfRule>
  </conditionalFormatting>
  <hyperlinks>
    <hyperlink ref="B109" r:id="rId1" display="see pages 17-19 of Kinetrics Report"/>
  </hyperlinks>
  <pageMargins left="0.7" right="0.7" top="0.75" bottom="0.75" header="0.3" footer="0.3"/>
  <pageSetup scale="41"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N64"/>
  <sheetViews>
    <sheetView showGridLines="0" zoomScale="90" zoomScaleNormal="90" workbookViewId="0"/>
  </sheetViews>
  <sheetFormatPr defaultRowHeight="12.75" x14ac:dyDescent="0.2"/>
  <cols>
    <col min="1" max="1" width="9.140625" style="140"/>
    <col min="2" max="2" width="42" style="140" customWidth="1"/>
    <col min="3" max="5" width="12.85546875" style="387" customWidth="1"/>
    <col min="6" max="6" width="10" style="387" customWidth="1"/>
    <col min="7" max="7" width="19.42578125" style="387" customWidth="1"/>
    <col min="8" max="8" width="7.7109375" style="401" customWidth="1"/>
    <col min="9" max="9" width="12.28515625" style="140" customWidth="1"/>
    <col min="10" max="10" width="12.7109375" style="387" customWidth="1"/>
    <col min="11" max="11" width="17.28515625" style="387" customWidth="1"/>
    <col min="12" max="12" width="11.85546875" style="387" customWidth="1"/>
    <col min="13" max="257" width="9.140625" style="140"/>
    <col min="258" max="258" width="2.7109375" style="140" customWidth="1"/>
    <col min="259" max="259" width="9.140625" style="140"/>
    <col min="260" max="260" width="40.28515625" style="140" bestFit="1" customWidth="1"/>
    <col min="261" max="261" width="12.85546875" style="140" customWidth="1"/>
    <col min="262" max="262" width="10" style="140" customWidth="1"/>
    <col min="263" max="263" width="19.42578125" style="140" customWidth="1"/>
    <col min="264" max="264" width="7.7109375" style="140" customWidth="1"/>
    <col min="265" max="265" width="12.28515625" style="140" customWidth="1"/>
    <col min="266" max="266" width="12.7109375" style="140" customWidth="1"/>
    <col min="267" max="267" width="13.5703125" style="140" customWidth="1"/>
    <col min="268" max="268" width="11.85546875" style="140" customWidth="1"/>
    <col min="269" max="513" width="9.140625" style="140"/>
    <col min="514" max="514" width="2.7109375" style="140" customWidth="1"/>
    <col min="515" max="515" width="9.140625" style="140"/>
    <col min="516" max="516" width="40.28515625" style="140" bestFit="1" customWidth="1"/>
    <col min="517" max="517" width="12.85546875" style="140" customWidth="1"/>
    <col min="518" max="518" width="10" style="140" customWidth="1"/>
    <col min="519" max="519" width="19.42578125" style="140" customWidth="1"/>
    <col min="520" max="520" width="7.7109375" style="140" customWidth="1"/>
    <col min="521" max="521" width="12.28515625" style="140" customWidth="1"/>
    <col min="522" max="522" width="12.7109375" style="140" customWidth="1"/>
    <col min="523" max="523" width="13.5703125" style="140" customWidth="1"/>
    <col min="524" max="524" width="11.85546875" style="140" customWidth="1"/>
    <col min="525" max="769" width="9.140625" style="140"/>
    <col min="770" max="770" width="2.7109375" style="140" customWidth="1"/>
    <col min="771" max="771" width="9.140625" style="140"/>
    <col min="772" max="772" width="40.28515625" style="140" bestFit="1" customWidth="1"/>
    <col min="773" max="773" width="12.85546875" style="140" customWidth="1"/>
    <col min="774" max="774" width="10" style="140" customWidth="1"/>
    <col min="775" max="775" width="19.42578125" style="140" customWidth="1"/>
    <col min="776" max="776" width="7.7109375" style="140" customWidth="1"/>
    <col min="777" max="777" width="12.28515625" style="140" customWidth="1"/>
    <col min="778" max="778" width="12.7109375" style="140" customWidth="1"/>
    <col min="779" max="779" width="13.5703125" style="140" customWidth="1"/>
    <col min="780" max="780" width="11.85546875" style="140" customWidth="1"/>
    <col min="781" max="1025" width="9.140625" style="140"/>
    <col min="1026" max="1026" width="2.7109375" style="140" customWidth="1"/>
    <col min="1027" max="1027" width="9.140625" style="140"/>
    <col min="1028" max="1028" width="40.28515625" style="140" bestFit="1" customWidth="1"/>
    <col min="1029" max="1029" width="12.85546875" style="140" customWidth="1"/>
    <col min="1030" max="1030" width="10" style="140" customWidth="1"/>
    <col min="1031" max="1031" width="19.42578125" style="140" customWidth="1"/>
    <col min="1032" max="1032" width="7.7109375" style="140" customWidth="1"/>
    <col min="1033" max="1033" width="12.28515625" style="140" customWidth="1"/>
    <col min="1034" max="1034" width="12.7109375" style="140" customWidth="1"/>
    <col min="1035" max="1035" width="13.5703125" style="140" customWidth="1"/>
    <col min="1036" max="1036" width="11.85546875" style="140" customWidth="1"/>
    <col min="1037" max="1281" width="9.140625" style="140"/>
    <col min="1282" max="1282" width="2.7109375" style="140" customWidth="1"/>
    <col min="1283" max="1283" width="9.140625" style="140"/>
    <col min="1284" max="1284" width="40.28515625" style="140" bestFit="1" customWidth="1"/>
    <col min="1285" max="1285" width="12.85546875" style="140" customWidth="1"/>
    <col min="1286" max="1286" width="10" style="140" customWidth="1"/>
    <col min="1287" max="1287" width="19.42578125" style="140" customWidth="1"/>
    <col min="1288" max="1288" width="7.7109375" style="140" customWidth="1"/>
    <col min="1289" max="1289" width="12.28515625" style="140" customWidth="1"/>
    <col min="1290" max="1290" width="12.7109375" style="140" customWidth="1"/>
    <col min="1291" max="1291" width="13.5703125" style="140" customWidth="1"/>
    <col min="1292" max="1292" width="11.85546875" style="140" customWidth="1"/>
    <col min="1293" max="1537" width="9.140625" style="140"/>
    <col min="1538" max="1538" width="2.7109375" style="140" customWidth="1"/>
    <col min="1539" max="1539" width="9.140625" style="140"/>
    <col min="1540" max="1540" width="40.28515625" style="140" bestFit="1" customWidth="1"/>
    <col min="1541" max="1541" width="12.85546875" style="140" customWidth="1"/>
    <col min="1542" max="1542" width="10" style="140" customWidth="1"/>
    <col min="1543" max="1543" width="19.42578125" style="140" customWidth="1"/>
    <col min="1544" max="1544" width="7.7109375" style="140" customWidth="1"/>
    <col min="1545" max="1545" width="12.28515625" style="140" customWidth="1"/>
    <col min="1546" max="1546" width="12.7109375" style="140" customWidth="1"/>
    <col min="1547" max="1547" width="13.5703125" style="140" customWidth="1"/>
    <col min="1548" max="1548" width="11.85546875" style="140" customWidth="1"/>
    <col min="1549" max="1793" width="9.140625" style="140"/>
    <col min="1794" max="1794" width="2.7109375" style="140" customWidth="1"/>
    <col min="1795" max="1795" width="9.140625" style="140"/>
    <col min="1796" max="1796" width="40.28515625" style="140" bestFit="1" customWidth="1"/>
    <col min="1797" max="1797" width="12.85546875" style="140" customWidth="1"/>
    <col min="1798" max="1798" width="10" style="140" customWidth="1"/>
    <col min="1799" max="1799" width="19.42578125" style="140" customWidth="1"/>
    <col min="1800" max="1800" width="7.7109375" style="140" customWidth="1"/>
    <col min="1801" max="1801" width="12.28515625" style="140" customWidth="1"/>
    <col min="1802" max="1802" width="12.7109375" style="140" customWidth="1"/>
    <col min="1803" max="1803" width="13.5703125" style="140" customWidth="1"/>
    <col min="1804" max="1804" width="11.85546875" style="140" customWidth="1"/>
    <col min="1805" max="2049" width="9.140625" style="140"/>
    <col min="2050" max="2050" width="2.7109375" style="140" customWidth="1"/>
    <col min="2051" max="2051" width="9.140625" style="140"/>
    <col min="2052" max="2052" width="40.28515625" style="140" bestFit="1" customWidth="1"/>
    <col min="2053" max="2053" width="12.85546875" style="140" customWidth="1"/>
    <col min="2054" max="2054" width="10" style="140" customWidth="1"/>
    <col min="2055" max="2055" width="19.42578125" style="140" customWidth="1"/>
    <col min="2056" max="2056" width="7.7109375" style="140" customWidth="1"/>
    <col min="2057" max="2057" width="12.28515625" style="140" customWidth="1"/>
    <col min="2058" max="2058" width="12.7109375" style="140" customWidth="1"/>
    <col min="2059" max="2059" width="13.5703125" style="140" customWidth="1"/>
    <col min="2060" max="2060" width="11.85546875" style="140" customWidth="1"/>
    <col min="2061" max="2305" width="9.140625" style="140"/>
    <col min="2306" max="2306" width="2.7109375" style="140" customWidth="1"/>
    <col min="2307" max="2307" width="9.140625" style="140"/>
    <col min="2308" max="2308" width="40.28515625" style="140" bestFit="1" customWidth="1"/>
    <col min="2309" max="2309" width="12.85546875" style="140" customWidth="1"/>
    <col min="2310" max="2310" width="10" style="140" customWidth="1"/>
    <col min="2311" max="2311" width="19.42578125" style="140" customWidth="1"/>
    <col min="2312" max="2312" width="7.7109375" style="140" customWidth="1"/>
    <col min="2313" max="2313" width="12.28515625" style="140" customWidth="1"/>
    <col min="2314" max="2314" width="12.7109375" style="140" customWidth="1"/>
    <col min="2315" max="2315" width="13.5703125" style="140" customWidth="1"/>
    <col min="2316" max="2316" width="11.85546875" style="140" customWidth="1"/>
    <col min="2317" max="2561" width="9.140625" style="140"/>
    <col min="2562" max="2562" width="2.7109375" style="140" customWidth="1"/>
    <col min="2563" max="2563" width="9.140625" style="140"/>
    <col min="2564" max="2564" width="40.28515625" style="140" bestFit="1" customWidth="1"/>
    <col min="2565" max="2565" width="12.85546875" style="140" customWidth="1"/>
    <col min="2566" max="2566" width="10" style="140" customWidth="1"/>
    <col min="2567" max="2567" width="19.42578125" style="140" customWidth="1"/>
    <col min="2568" max="2568" width="7.7109375" style="140" customWidth="1"/>
    <col min="2569" max="2569" width="12.28515625" style="140" customWidth="1"/>
    <col min="2570" max="2570" width="12.7109375" style="140" customWidth="1"/>
    <col min="2571" max="2571" width="13.5703125" style="140" customWidth="1"/>
    <col min="2572" max="2572" width="11.85546875" style="140" customWidth="1"/>
    <col min="2573" max="2817" width="9.140625" style="140"/>
    <col min="2818" max="2818" width="2.7109375" style="140" customWidth="1"/>
    <col min="2819" max="2819" width="9.140625" style="140"/>
    <col min="2820" max="2820" width="40.28515625" style="140" bestFit="1" customWidth="1"/>
    <col min="2821" max="2821" width="12.85546875" style="140" customWidth="1"/>
    <col min="2822" max="2822" width="10" style="140" customWidth="1"/>
    <col min="2823" max="2823" width="19.42578125" style="140" customWidth="1"/>
    <col min="2824" max="2824" width="7.7109375" style="140" customWidth="1"/>
    <col min="2825" max="2825" width="12.28515625" style="140" customWidth="1"/>
    <col min="2826" max="2826" width="12.7109375" style="140" customWidth="1"/>
    <col min="2827" max="2827" width="13.5703125" style="140" customWidth="1"/>
    <col min="2828" max="2828" width="11.85546875" style="140" customWidth="1"/>
    <col min="2829" max="3073" width="9.140625" style="140"/>
    <col min="3074" max="3074" width="2.7109375" style="140" customWidth="1"/>
    <col min="3075" max="3075" width="9.140625" style="140"/>
    <col min="3076" max="3076" width="40.28515625" style="140" bestFit="1" customWidth="1"/>
    <col min="3077" max="3077" width="12.85546875" style="140" customWidth="1"/>
    <col min="3078" max="3078" width="10" style="140" customWidth="1"/>
    <col min="3079" max="3079" width="19.42578125" style="140" customWidth="1"/>
    <col min="3080" max="3080" width="7.7109375" style="140" customWidth="1"/>
    <col min="3081" max="3081" width="12.28515625" style="140" customWidth="1"/>
    <col min="3082" max="3082" width="12.7109375" style="140" customWidth="1"/>
    <col min="3083" max="3083" width="13.5703125" style="140" customWidth="1"/>
    <col min="3084" max="3084" width="11.85546875" style="140" customWidth="1"/>
    <col min="3085" max="3329" width="9.140625" style="140"/>
    <col min="3330" max="3330" width="2.7109375" style="140" customWidth="1"/>
    <col min="3331" max="3331" width="9.140625" style="140"/>
    <col min="3332" max="3332" width="40.28515625" style="140" bestFit="1" customWidth="1"/>
    <col min="3333" max="3333" width="12.85546875" style="140" customWidth="1"/>
    <col min="3334" max="3334" width="10" style="140" customWidth="1"/>
    <col min="3335" max="3335" width="19.42578125" style="140" customWidth="1"/>
    <col min="3336" max="3336" width="7.7109375" style="140" customWidth="1"/>
    <col min="3337" max="3337" width="12.28515625" style="140" customWidth="1"/>
    <col min="3338" max="3338" width="12.7109375" style="140" customWidth="1"/>
    <col min="3339" max="3339" width="13.5703125" style="140" customWidth="1"/>
    <col min="3340" max="3340" width="11.85546875" style="140" customWidth="1"/>
    <col min="3341" max="3585" width="9.140625" style="140"/>
    <col min="3586" max="3586" width="2.7109375" style="140" customWidth="1"/>
    <col min="3587" max="3587" width="9.140625" style="140"/>
    <col min="3588" max="3588" width="40.28515625" style="140" bestFit="1" customWidth="1"/>
    <col min="3589" max="3589" width="12.85546875" style="140" customWidth="1"/>
    <col min="3590" max="3590" width="10" style="140" customWidth="1"/>
    <col min="3591" max="3591" width="19.42578125" style="140" customWidth="1"/>
    <col min="3592" max="3592" width="7.7109375" style="140" customWidth="1"/>
    <col min="3593" max="3593" width="12.28515625" style="140" customWidth="1"/>
    <col min="3594" max="3594" width="12.7109375" style="140" customWidth="1"/>
    <col min="3595" max="3595" width="13.5703125" style="140" customWidth="1"/>
    <col min="3596" max="3596" width="11.85546875" style="140" customWidth="1"/>
    <col min="3597" max="3841" width="9.140625" style="140"/>
    <col min="3842" max="3842" width="2.7109375" style="140" customWidth="1"/>
    <col min="3843" max="3843" width="9.140625" style="140"/>
    <col min="3844" max="3844" width="40.28515625" style="140" bestFit="1" customWidth="1"/>
    <col min="3845" max="3845" width="12.85546875" style="140" customWidth="1"/>
    <col min="3846" max="3846" width="10" style="140" customWidth="1"/>
    <col min="3847" max="3847" width="19.42578125" style="140" customWidth="1"/>
    <col min="3848" max="3848" width="7.7109375" style="140" customWidth="1"/>
    <col min="3849" max="3849" width="12.28515625" style="140" customWidth="1"/>
    <col min="3850" max="3850" width="12.7109375" style="140" customWidth="1"/>
    <col min="3851" max="3851" width="13.5703125" style="140" customWidth="1"/>
    <col min="3852" max="3852" width="11.85546875" style="140" customWidth="1"/>
    <col min="3853" max="4097" width="9.140625" style="140"/>
    <col min="4098" max="4098" width="2.7109375" style="140" customWidth="1"/>
    <col min="4099" max="4099" width="9.140625" style="140"/>
    <col min="4100" max="4100" width="40.28515625" style="140" bestFit="1" customWidth="1"/>
    <col min="4101" max="4101" width="12.85546875" style="140" customWidth="1"/>
    <col min="4102" max="4102" width="10" style="140" customWidth="1"/>
    <col min="4103" max="4103" width="19.42578125" style="140" customWidth="1"/>
    <col min="4104" max="4104" width="7.7109375" style="140" customWidth="1"/>
    <col min="4105" max="4105" width="12.28515625" style="140" customWidth="1"/>
    <col min="4106" max="4106" width="12.7109375" style="140" customWidth="1"/>
    <col min="4107" max="4107" width="13.5703125" style="140" customWidth="1"/>
    <col min="4108" max="4108" width="11.85546875" style="140" customWidth="1"/>
    <col min="4109" max="4353" width="9.140625" style="140"/>
    <col min="4354" max="4354" width="2.7109375" style="140" customWidth="1"/>
    <col min="4355" max="4355" width="9.140625" style="140"/>
    <col min="4356" max="4356" width="40.28515625" style="140" bestFit="1" customWidth="1"/>
    <col min="4357" max="4357" width="12.85546875" style="140" customWidth="1"/>
    <col min="4358" max="4358" width="10" style="140" customWidth="1"/>
    <col min="4359" max="4359" width="19.42578125" style="140" customWidth="1"/>
    <col min="4360" max="4360" width="7.7109375" style="140" customWidth="1"/>
    <col min="4361" max="4361" width="12.28515625" style="140" customWidth="1"/>
    <col min="4362" max="4362" width="12.7109375" style="140" customWidth="1"/>
    <col min="4363" max="4363" width="13.5703125" style="140" customWidth="1"/>
    <col min="4364" max="4364" width="11.85546875" style="140" customWidth="1"/>
    <col min="4365" max="4609" width="9.140625" style="140"/>
    <col min="4610" max="4610" width="2.7109375" style="140" customWidth="1"/>
    <col min="4611" max="4611" width="9.140625" style="140"/>
    <col min="4612" max="4612" width="40.28515625" style="140" bestFit="1" customWidth="1"/>
    <col min="4613" max="4613" width="12.85546875" style="140" customWidth="1"/>
    <col min="4614" max="4614" width="10" style="140" customWidth="1"/>
    <col min="4615" max="4615" width="19.42578125" style="140" customWidth="1"/>
    <col min="4616" max="4616" width="7.7109375" style="140" customWidth="1"/>
    <col min="4617" max="4617" width="12.28515625" style="140" customWidth="1"/>
    <col min="4618" max="4618" width="12.7109375" style="140" customWidth="1"/>
    <col min="4619" max="4619" width="13.5703125" style="140" customWidth="1"/>
    <col min="4620" max="4620" width="11.85546875" style="140" customWidth="1"/>
    <col min="4621" max="4865" width="9.140625" style="140"/>
    <col min="4866" max="4866" width="2.7109375" style="140" customWidth="1"/>
    <col min="4867" max="4867" width="9.140625" style="140"/>
    <col min="4868" max="4868" width="40.28515625" style="140" bestFit="1" customWidth="1"/>
    <col min="4869" max="4869" width="12.85546875" style="140" customWidth="1"/>
    <col min="4870" max="4870" width="10" style="140" customWidth="1"/>
    <col min="4871" max="4871" width="19.42578125" style="140" customWidth="1"/>
    <col min="4872" max="4872" width="7.7109375" style="140" customWidth="1"/>
    <col min="4873" max="4873" width="12.28515625" style="140" customWidth="1"/>
    <col min="4874" max="4874" width="12.7109375" style="140" customWidth="1"/>
    <col min="4875" max="4875" width="13.5703125" style="140" customWidth="1"/>
    <col min="4876" max="4876" width="11.85546875" style="140" customWidth="1"/>
    <col min="4877" max="5121" width="9.140625" style="140"/>
    <col min="5122" max="5122" width="2.7109375" style="140" customWidth="1"/>
    <col min="5123" max="5123" width="9.140625" style="140"/>
    <col min="5124" max="5124" width="40.28515625" style="140" bestFit="1" customWidth="1"/>
    <col min="5125" max="5125" width="12.85546875" style="140" customWidth="1"/>
    <col min="5126" max="5126" width="10" style="140" customWidth="1"/>
    <col min="5127" max="5127" width="19.42578125" style="140" customWidth="1"/>
    <col min="5128" max="5128" width="7.7109375" style="140" customWidth="1"/>
    <col min="5129" max="5129" width="12.28515625" style="140" customWidth="1"/>
    <col min="5130" max="5130" width="12.7109375" style="140" customWidth="1"/>
    <col min="5131" max="5131" width="13.5703125" style="140" customWidth="1"/>
    <col min="5132" max="5132" width="11.85546875" style="140" customWidth="1"/>
    <col min="5133" max="5377" width="9.140625" style="140"/>
    <col min="5378" max="5378" width="2.7109375" style="140" customWidth="1"/>
    <col min="5379" max="5379" width="9.140625" style="140"/>
    <col min="5380" max="5380" width="40.28515625" style="140" bestFit="1" customWidth="1"/>
    <col min="5381" max="5381" width="12.85546875" style="140" customWidth="1"/>
    <col min="5382" max="5382" width="10" style="140" customWidth="1"/>
    <col min="5383" max="5383" width="19.42578125" style="140" customWidth="1"/>
    <col min="5384" max="5384" width="7.7109375" style="140" customWidth="1"/>
    <col min="5385" max="5385" width="12.28515625" style="140" customWidth="1"/>
    <col min="5386" max="5386" width="12.7109375" style="140" customWidth="1"/>
    <col min="5387" max="5387" width="13.5703125" style="140" customWidth="1"/>
    <col min="5388" max="5388" width="11.85546875" style="140" customWidth="1"/>
    <col min="5389" max="5633" width="9.140625" style="140"/>
    <col min="5634" max="5634" width="2.7109375" style="140" customWidth="1"/>
    <col min="5635" max="5635" width="9.140625" style="140"/>
    <col min="5636" max="5636" width="40.28515625" style="140" bestFit="1" customWidth="1"/>
    <col min="5637" max="5637" width="12.85546875" style="140" customWidth="1"/>
    <col min="5638" max="5638" width="10" style="140" customWidth="1"/>
    <col min="5639" max="5639" width="19.42578125" style="140" customWidth="1"/>
    <col min="5640" max="5640" width="7.7109375" style="140" customWidth="1"/>
    <col min="5641" max="5641" width="12.28515625" style="140" customWidth="1"/>
    <col min="5642" max="5642" width="12.7109375" style="140" customWidth="1"/>
    <col min="5643" max="5643" width="13.5703125" style="140" customWidth="1"/>
    <col min="5644" max="5644" width="11.85546875" style="140" customWidth="1"/>
    <col min="5645" max="5889" width="9.140625" style="140"/>
    <col min="5890" max="5890" width="2.7109375" style="140" customWidth="1"/>
    <col min="5891" max="5891" width="9.140625" style="140"/>
    <col min="5892" max="5892" width="40.28515625" style="140" bestFit="1" customWidth="1"/>
    <col min="5893" max="5893" width="12.85546875" style="140" customWidth="1"/>
    <col min="5894" max="5894" width="10" style="140" customWidth="1"/>
    <col min="5895" max="5895" width="19.42578125" style="140" customWidth="1"/>
    <col min="5896" max="5896" width="7.7109375" style="140" customWidth="1"/>
    <col min="5897" max="5897" width="12.28515625" style="140" customWidth="1"/>
    <col min="5898" max="5898" width="12.7109375" style="140" customWidth="1"/>
    <col min="5899" max="5899" width="13.5703125" style="140" customWidth="1"/>
    <col min="5900" max="5900" width="11.85546875" style="140" customWidth="1"/>
    <col min="5901" max="6145" width="9.140625" style="140"/>
    <col min="6146" max="6146" width="2.7109375" style="140" customWidth="1"/>
    <col min="6147" max="6147" width="9.140625" style="140"/>
    <col min="6148" max="6148" width="40.28515625" style="140" bestFit="1" customWidth="1"/>
    <col min="6149" max="6149" width="12.85546875" style="140" customWidth="1"/>
    <col min="6150" max="6150" width="10" style="140" customWidth="1"/>
    <col min="6151" max="6151" width="19.42578125" style="140" customWidth="1"/>
    <col min="6152" max="6152" width="7.7109375" style="140" customWidth="1"/>
    <col min="6153" max="6153" width="12.28515625" style="140" customWidth="1"/>
    <col min="6154" max="6154" width="12.7109375" style="140" customWidth="1"/>
    <col min="6155" max="6155" width="13.5703125" style="140" customWidth="1"/>
    <col min="6156" max="6156" width="11.85546875" style="140" customWidth="1"/>
    <col min="6157" max="6401" width="9.140625" style="140"/>
    <col min="6402" max="6402" width="2.7109375" style="140" customWidth="1"/>
    <col min="6403" max="6403" width="9.140625" style="140"/>
    <col min="6404" max="6404" width="40.28515625" style="140" bestFit="1" customWidth="1"/>
    <col min="6405" max="6405" width="12.85546875" style="140" customWidth="1"/>
    <col min="6406" max="6406" width="10" style="140" customWidth="1"/>
    <col min="6407" max="6407" width="19.42578125" style="140" customWidth="1"/>
    <col min="6408" max="6408" width="7.7109375" style="140" customWidth="1"/>
    <col min="6409" max="6409" width="12.28515625" style="140" customWidth="1"/>
    <col min="6410" max="6410" width="12.7109375" style="140" customWidth="1"/>
    <col min="6411" max="6411" width="13.5703125" style="140" customWidth="1"/>
    <col min="6412" max="6412" width="11.85546875" style="140" customWidth="1"/>
    <col min="6413" max="6657" width="9.140625" style="140"/>
    <col min="6658" max="6658" width="2.7109375" style="140" customWidth="1"/>
    <col min="6659" max="6659" width="9.140625" style="140"/>
    <col min="6660" max="6660" width="40.28515625" style="140" bestFit="1" customWidth="1"/>
    <col min="6661" max="6661" width="12.85546875" style="140" customWidth="1"/>
    <col min="6662" max="6662" width="10" style="140" customWidth="1"/>
    <col min="6663" max="6663" width="19.42578125" style="140" customWidth="1"/>
    <col min="6664" max="6664" width="7.7109375" style="140" customWidth="1"/>
    <col min="6665" max="6665" width="12.28515625" style="140" customWidth="1"/>
    <col min="6666" max="6666" width="12.7109375" style="140" customWidth="1"/>
    <col min="6667" max="6667" width="13.5703125" style="140" customWidth="1"/>
    <col min="6668" max="6668" width="11.85546875" style="140" customWidth="1"/>
    <col min="6669" max="6913" width="9.140625" style="140"/>
    <col min="6914" max="6914" width="2.7109375" style="140" customWidth="1"/>
    <col min="6915" max="6915" width="9.140625" style="140"/>
    <col min="6916" max="6916" width="40.28515625" style="140" bestFit="1" customWidth="1"/>
    <col min="6917" max="6917" width="12.85546875" style="140" customWidth="1"/>
    <col min="6918" max="6918" width="10" style="140" customWidth="1"/>
    <col min="6919" max="6919" width="19.42578125" style="140" customWidth="1"/>
    <col min="6920" max="6920" width="7.7109375" style="140" customWidth="1"/>
    <col min="6921" max="6921" width="12.28515625" style="140" customWidth="1"/>
    <col min="6922" max="6922" width="12.7109375" style="140" customWidth="1"/>
    <col min="6923" max="6923" width="13.5703125" style="140" customWidth="1"/>
    <col min="6924" max="6924" width="11.85546875" style="140" customWidth="1"/>
    <col min="6925" max="7169" width="9.140625" style="140"/>
    <col min="7170" max="7170" width="2.7109375" style="140" customWidth="1"/>
    <col min="7171" max="7171" width="9.140625" style="140"/>
    <col min="7172" max="7172" width="40.28515625" style="140" bestFit="1" customWidth="1"/>
    <col min="7173" max="7173" width="12.85546875" style="140" customWidth="1"/>
    <col min="7174" max="7174" width="10" style="140" customWidth="1"/>
    <col min="7175" max="7175" width="19.42578125" style="140" customWidth="1"/>
    <col min="7176" max="7176" width="7.7109375" style="140" customWidth="1"/>
    <col min="7177" max="7177" width="12.28515625" style="140" customWidth="1"/>
    <col min="7178" max="7178" width="12.7109375" style="140" customWidth="1"/>
    <col min="7179" max="7179" width="13.5703125" style="140" customWidth="1"/>
    <col min="7180" max="7180" width="11.85546875" style="140" customWidth="1"/>
    <col min="7181" max="7425" width="9.140625" style="140"/>
    <col min="7426" max="7426" width="2.7109375" style="140" customWidth="1"/>
    <col min="7427" max="7427" width="9.140625" style="140"/>
    <col min="7428" max="7428" width="40.28515625" style="140" bestFit="1" customWidth="1"/>
    <col min="7429" max="7429" width="12.85546875" style="140" customWidth="1"/>
    <col min="7430" max="7430" width="10" style="140" customWidth="1"/>
    <col min="7431" max="7431" width="19.42578125" style="140" customWidth="1"/>
    <col min="7432" max="7432" width="7.7109375" style="140" customWidth="1"/>
    <col min="7433" max="7433" width="12.28515625" style="140" customWidth="1"/>
    <col min="7434" max="7434" width="12.7109375" style="140" customWidth="1"/>
    <col min="7435" max="7435" width="13.5703125" style="140" customWidth="1"/>
    <col min="7436" max="7436" width="11.85546875" style="140" customWidth="1"/>
    <col min="7437" max="7681" width="9.140625" style="140"/>
    <col min="7682" max="7682" width="2.7109375" style="140" customWidth="1"/>
    <col min="7683" max="7683" width="9.140625" style="140"/>
    <col min="7684" max="7684" width="40.28515625" style="140" bestFit="1" customWidth="1"/>
    <col min="7685" max="7685" width="12.85546875" style="140" customWidth="1"/>
    <col min="7686" max="7686" width="10" style="140" customWidth="1"/>
    <col min="7687" max="7687" width="19.42578125" style="140" customWidth="1"/>
    <col min="7688" max="7688" width="7.7109375" style="140" customWidth="1"/>
    <col min="7689" max="7689" width="12.28515625" style="140" customWidth="1"/>
    <col min="7690" max="7690" width="12.7109375" style="140" customWidth="1"/>
    <col min="7691" max="7691" width="13.5703125" style="140" customWidth="1"/>
    <col min="7692" max="7692" width="11.85546875" style="140" customWidth="1"/>
    <col min="7693" max="7937" width="9.140625" style="140"/>
    <col min="7938" max="7938" width="2.7109375" style="140" customWidth="1"/>
    <col min="7939" max="7939" width="9.140625" style="140"/>
    <col min="7940" max="7940" width="40.28515625" style="140" bestFit="1" customWidth="1"/>
    <col min="7941" max="7941" width="12.85546875" style="140" customWidth="1"/>
    <col min="7942" max="7942" width="10" style="140" customWidth="1"/>
    <col min="7943" max="7943" width="19.42578125" style="140" customWidth="1"/>
    <col min="7944" max="7944" width="7.7109375" style="140" customWidth="1"/>
    <col min="7945" max="7945" width="12.28515625" style="140" customWidth="1"/>
    <col min="7946" max="7946" width="12.7109375" style="140" customWidth="1"/>
    <col min="7947" max="7947" width="13.5703125" style="140" customWidth="1"/>
    <col min="7948" max="7948" width="11.85546875" style="140" customWidth="1"/>
    <col min="7949" max="8193" width="9.140625" style="140"/>
    <col min="8194" max="8194" width="2.7109375" style="140" customWidth="1"/>
    <col min="8195" max="8195" width="9.140625" style="140"/>
    <col min="8196" max="8196" width="40.28515625" style="140" bestFit="1" customWidth="1"/>
    <col min="8197" max="8197" width="12.85546875" style="140" customWidth="1"/>
    <col min="8198" max="8198" width="10" style="140" customWidth="1"/>
    <col min="8199" max="8199" width="19.42578125" style="140" customWidth="1"/>
    <col min="8200" max="8200" width="7.7109375" style="140" customWidth="1"/>
    <col min="8201" max="8201" width="12.28515625" style="140" customWidth="1"/>
    <col min="8202" max="8202" width="12.7109375" style="140" customWidth="1"/>
    <col min="8203" max="8203" width="13.5703125" style="140" customWidth="1"/>
    <col min="8204" max="8204" width="11.85546875" style="140" customWidth="1"/>
    <col min="8205" max="8449" width="9.140625" style="140"/>
    <col min="8450" max="8450" width="2.7109375" style="140" customWidth="1"/>
    <col min="8451" max="8451" width="9.140625" style="140"/>
    <col min="8452" max="8452" width="40.28515625" style="140" bestFit="1" customWidth="1"/>
    <col min="8453" max="8453" width="12.85546875" style="140" customWidth="1"/>
    <col min="8454" max="8454" width="10" style="140" customWidth="1"/>
    <col min="8455" max="8455" width="19.42578125" style="140" customWidth="1"/>
    <col min="8456" max="8456" width="7.7109375" style="140" customWidth="1"/>
    <col min="8457" max="8457" width="12.28515625" style="140" customWidth="1"/>
    <col min="8458" max="8458" width="12.7109375" style="140" customWidth="1"/>
    <col min="8459" max="8459" width="13.5703125" style="140" customWidth="1"/>
    <col min="8460" max="8460" width="11.85546875" style="140" customWidth="1"/>
    <col min="8461" max="8705" width="9.140625" style="140"/>
    <col min="8706" max="8706" width="2.7109375" style="140" customWidth="1"/>
    <col min="8707" max="8707" width="9.140625" style="140"/>
    <col min="8708" max="8708" width="40.28515625" style="140" bestFit="1" customWidth="1"/>
    <col min="8709" max="8709" width="12.85546875" style="140" customWidth="1"/>
    <col min="8710" max="8710" width="10" style="140" customWidth="1"/>
    <col min="8711" max="8711" width="19.42578125" style="140" customWidth="1"/>
    <col min="8712" max="8712" width="7.7109375" style="140" customWidth="1"/>
    <col min="8713" max="8713" width="12.28515625" style="140" customWidth="1"/>
    <col min="8714" max="8714" width="12.7109375" style="140" customWidth="1"/>
    <col min="8715" max="8715" width="13.5703125" style="140" customWidth="1"/>
    <col min="8716" max="8716" width="11.85546875" style="140" customWidth="1"/>
    <col min="8717" max="8961" width="9.140625" style="140"/>
    <col min="8962" max="8962" width="2.7109375" style="140" customWidth="1"/>
    <col min="8963" max="8963" width="9.140625" style="140"/>
    <col min="8964" max="8964" width="40.28515625" style="140" bestFit="1" customWidth="1"/>
    <col min="8965" max="8965" width="12.85546875" style="140" customWidth="1"/>
    <col min="8966" max="8966" width="10" style="140" customWidth="1"/>
    <col min="8967" max="8967" width="19.42578125" style="140" customWidth="1"/>
    <col min="8968" max="8968" width="7.7109375" style="140" customWidth="1"/>
    <col min="8969" max="8969" width="12.28515625" style="140" customWidth="1"/>
    <col min="8970" max="8970" width="12.7109375" style="140" customWidth="1"/>
    <col min="8971" max="8971" width="13.5703125" style="140" customWidth="1"/>
    <col min="8972" max="8972" width="11.85546875" style="140" customWidth="1"/>
    <col min="8973" max="9217" width="9.140625" style="140"/>
    <col min="9218" max="9218" width="2.7109375" style="140" customWidth="1"/>
    <col min="9219" max="9219" width="9.140625" style="140"/>
    <col min="9220" max="9220" width="40.28515625" style="140" bestFit="1" customWidth="1"/>
    <col min="9221" max="9221" width="12.85546875" style="140" customWidth="1"/>
    <col min="9222" max="9222" width="10" style="140" customWidth="1"/>
    <col min="9223" max="9223" width="19.42578125" style="140" customWidth="1"/>
    <col min="9224" max="9224" width="7.7109375" style="140" customWidth="1"/>
    <col min="9225" max="9225" width="12.28515625" style="140" customWidth="1"/>
    <col min="9226" max="9226" width="12.7109375" style="140" customWidth="1"/>
    <col min="9227" max="9227" width="13.5703125" style="140" customWidth="1"/>
    <col min="9228" max="9228" width="11.85546875" style="140" customWidth="1"/>
    <col min="9229" max="9473" width="9.140625" style="140"/>
    <col min="9474" max="9474" width="2.7109375" style="140" customWidth="1"/>
    <col min="9475" max="9475" width="9.140625" style="140"/>
    <col min="9476" max="9476" width="40.28515625" style="140" bestFit="1" customWidth="1"/>
    <col min="9477" max="9477" width="12.85546875" style="140" customWidth="1"/>
    <col min="9478" max="9478" width="10" style="140" customWidth="1"/>
    <col min="9479" max="9479" width="19.42578125" style="140" customWidth="1"/>
    <col min="9480" max="9480" width="7.7109375" style="140" customWidth="1"/>
    <col min="9481" max="9481" width="12.28515625" style="140" customWidth="1"/>
    <col min="9482" max="9482" width="12.7109375" style="140" customWidth="1"/>
    <col min="9483" max="9483" width="13.5703125" style="140" customWidth="1"/>
    <col min="9484" max="9484" width="11.85546875" style="140" customWidth="1"/>
    <col min="9485" max="9729" width="9.140625" style="140"/>
    <col min="9730" max="9730" width="2.7109375" style="140" customWidth="1"/>
    <col min="9731" max="9731" width="9.140625" style="140"/>
    <col min="9732" max="9732" width="40.28515625" style="140" bestFit="1" customWidth="1"/>
    <col min="9733" max="9733" width="12.85546875" style="140" customWidth="1"/>
    <col min="9734" max="9734" width="10" style="140" customWidth="1"/>
    <col min="9735" max="9735" width="19.42578125" style="140" customWidth="1"/>
    <col min="9736" max="9736" width="7.7109375" style="140" customWidth="1"/>
    <col min="9737" max="9737" width="12.28515625" style="140" customWidth="1"/>
    <col min="9738" max="9738" width="12.7109375" style="140" customWidth="1"/>
    <col min="9739" max="9739" width="13.5703125" style="140" customWidth="1"/>
    <col min="9740" max="9740" width="11.85546875" style="140" customWidth="1"/>
    <col min="9741" max="9985" width="9.140625" style="140"/>
    <col min="9986" max="9986" width="2.7109375" style="140" customWidth="1"/>
    <col min="9987" max="9987" width="9.140625" style="140"/>
    <col min="9988" max="9988" width="40.28515625" style="140" bestFit="1" customWidth="1"/>
    <col min="9989" max="9989" width="12.85546875" style="140" customWidth="1"/>
    <col min="9990" max="9990" width="10" style="140" customWidth="1"/>
    <col min="9991" max="9991" width="19.42578125" style="140" customWidth="1"/>
    <col min="9992" max="9992" width="7.7109375" style="140" customWidth="1"/>
    <col min="9993" max="9993" width="12.28515625" style="140" customWidth="1"/>
    <col min="9994" max="9994" width="12.7109375" style="140" customWidth="1"/>
    <col min="9995" max="9995" width="13.5703125" style="140" customWidth="1"/>
    <col min="9996" max="9996" width="11.85546875" style="140" customWidth="1"/>
    <col min="9997" max="10241" width="9.140625" style="140"/>
    <col min="10242" max="10242" width="2.7109375" style="140" customWidth="1"/>
    <col min="10243" max="10243" width="9.140625" style="140"/>
    <col min="10244" max="10244" width="40.28515625" style="140" bestFit="1" customWidth="1"/>
    <col min="10245" max="10245" width="12.85546875" style="140" customWidth="1"/>
    <col min="10246" max="10246" width="10" style="140" customWidth="1"/>
    <col min="10247" max="10247" width="19.42578125" style="140" customWidth="1"/>
    <col min="10248" max="10248" width="7.7109375" style="140" customWidth="1"/>
    <col min="10249" max="10249" width="12.28515625" style="140" customWidth="1"/>
    <col min="10250" max="10250" width="12.7109375" style="140" customWidth="1"/>
    <col min="10251" max="10251" width="13.5703125" style="140" customWidth="1"/>
    <col min="10252" max="10252" width="11.85546875" style="140" customWidth="1"/>
    <col min="10253" max="10497" width="9.140625" style="140"/>
    <col min="10498" max="10498" width="2.7109375" style="140" customWidth="1"/>
    <col min="10499" max="10499" width="9.140625" style="140"/>
    <col min="10500" max="10500" width="40.28515625" style="140" bestFit="1" customWidth="1"/>
    <col min="10501" max="10501" width="12.85546875" style="140" customWidth="1"/>
    <col min="10502" max="10502" width="10" style="140" customWidth="1"/>
    <col min="10503" max="10503" width="19.42578125" style="140" customWidth="1"/>
    <col min="10504" max="10504" width="7.7109375" style="140" customWidth="1"/>
    <col min="10505" max="10505" width="12.28515625" style="140" customWidth="1"/>
    <col min="10506" max="10506" width="12.7109375" style="140" customWidth="1"/>
    <col min="10507" max="10507" width="13.5703125" style="140" customWidth="1"/>
    <col min="10508" max="10508" width="11.85546875" style="140" customWidth="1"/>
    <col min="10509" max="10753" width="9.140625" style="140"/>
    <col min="10754" max="10754" width="2.7109375" style="140" customWidth="1"/>
    <col min="10755" max="10755" width="9.140625" style="140"/>
    <col min="10756" max="10756" width="40.28515625" style="140" bestFit="1" customWidth="1"/>
    <col min="10757" max="10757" width="12.85546875" style="140" customWidth="1"/>
    <col min="10758" max="10758" width="10" style="140" customWidth="1"/>
    <col min="10759" max="10759" width="19.42578125" style="140" customWidth="1"/>
    <col min="10760" max="10760" width="7.7109375" style="140" customWidth="1"/>
    <col min="10761" max="10761" width="12.28515625" style="140" customWidth="1"/>
    <col min="10762" max="10762" width="12.7109375" style="140" customWidth="1"/>
    <col min="10763" max="10763" width="13.5703125" style="140" customWidth="1"/>
    <col min="10764" max="10764" width="11.85546875" style="140" customWidth="1"/>
    <col min="10765" max="11009" width="9.140625" style="140"/>
    <col min="11010" max="11010" width="2.7109375" style="140" customWidth="1"/>
    <col min="11011" max="11011" width="9.140625" style="140"/>
    <col min="11012" max="11012" width="40.28515625" style="140" bestFit="1" customWidth="1"/>
    <col min="11013" max="11013" width="12.85546875" style="140" customWidth="1"/>
    <col min="11014" max="11014" width="10" style="140" customWidth="1"/>
    <col min="11015" max="11015" width="19.42578125" style="140" customWidth="1"/>
    <col min="11016" max="11016" width="7.7109375" style="140" customWidth="1"/>
    <col min="11017" max="11017" width="12.28515625" style="140" customWidth="1"/>
    <col min="11018" max="11018" width="12.7109375" style="140" customWidth="1"/>
    <col min="11019" max="11019" width="13.5703125" style="140" customWidth="1"/>
    <col min="11020" max="11020" width="11.85546875" style="140" customWidth="1"/>
    <col min="11021" max="11265" width="9.140625" style="140"/>
    <col min="11266" max="11266" width="2.7109375" style="140" customWidth="1"/>
    <col min="11267" max="11267" width="9.140625" style="140"/>
    <col min="11268" max="11268" width="40.28515625" style="140" bestFit="1" customWidth="1"/>
    <col min="11269" max="11269" width="12.85546875" style="140" customWidth="1"/>
    <col min="11270" max="11270" width="10" style="140" customWidth="1"/>
    <col min="11271" max="11271" width="19.42578125" style="140" customWidth="1"/>
    <col min="11272" max="11272" width="7.7109375" style="140" customWidth="1"/>
    <col min="11273" max="11273" width="12.28515625" style="140" customWidth="1"/>
    <col min="11274" max="11274" width="12.7109375" style="140" customWidth="1"/>
    <col min="11275" max="11275" width="13.5703125" style="140" customWidth="1"/>
    <col min="11276" max="11276" width="11.85546875" style="140" customWidth="1"/>
    <col min="11277" max="11521" width="9.140625" style="140"/>
    <col min="11522" max="11522" width="2.7109375" style="140" customWidth="1"/>
    <col min="11523" max="11523" width="9.140625" style="140"/>
    <col min="11524" max="11524" width="40.28515625" style="140" bestFit="1" customWidth="1"/>
    <col min="11525" max="11525" width="12.85546875" style="140" customWidth="1"/>
    <col min="11526" max="11526" width="10" style="140" customWidth="1"/>
    <col min="11527" max="11527" width="19.42578125" style="140" customWidth="1"/>
    <col min="11528" max="11528" width="7.7109375" style="140" customWidth="1"/>
    <col min="11529" max="11529" width="12.28515625" style="140" customWidth="1"/>
    <col min="11530" max="11530" width="12.7109375" style="140" customWidth="1"/>
    <col min="11531" max="11531" width="13.5703125" style="140" customWidth="1"/>
    <col min="11532" max="11532" width="11.85546875" style="140" customWidth="1"/>
    <col min="11533" max="11777" width="9.140625" style="140"/>
    <col min="11778" max="11778" width="2.7109375" style="140" customWidth="1"/>
    <col min="11779" max="11779" width="9.140625" style="140"/>
    <col min="11780" max="11780" width="40.28515625" style="140" bestFit="1" customWidth="1"/>
    <col min="11781" max="11781" width="12.85546875" style="140" customWidth="1"/>
    <col min="11782" max="11782" width="10" style="140" customWidth="1"/>
    <col min="11783" max="11783" width="19.42578125" style="140" customWidth="1"/>
    <col min="11784" max="11784" width="7.7109375" style="140" customWidth="1"/>
    <col min="11785" max="11785" width="12.28515625" style="140" customWidth="1"/>
    <col min="11786" max="11786" width="12.7109375" style="140" customWidth="1"/>
    <col min="11787" max="11787" width="13.5703125" style="140" customWidth="1"/>
    <col min="11788" max="11788" width="11.85546875" style="140" customWidth="1"/>
    <col min="11789" max="12033" width="9.140625" style="140"/>
    <col min="12034" max="12034" width="2.7109375" style="140" customWidth="1"/>
    <col min="12035" max="12035" width="9.140625" style="140"/>
    <col min="12036" max="12036" width="40.28515625" style="140" bestFit="1" customWidth="1"/>
    <col min="12037" max="12037" width="12.85546875" style="140" customWidth="1"/>
    <col min="12038" max="12038" width="10" style="140" customWidth="1"/>
    <col min="12039" max="12039" width="19.42578125" style="140" customWidth="1"/>
    <col min="12040" max="12040" width="7.7109375" style="140" customWidth="1"/>
    <col min="12041" max="12041" width="12.28515625" style="140" customWidth="1"/>
    <col min="12042" max="12042" width="12.7109375" style="140" customWidth="1"/>
    <col min="12043" max="12043" width="13.5703125" style="140" customWidth="1"/>
    <col min="12044" max="12044" width="11.85546875" style="140" customWidth="1"/>
    <col min="12045" max="12289" width="9.140625" style="140"/>
    <col min="12290" max="12290" width="2.7109375" style="140" customWidth="1"/>
    <col min="12291" max="12291" width="9.140625" style="140"/>
    <col min="12292" max="12292" width="40.28515625" style="140" bestFit="1" customWidth="1"/>
    <col min="12293" max="12293" width="12.85546875" style="140" customWidth="1"/>
    <col min="12294" max="12294" width="10" style="140" customWidth="1"/>
    <col min="12295" max="12295" width="19.42578125" style="140" customWidth="1"/>
    <col min="12296" max="12296" width="7.7109375" style="140" customWidth="1"/>
    <col min="12297" max="12297" width="12.28515625" style="140" customWidth="1"/>
    <col min="12298" max="12298" width="12.7109375" style="140" customWidth="1"/>
    <col min="12299" max="12299" width="13.5703125" style="140" customWidth="1"/>
    <col min="12300" max="12300" width="11.85546875" style="140" customWidth="1"/>
    <col min="12301" max="12545" width="9.140625" style="140"/>
    <col min="12546" max="12546" width="2.7109375" style="140" customWidth="1"/>
    <col min="12547" max="12547" width="9.140625" style="140"/>
    <col min="12548" max="12548" width="40.28515625" style="140" bestFit="1" customWidth="1"/>
    <col min="12549" max="12549" width="12.85546875" style="140" customWidth="1"/>
    <col min="12550" max="12550" width="10" style="140" customWidth="1"/>
    <col min="12551" max="12551" width="19.42578125" style="140" customWidth="1"/>
    <col min="12552" max="12552" width="7.7109375" style="140" customWidth="1"/>
    <col min="12553" max="12553" width="12.28515625" style="140" customWidth="1"/>
    <col min="12554" max="12554" width="12.7109375" style="140" customWidth="1"/>
    <col min="12555" max="12555" width="13.5703125" style="140" customWidth="1"/>
    <col min="12556" max="12556" width="11.85546875" style="140" customWidth="1"/>
    <col min="12557" max="12801" width="9.140625" style="140"/>
    <col min="12802" max="12802" width="2.7109375" style="140" customWidth="1"/>
    <col min="12803" max="12803" width="9.140625" style="140"/>
    <col min="12804" max="12804" width="40.28515625" style="140" bestFit="1" customWidth="1"/>
    <col min="12805" max="12805" width="12.85546875" style="140" customWidth="1"/>
    <col min="12806" max="12806" width="10" style="140" customWidth="1"/>
    <col min="12807" max="12807" width="19.42578125" style="140" customWidth="1"/>
    <col min="12808" max="12808" width="7.7109375" style="140" customWidth="1"/>
    <col min="12809" max="12809" width="12.28515625" style="140" customWidth="1"/>
    <col min="12810" max="12810" width="12.7109375" style="140" customWidth="1"/>
    <col min="12811" max="12811" width="13.5703125" style="140" customWidth="1"/>
    <col min="12812" max="12812" width="11.85546875" style="140" customWidth="1"/>
    <col min="12813" max="13057" width="9.140625" style="140"/>
    <col min="13058" max="13058" width="2.7109375" style="140" customWidth="1"/>
    <col min="13059" max="13059" width="9.140625" style="140"/>
    <col min="13060" max="13060" width="40.28515625" style="140" bestFit="1" customWidth="1"/>
    <col min="13061" max="13061" width="12.85546875" style="140" customWidth="1"/>
    <col min="13062" max="13062" width="10" style="140" customWidth="1"/>
    <col min="13063" max="13063" width="19.42578125" style="140" customWidth="1"/>
    <col min="13064" max="13064" width="7.7109375" style="140" customWidth="1"/>
    <col min="13065" max="13065" width="12.28515625" style="140" customWidth="1"/>
    <col min="13066" max="13066" width="12.7109375" style="140" customWidth="1"/>
    <col min="13067" max="13067" width="13.5703125" style="140" customWidth="1"/>
    <col min="13068" max="13068" width="11.85546875" style="140" customWidth="1"/>
    <col min="13069" max="13313" width="9.140625" style="140"/>
    <col min="13314" max="13314" width="2.7109375" style="140" customWidth="1"/>
    <col min="13315" max="13315" width="9.140625" style="140"/>
    <col min="13316" max="13316" width="40.28515625" style="140" bestFit="1" customWidth="1"/>
    <col min="13317" max="13317" width="12.85546875" style="140" customWidth="1"/>
    <col min="13318" max="13318" width="10" style="140" customWidth="1"/>
    <col min="13319" max="13319" width="19.42578125" style="140" customWidth="1"/>
    <col min="13320" max="13320" width="7.7109375" style="140" customWidth="1"/>
    <col min="13321" max="13321" width="12.28515625" style="140" customWidth="1"/>
    <col min="13322" max="13322" width="12.7109375" style="140" customWidth="1"/>
    <col min="13323" max="13323" width="13.5703125" style="140" customWidth="1"/>
    <col min="13324" max="13324" width="11.85546875" style="140" customWidth="1"/>
    <col min="13325" max="13569" width="9.140625" style="140"/>
    <col min="13570" max="13570" width="2.7109375" style="140" customWidth="1"/>
    <col min="13571" max="13571" width="9.140625" style="140"/>
    <col min="13572" max="13572" width="40.28515625" style="140" bestFit="1" customWidth="1"/>
    <col min="13573" max="13573" width="12.85546875" style="140" customWidth="1"/>
    <col min="13574" max="13574" width="10" style="140" customWidth="1"/>
    <col min="13575" max="13575" width="19.42578125" style="140" customWidth="1"/>
    <col min="13576" max="13576" width="7.7109375" style="140" customWidth="1"/>
    <col min="13577" max="13577" width="12.28515625" style="140" customWidth="1"/>
    <col min="13578" max="13578" width="12.7109375" style="140" customWidth="1"/>
    <col min="13579" max="13579" width="13.5703125" style="140" customWidth="1"/>
    <col min="13580" max="13580" width="11.85546875" style="140" customWidth="1"/>
    <col min="13581" max="13825" width="9.140625" style="140"/>
    <col min="13826" max="13826" width="2.7109375" style="140" customWidth="1"/>
    <col min="13827" max="13827" width="9.140625" style="140"/>
    <col min="13828" max="13828" width="40.28515625" style="140" bestFit="1" customWidth="1"/>
    <col min="13829" max="13829" width="12.85546875" style="140" customWidth="1"/>
    <col min="13830" max="13830" width="10" style="140" customWidth="1"/>
    <col min="13831" max="13831" width="19.42578125" style="140" customWidth="1"/>
    <col min="13832" max="13832" width="7.7109375" style="140" customWidth="1"/>
    <col min="13833" max="13833" width="12.28515625" style="140" customWidth="1"/>
    <col min="13834" max="13834" width="12.7109375" style="140" customWidth="1"/>
    <col min="13835" max="13835" width="13.5703125" style="140" customWidth="1"/>
    <col min="13836" max="13836" width="11.85546875" style="140" customWidth="1"/>
    <col min="13837" max="14081" width="9.140625" style="140"/>
    <col min="14082" max="14082" width="2.7109375" style="140" customWidth="1"/>
    <col min="14083" max="14083" width="9.140625" style="140"/>
    <col min="14084" max="14084" width="40.28515625" style="140" bestFit="1" customWidth="1"/>
    <col min="14085" max="14085" width="12.85546875" style="140" customWidth="1"/>
    <col min="14086" max="14086" width="10" style="140" customWidth="1"/>
    <col min="14087" max="14087" width="19.42578125" style="140" customWidth="1"/>
    <col min="14088" max="14088" width="7.7109375" style="140" customWidth="1"/>
    <col min="14089" max="14089" width="12.28515625" style="140" customWidth="1"/>
    <col min="14090" max="14090" width="12.7109375" style="140" customWidth="1"/>
    <col min="14091" max="14091" width="13.5703125" style="140" customWidth="1"/>
    <col min="14092" max="14092" width="11.85546875" style="140" customWidth="1"/>
    <col min="14093" max="14337" width="9.140625" style="140"/>
    <col min="14338" max="14338" width="2.7109375" style="140" customWidth="1"/>
    <col min="14339" max="14339" width="9.140625" style="140"/>
    <col min="14340" max="14340" width="40.28515625" style="140" bestFit="1" customWidth="1"/>
    <col min="14341" max="14341" width="12.85546875" style="140" customWidth="1"/>
    <col min="14342" max="14342" width="10" style="140" customWidth="1"/>
    <col min="14343" max="14343" width="19.42578125" style="140" customWidth="1"/>
    <col min="14344" max="14344" width="7.7109375" style="140" customWidth="1"/>
    <col min="14345" max="14345" width="12.28515625" style="140" customWidth="1"/>
    <col min="14346" max="14346" width="12.7109375" style="140" customWidth="1"/>
    <col min="14347" max="14347" width="13.5703125" style="140" customWidth="1"/>
    <col min="14348" max="14348" width="11.85546875" style="140" customWidth="1"/>
    <col min="14349" max="14593" width="9.140625" style="140"/>
    <col min="14594" max="14594" width="2.7109375" style="140" customWidth="1"/>
    <col min="14595" max="14595" width="9.140625" style="140"/>
    <col min="14596" max="14596" width="40.28515625" style="140" bestFit="1" customWidth="1"/>
    <col min="14597" max="14597" width="12.85546875" style="140" customWidth="1"/>
    <col min="14598" max="14598" width="10" style="140" customWidth="1"/>
    <col min="14599" max="14599" width="19.42578125" style="140" customWidth="1"/>
    <col min="14600" max="14600" width="7.7109375" style="140" customWidth="1"/>
    <col min="14601" max="14601" width="12.28515625" style="140" customWidth="1"/>
    <col min="14602" max="14602" width="12.7109375" style="140" customWidth="1"/>
    <col min="14603" max="14603" width="13.5703125" style="140" customWidth="1"/>
    <col min="14604" max="14604" width="11.85546875" style="140" customWidth="1"/>
    <col min="14605" max="14849" width="9.140625" style="140"/>
    <col min="14850" max="14850" width="2.7109375" style="140" customWidth="1"/>
    <col min="14851" max="14851" width="9.140625" style="140"/>
    <col min="14852" max="14852" width="40.28515625" style="140" bestFit="1" customWidth="1"/>
    <col min="14853" max="14853" width="12.85546875" style="140" customWidth="1"/>
    <col min="14854" max="14854" width="10" style="140" customWidth="1"/>
    <col min="14855" max="14855" width="19.42578125" style="140" customWidth="1"/>
    <col min="14856" max="14856" width="7.7109375" style="140" customWidth="1"/>
    <col min="14857" max="14857" width="12.28515625" style="140" customWidth="1"/>
    <col min="14858" max="14858" width="12.7109375" style="140" customWidth="1"/>
    <col min="14859" max="14859" width="13.5703125" style="140" customWidth="1"/>
    <col min="14860" max="14860" width="11.85546875" style="140" customWidth="1"/>
    <col min="14861" max="15105" width="9.140625" style="140"/>
    <col min="15106" max="15106" width="2.7109375" style="140" customWidth="1"/>
    <col min="15107" max="15107" width="9.140625" style="140"/>
    <col min="15108" max="15108" width="40.28515625" style="140" bestFit="1" customWidth="1"/>
    <col min="15109" max="15109" width="12.85546875" style="140" customWidth="1"/>
    <col min="15110" max="15110" width="10" style="140" customWidth="1"/>
    <col min="15111" max="15111" width="19.42578125" style="140" customWidth="1"/>
    <col min="15112" max="15112" width="7.7109375" style="140" customWidth="1"/>
    <col min="15113" max="15113" width="12.28515625" style="140" customWidth="1"/>
    <col min="15114" max="15114" width="12.7109375" style="140" customWidth="1"/>
    <col min="15115" max="15115" width="13.5703125" style="140" customWidth="1"/>
    <col min="15116" max="15116" width="11.85546875" style="140" customWidth="1"/>
    <col min="15117" max="15361" width="9.140625" style="140"/>
    <col min="15362" max="15362" width="2.7109375" style="140" customWidth="1"/>
    <col min="15363" max="15363" width="9.140625" style="140"/>
    <col min="15364" max="15364" width="40.28515625" style="140" bestFit="1" customWidth="1"/>
    <col min="15365" max="15365" width="12.85546875" style="140" customWidth="1"/>
    <col min="15366" max="15366" width="10" style="140" customWidth="1"/>
    <col min="15367" max="15367" width="19.42578125" style="140" customWidth="1"/>
    <col min="15368" max="15368" width="7.7109375" style="140" customWidth="1"/>
    <col min="15369" max="15369" width="12.28515625" style="140" customWidth="1"/>
    <col min="15370" max="15370" width="12.7109375" style="140" customWidth="1"/>
    <col min="15371" max="15371" width="13.5703125" style="140" customWidth="1"/>
    <col min="15372" max="15372" width="11.85546875" style="140" customWidth="1"/>
    <col min="15373" max="15617" width="9.140625" style="140"/>
    <col min="15618" max="15618" width="2.7109375" style="140" customWidth="1"/>
    <col min="15619" max="15619" width="9.140625" style="140"/>
    <col min="15620" max="15620" width="40.28515625" style="140" bestFit="1" customWidth="1"/>
    <col min="15621" max="15621" width="12.85546875" style="140" customWidth="1"/>
    <col min="15622" max="15622" width="10" style="140" customWidth="1"/>
    <col min="15623" max="15623" width="19.42578125" style="140" customWidth="1"/>
    <col min="15624" max="15624" width="7.7109375" style="140" customWidth="1"/>
    <col min="15625" max="15625" width="12.28515625" style="140" customWidth="1"/>
    <col min="15626" max="15626" width="12.7109375" style="140" customWidth="1"/>
    <col min="15627" max="15627" width="13.5703125" style="140" customWidth="1"/>
    <col min="15628" max="15628" width="11.85546875" style="140" customWidth="1"/>
    <col min="15629" max="15873" width="9.140625" style="140"/>
    <col min="15874" max="15874" width="2.7109375" style="140" customWidth="1"/>
    <col min="15875" max="15875" width="9.140625" style="140"/>
    <col min="15876" max="15876" width="40.28515625" style="140" bestFit="1" customWidth="1"/>
    <col min="15877" max="15877" width="12.85546875" style="140" customWidth="1"/>
    <col min="15878" max="15878" width="10" style="140" customWidth="1"/>
    <col min="15879" max="15879" width="19.42578125" style="140" customWidth="1"/>
    <col min="15880" max="15880" width="7.7109375" style="140" customWidth="1"/>
    <col min="15881" max="15881" width="12.28515625" style="140" customWidth="1"/>
    <col min="15882" max="15882" width="12.7109375" style="140" customWidth="1"/>
    <col min="15883" max="15883" width="13.5703125" style="140" customWidth="1"/>
    <col min="15884" max="15884" width="11.85546875" style="140" customWidth="1"/>
    <col min="15885" max="16129" width="9.140625" style="140"/>
    <col min="16130" max="16130" width="2.7109375" style="140" customWidth="1"/>
    <col min="16131" max="16131" width="9.140625" style="140"/>
    <col min="16132" max="16132" width="40.28515625" style="140" bestFit="1" customWidth="1"/>
    <col min="16133" max="16133" width="12.85546875" style="140" customWidth="1"/>
    <col min="16134" max="16134" width="10" style="140" customWidth="1"/>
    <col min="16135" max="16135" width="19.42578125" style="140" customWidth="1"/>
    <col min="16136" max="16136" width="7.7109375" style="140" customWidth="1"/>
    <col min="16137" max="16137" width="12.28515625" style="140" customWidth="1"/>
    <col min="16138" max="16138" width="12.7109375" style="140" customWidth="1"/>
    <col min="16139" max="16139" width="13.5703125" style="140" customWidth="1"/>
    <col min="16140" max="16140" width="11.85546875" style="140" customWidth="1"/>
    <col min="16141" max="16384" width="9.140625" style="140"/>
  </cols>
  <sheetData>
    <row r="1" spans="1:13" x14ac:dyDescent="0.2">
      <c r="G1" s="388"/>
      <c r="H1" s="389"/>
      <c r="I1" s="337"/>
      <c r="J1" s="388"/>
      <c r="K1" s="390" t="s">
        <v>394</v>
      </c>
      <c r="L1" s="1513" t="str">
        <f>EBNUMBER</f>
        <v>EB-2015-0089</v>
      </c>
      <c r="M1" s="337"/>
    </row>
    <row r="2" spans="1:13" x14ac:dyDescent="0.2">
      <c r="G2" s="388"/>
      <c r="H2" s="389"/>
      <c r="I2" s="337"/>
      <c r="J2" s="388"/>
      <c r="K2" s="390" t="s">
        <v>395</v>
      </c>
      <c r="L2" s="391"/>
      <c r="M2" s="337"/>
    </row>
    <row r="3" spans="1:13" x14ac:dyDescent="0.2">
      <c r="G3" s="388"/>
      <c r="H3" s="389"/>
      <c r="I3" s="337"/>
      <c r="J3" s="388"/>
      <c r="K3" s="390" t="s">
        <v>396</v>
      </c>
      <c r="L3" s="391"/>
      <c r="M3" s="337"/>
    </row>
    <row r="4" spans="1:13" x14ac:dyDescent="0.2">
      <c r="G4" s="388"/>
      <c r="H4" s="389"/>
      <c r="I4" s="337"/>
      <c r="J4" s="388"/>
      <c r="K4" s="390" t="s">
        <v>397</v>
      </c>
      <c r="L4" s="391"/>
      <c r="M4" s="337"/>
    </row>
    <row r="5" spans="1:13" x14ac:dyDescent="0.2">
      <c r="G5" s="388"/>
      <c r="H5" s="389"/>
      <c r="I5" s="337"/>
      <c r="J5" s="388"/>
      <c r="K5" s="390" t="s">
        <v>398</v>
      </c>
      <c r="L5" s="392"/>
      <c r="M5" s="337"/>
    </row>
    <row r="6" spans="1:13" x14ac:dyDescent="0.2">
      <c r="G6" s="388"/>
      <c r="H6" s="389"/>
      <c r="I6" s="337"/>
      <c r="J6" s="388"/>
      <c r="K6" s="390"/>
      <c r="L6" s="393"/>
      <c r="M6" s="337"/>
    </row>
    <row r="7" spans="1:13" x14ac:dyDescent="0.2">
      <c r="G7" s="388"/>
      <c r="H7" s="389"/>
      <c r="I7" s="337"/>
      <c r="J7" s="388"/>
      <c r="K7" s="390" t="s">
        <v>399</v>
      </c>
      <c r="L7" s="392"/>
      <c r="M7" s="394"/>
    </row>
    <row r="9" spans="1:13" ht="18" x14ac:dyDescent="0.25">
      <c r="A9" s="1979" t="s">
        <v>581</v>
      </c>
      <c r="B9" s="1979"/>
      <c r="C9" s="1979"/>
      <c r="D9" s="1979"/>
      <c r="E9" s="1979"/>
      <c r="F9" s="1979"/>
      <c r="G9" s="1979"/>
      <c r="H9" s="1979"/>
      <c r="I9" s="1979"/>
      <c r="J9" s="1979"/>
      <c r="K9" s="1979"/>
      <c r="L9" s="1979"/>
    </row>
    <row r="10" spans="1:13" ht="18" x14ac:dyDescent="0.25">
      <c r="A10" s="1979" t="s">
        <v>3</v>
      </c>
      <c r="B10" s="1979"/>
      <c r="C10" s="1979"/>
      <c r="D10" s="1979"/>
      <c r="E10" s="1979"/>
      <c r="F10" s="1979"/>
      <c r="G10" s="1979"/>
      <c r="H10" s="1979"/>
      <c r="I10" s="1979"/>
      <c r="J10" s="1979"/>
      <c r="K10" s="1979"/>
      <c r="L10" s="1979"/>
    </row>
    <row r="11" spans="1:13" ht="30" customHeight="1" x14ac:dyDescent="0.2">
      <c r="A11" s="395"/>
      <c r="B11" s="2076" t="s">
        <v>1854</v>
      </c>
      <c r="C11" s="2076"/>
      <c r="D11" s="2076"/>
      <c r="E11" s="2076"/>
      <c r="F11" s="2076"/>
      <c r="G11" s="2076"/>
      <c r="H11" s="2076"/>
      <c r="I11" s="2076"/>
      <c r="J11" s="2076"/>
      <c r="K11" s="2076"/>
      <c r="L11" s="395"/>
    </row>
    <row r="12" spans="1:13" ht="22.5" customHeight="1" x14ac:dyDescent="0.2">
      <c r="A12" s="395"/>
      <c r="B12" s="1479"/>
      <c r="C12" s="1479"/>
      <c r="D12" s="1479"/>
      <c r="E12" s="1479"/>
      <c r="F12" s="1479"/>
      <c r="G12" s="1479"/>
      <c r="H12" s="1479"/>
      <c r="I12" s="1479"/>
      <c r="J12" s="1479"/>
      <c r="K12" s="1479"/>
      <c r="L12" s="395"/>
    </row>
    <row r="13" spans="1:13" ht="13.5" customHeight="1" x14ac:dyDescent="0.25">
      <c r="A13" s="1467"/>
      <c r="B13" s="1467"/>
      <c r="C13" s="396" t="s">
        <v>39</v>
      </c>
      <c r="D13" s="397">
        <v>2012</v>
      </c>
      <c r="E13" s="398" t="s">
        <v>1587</v>
      </c>
      <c r="F13" s="140"/>
      <c r="G13" s="140"/>
      <c r="H13" s="399"/>
      <c r="I13" s="1467"/>
      <c r="J13" s="400"/>
    </row>
    <row r="14" spans="1:13" ht="15" customHeight="1" thickBot="1" x14ac:dyDescent="0.25"/>
    <row r="15" spans="1:13" ht="61.5" customHeight="1" x14ac:dyDescent="0.2">
      <c r="A15" s="2070" t="s">
        <v>4</v>
      </c>
      <c r="B15" s="2072" t="s">
        <v>324</v>
      </c>
      <c r="C15" s="402" t="s">
        <v>613</v>
      </c>
      <c r="D15" s="402" t="s">
        <v>608</v>
      </c>
      <c r="E15" s="402" t="s">
        <v>609</v>
      </c>
      <c r="F15" s="402" t="s">
        <v>326</v>
      </c>
      <c r="G15" s="402" t="s">
        <v>1826</v>
      </c>
      <c r="H15" s="403" t="s">
        <v>7</v>
      </c>
      <c r="I15" s="404" t="s">
        <v>391</v>
      </c>
      <c r="J15" s="405" t="s">
        <v>10</v>
      </c>
      <c r="K15" s="2074" t="s">
        <v>1602</v>
      </c>
      <c r="L15" s="405" t="s">
        <v>482</v>
      </c>
    </row>
    <row r="16" spans="1:13" ht="25.5" customHeight="1" x14ac:dyDescent="0.2">
      <c r="A16" s="2071"/>
      <c r="B16" s="2073"/>
      <c r="C16" s="406" t="s">
        <v>5</v>
      </c>
      <c r="D16" s="406" t="s">
        <v>610</v>
      </c>
      <c r="E16" s="406" t="s">
        <v>611</v>
      </c>
      <c r="F16" s="406" t="s">
        <v>6</v>
      </c>
      <c r="G16" s="407" t="s">
        <v>1827</v>
      </c>
      <c r="H16" s="408" t="s">
        <v>8</v>
      </c>
      <c r="I16" s="409" t="s">
        <v>9</v>
      </c>
      <c r="J16" s="410" t="s">
        <v>11</v>
      </c>
      <c r="K16" s="2075"/>
      <c r="L16" s="410" t="s">
        <v>476</v>
      </c>
    </row>
    <row r="17" spans="1:12" ht="25.5" x14ac:dyDescent="0.2">
      <c r="A17" s="1477">
        <v>1611</v>
      </c>
      <c r="B17" s="355" t="s">
        <v>475</v>
      </c>
      <c r="C17" s="356"/>
      <c r="D17" s="356"/>
      <c r="E17" s="357">
        <f>C17-D17</f>
        <v>0</v>
      </c>
      <c r="F17" s="356"/>
      <c r="G17" s="357">
        <f>E17+0.5*F17</f>
        <v>0</v>
      </c>
      <c r="H17" s="411"/>
      <c r="I17" s="412">
        <f t="shared" ref="I17:I54" si="0">IF(H17=0,0,1/H17)</f>
        <v>0</v>
      </c>
      <c r="J17" s="357">
        <f t="shared" ref="J17:J54" si="1">IF(H17=0,0,G17/H17)</f>
        <v>0</v>
      </c>
      <c r="K17" s="356"/>
      <c r="L17" s="357">
        <f t="shared" ref="L17:L54" si="2">IF(ISERROR(+J17-K17), 0, +J17-K17)</f>
        <v>0</v>
      </c>
    </row>
    <row r="18" spans="1:12" x14ac:dyDescent="0.2">
      <c r="A18" s="1477">
        <v>1612</v>
      </c>
      <c r="B18" s="355" t="s">
        <v>563</v>
      </c>
      <c r="C18" s="356"/>
      <c r="D18" s="356"/>
      <c r="E18" s="357">
        <f t="shared" ref="E18:E54" si="3">C18-D18</f>
        <v>0</v>
      </c>
      <c r="F18" s="356"/>
      <c r="G18" s="357">
        <f t="shared" ref="G18:G54" si="4">E18+0.5*F18</f>
        <v>0</v>
      </c>
      <c r="H18" s="411"/>
      <c r="I18" s="413">
        <f t="shared" si="0"/>
        <v>0</v>
      </c>
      <c r="J18" s="357">
        <f t="shared" si="1"/>
        <v>0</v>
      </c>
      <c r="K18" s="356"/>
      <c r="L18" s="357">
        <f t="shared" si="2"/>
        <v>0</v>
      </c>
    </row>
    <row r="19" spans="1:12" x14ac:dyDescent="0.2">
      <c r="A19" s="414">
        <v>1805</v>
      </c>
      <c r="B19" s="362" t="s">
        <v>358</v>
      </c>
      <c r="C19" s="356"/>
      <c r="D19" s="356"/>
      <c r="E19" s="357">
        <f t="shared" si="3"/>
        <v>0</v>
      </c>
      <c r="F19" s="356"/>
      <c r="G19" s="357">
        <f t="shared" si="4"/>
        <v>0</v>
      </c>
      <c r="H19" s="411"/>
      <c r="I19" s="413">
        <f t="shared" si="0"/>
        <v>0</v>
      </c>
      <c r="J19" s="357">
        <f t="shared" si="1"/>
        <v>0</v>
      </c>
      <c r="K19" s="356"/>
      <c r="L19" s="357">
        <f t="shared" si="2"/>
        <v>0</v>
      </c>
    </row>
    <row r="20" spans="1:12" x14ac:dyDescent="0.2">
      <c r="A20" s="1477">
        <v>1808</v>
      </c>
      <c r="B20" s="363" t="s">
        <v>359</v>
      </c>
      <c r="C20" s="356"/>
      <c r="D20" s="356"/>
      <c r="E20" s="357">
        <f t="shared" si="3"/>
        <v>0</v>
      </c>
      <c r="F20" s="356"/>
      <c r="G20" s="357">
        <f t="shared" si="4"/>
        <v>0</v>
      </c>
      <c r="H20" s="411"/>
      <c r="I20" s="413">
        <f t="shared" si="0"/>
        <v>0</v>
      </c>
      <c r="J20" s="357">
        <f t="shared" si="1"/>
        <v>0</v>
      </c>
      <c r="K20" s="356"/>
      <c r="L20" s="357">
        <f t="shared" si="2"/>
        <v>0</v>
      </c>
    </row>
    <row r="21" spans="1:12" x14ac:dyDescent="0.2">
      <c r="A21" s="1477">
        <v>1810</v>
      </c>
      <c r="B21" s="363" t="s">
        <v>392</v>
      </c>
      <c r="C21" s="356"/>
      <c r="D21" s="356"/>
      <c r="E21" s="357">
        <f t="shared" si="3"/>
        <v>0</v>
      </c>
      <c r="F21" s="356"/>
      <c r="G21" s="357">
        <f t="shared" si="4"/>
        <v>0</v>
      </c>
      <c r="H21" s="411"/>
      <c r="I21" s="413">
        <f t="shared" si="0"/>
        <v>0</v>
      </c>
      <c r="J21" s="357">
        <f t="shared" si="1"/>
        <v>0</v>
      </c>
      <c r="K21" s="356"/>
      <c r="L21" s="357">
        <f t="shared" si="2"/>
        <v>0</v>
      </c>
    </row>
    <row r="22" spans="1:12" x14ac:dyDescent="0.2">
      <c r="A22" s="1477">
        <v>1815</v>
      </c>
      <c r="B22" s="363" t="s">
        <v>360</v>
      </c>
      <c r="C22" s="356"/>
      <c r="D22" s="356"/>
      <c r="E22" s="357">
        <f t="shared" si="3"/>
        <v>0</v>
      </c>
      <c r="F22" s="356"/>
      <c r="G22" s="357">
        <f t="shared" si="4"/>
        <v>0</v>
      </c>
      <c r="H22" s="411"/>
      <c r="I22" s="413">
        <f t="shared" si="0"/>
        <v>0</v>
      </c>
      <c r="J22" s="357">
        <f t="shared" si="1"/>
        <v>0</v>
      </c>
      <c r="K22" s="356"/>
      <c r="L22" s="357">
        <f t="shared" si="2"/>
        <v>0</v>
      </c>
    </row>
    <row r="23" spans="1:12" x14ac:dyDescent="0.2">
      <c r="A23" s="1477">
        <v>1820</v>
      </c>
      <c r="B23" s="355" t="s">
        <v>287</v>
      </c>
      <c r="C23" s="356"/>
      <c r="D23" s="356"/>
      <c r="E23" s="357">
        <f t="shared" si="3"/>
        <v>0</v>
      </c>
      <c r="F23" s="356"/>
      <c r="G23" s="357">
        <f t="shared" si="4"/>
        <v>0</v>
      </c>
      <c r="H23" s="411"/>
      <c r="I23" s="413">
        <f t="shared" si="0"/>
        <v>0</v>
      </c>
      <c r="J23" s="357">
        <f t="shared" si="1"/>
        <v>0</v>
      </c>
      <c r="K23" s="356"/>
      <c r="L23" s="357">
        <f t="shared" si="2"/>
        <v>0</v>
      </c>
    </row>
    <row r="24" spans="1:12" x14ac:dyDescent="0.2">
      <c r="A24" s="1477">
        <v>1825</v>
      </c>
      <c r="B24" s="363" t="s">
        <v>361</v>
      </c>
      <c r="C24" s="356"/>
      <c r="D24" s="356"/>
      <c r="E24" s="357">
        <f t="shared" si="3"/>
        <v>0</v>
      </c>
      <c r="F24" s="356"/>
      <c r="G24" s="357">
        <f t="shared" si="4"/>
        <v>0</v>
      </c>
      <c r="H24" s="411"/>
      <c r="I24" s="413">
        <f t="shared" si="0"/>
        <v>0</v>
      </c>
      <c r="J24" s="357">
        <f t="shared" si="1"/>
        <v>0</v>
      </c>
      <c r="K24" s="356"/>
      <c r="L24" s="357">
        <f t="shared" si="2"/>
        <v>0</v>
      </c>
    </row>
    <row r="25" spans="1:12" x14ac:dyDescent="0.2">
      <c r="A25" s="1477">
        <v>1830</v>
      </c>
      <c r="B25" s="363" t="s">
        <v>362</v>
      </c>
      <c r="C25" s="356"/>
      <c r="D25" s="356"/>
      <c r="E25" s="357">
        <f t="shared" si="3"/>
        <v>0</v>
      </c>
      <c r="F25" s="356"/>
      <c r="G25" s="357">
        <f t="shared" si="4"/>
        <v>0</v>
      </c>
      <c r="H25" s="411"/>
      <c r="I25" s="413">
        <f t="shared" si="0"/>
        <v>0</v>
      </c>
      <c r="J25" s="357">
        <f t="shared" si="1"/>
        <v>0</v>
      </c>
      <c r="K25" s="356"/>
      <c r="L25" s="357">
        <f t="shared" si="2"/>
        <v>0</v>
      </c>
    </row>
    <row r="26" spans="1:12" x14ac:dyDescent="0.2">
      <c r="A26" s="1477">
        <v>1835</v>
      </c>
      <c r="B26" s="363" t="s">
        <v>288</v>
      </c>
      <c r="C26" s="356"/>
      <c r="D26" s="356"/>
      <c r="E26" s="357">
        <f t="shared" si="3"/>
        <v>0</v>
      </c>
      <c r="F26" s="356"/>
      <c r="G26" s="357">
        <f t="shared" si="4"/>
        <v>0</v>
      </c>
      <c r="H26" s="411"/>
      <c r="I26" s="413">
        <f t="shared" si="0"/>
        <v>0</v>
      </c>
      <c r="J26" s="357">
        <f t="shared" si="1"/>
        <v>0</v>
      </c>
      <c r="K26" s="356"/>
      <c r="L26" s="357">
        <f t="shared" si="2"/>
        <v>0</v>
      </c>
    </row>
    <row r="27" spans="1:12" x14ac:dyDescent="0.2">
      <c r="A27" s="1477">
        <v>1840</v>
      </c>
      <c r="B27" s="363" t="s">
        <v>289</v>
      </c>
      <c r="C27" s="356"/>
      <c r="D27" s="356"/>
      <c r="E27" s="357">
        <f t="shared" si="3"/>
        <v>0</v>
      </c>
      <c r="F27" s="356"/>
      <c r="G27" s="357">
        <f t="shared" si="4"/>
        <v>0</v>
      </c>
      <c r="H27" s="411"/>
      <c r="I27" s="413">
        <f t="shared" si="0"/>
        <v>0</v>
      </c>
      <c r="J27" s="357">
        <f t="shared" si="1"/>
        <v>0</v>
      </c>
      <c r="K27" s="356"/>
      <c r="L27" s="357">
        <f t="shared" si="2"/>
        <v>0</v>
      </c>
    </row>
    <row r="28" spans="1:12" x14ac:dyDescent="0.2">
      <c r="A28" s="1477">
        <v>1845</v>
      </c>
      <c r="B28" s="363" t="s">
        <v>290</v>
      </c>
      <c r="C28" s="356"/>
      <c r="D28" s="356"/>
      <c r="E28" s="357">
        <f t="shared" si="3"/>
        <v>0</v>
      </c>
      <c r="F28" s="356"/>
      <c r="G28" s="357">
        <f t="shared" si="4"/>
        <v>0</v>
      </c>
      <c r="H28" s="411"/>
      <c r="I28" s="413">
        <f t="shared" si="0"/>
        <v>0</v>
      </c>
      <c r="J28" s="357">
        <f t="shared" si="1"/>
        <v>0</v>
      </c>
      <c r="K28" s="356"/>
      <c r="L28" s="357">
        <f t="shared" si="2"/>
        <v>0</v>
      </c>
    </row>
    <row r="29" spans="1:12" x14ac:dyDescent="0.2">
      <c r="A29" s="1477">
        <v>1850</v>
      </c>
      <c r="B29" s="363" t="s">
        <v>363</v>
      </c>
      <c r="C29" s="356"/>
      <c r="D29" s="356"/>
      <c r="E29" s="357">
        <f t="shared" si="3"/>
        <v>0</v>
      </c>
      <c r="F29" s="356"/>
      <c r="G29" s="357">
        <f t="shared" si="4"/>
        <v>0</v>
      </c>
      <c r="H29" s="411"/>
      <c r="I29" s="413">
        <f t="shared" si="0"/>
        <v>0</v>
      </c>
      <c r="J29" s="357">
        <f t="shared" si="1"/>
        <v>0</v>
      </c>
      <c r="K29" s="356"/>
      <c r="L29" s="357">
        <f t="shared" si="2"/>
        <v>0</v>
      </c>
    </row>
    <row r="30" spans="1:12" x14ac:dyDescent="0.2">
      <c r="A30" s="1477">
        <v>1855</v>
      </c>
      <c r="B30" s="363" t="s">
        <v>291</v>
      </c>
      <c r="C30" s="356"/>
      <c r="D30" s="356"/>
      <c r="E30" s="357">
        <f t="shared" si="3"/>
        <v>0</v>
      </c>
      <c r="F30" s="356"/>
      <c r="G30" s="357">
        <f t="shared" si="4"/>
        <v>0</v>
      </c>
      <c r="H30" s="411"/>
      <c r="I30" s="413">
        <f t="shared" si="0"/>
        <v>0</v>
      </c>
      <c r="J30" s="357">
        <f t="shared" si="1"/>
        <v>0</v>
      </c>
      <c r="K30" s="356"/>
      <c r="L30" s="357">
        <f t="shared" si="2"/>
        <v>0</v>
      </c>
    </row>
    <row r="31" spans="1:12" x14ac:dyDescent="0.2">
      <c r="A31" s="1477">
        <v>1860</v>
      </c>
      <c r="B31" s="363" t="s">
        <v>364</v>
      </c>
      <c r="C31" s="356"/>
      <c r="D31" s="356"/>
      <c r="E31" s="357">
        <f t="shared" si="3"/>
        <v>0</v>
      </c>
      <c r="F31" s="356"/>
      <c r="G31" s="357">
        <f t="shared" si="4"/>
        <v>0</v>
      </c>
      <c r="H31" s="411"/>
      <c r="I31" s="413">
        <f t="shared" si="0"/>
        <v>0</v>
      </c>
      <c r="J31" s="357">
        <f t="shared" si="1"/>
        <v>0</v>
      </c>
      <c r="K31" s="356"/>
      <c r="L31" s="357">
        <f t="shared" si="2"/>
        <v>0</v>
      </c>
    </row>
    <row r="32" spans="1:12" x14ac:dyDescent="0.2">
      <c r="A32" s="414">
        <v>1860</v>
      </c>
      <c r="B32" s="362" t="s">
        <v>292</v>
      </c>
      <c r="C32" s="356"/>
      <c r="D32" s="356"/>
      <c r="E32" s="357">
        <f t="shared" si="3"/>
        <v>0</v>
      </c>
      <c r="F32" s="356"/>
      <c r="G32" s="357">
        <f t="shared" si="4"/>
        <v>0</v>
      </c>
      <c r="H32" s="411"/>
      <c r="I32" s="413">
        <f t="shared" si="0"/>
        <v>0</v>
      </c>
      <c r="J32" s="357">
        <f t="shared" si="1"/>
        <v>0</v>
      </c>
      <c r="K32" s="356"/>
      <c r="L32" s="357">
        <f t="shared" si="2"/>
        <v>0</v>
      </c>
    </row>
    <row r="33" spans="1:12" x14ac:dyDescent="0.2">
      <c r="A33" s="414">
        <v>1905</v>
      </c>
      <c r="B33" s="362" t="s">
        <v>358</v>
      </c>
      <c r="C33" s="356"/>
      <c r="D33" s="356"/>
      <c r="E33" s="357">
        <f t="shared" si="3"/>
        <v>0</v>
      </c>
      <c r="F33" s="356"/>
      <c r="G33" s="357">
        <f t="shared" si="4"/>
        <v>0</v>
      </c>
      <c r="H33" s="411"/>
      <c r="I33" s="413">
        <f t="shared" si="0"/>
        <v>0</v>
      </c>
      <c r="J33" s="357">
        <f t="shared" si="1"/>
        <v>0</v>
      </c>
      <c r="K33" s="356"/>
      <c r="L33" s="357">
        <f t="shared" si="2"/>
        <v>0</v>
      </c>
    </row>
    <row r="34" spans="1:12" x14ac:dyDescent="0.2">
      <c r="A34" s="1477">
        <v>1908</v>
      </c>
      <c r="B34" s="363" t="s">
        <v>366</v>
      </c>
      <c r="C34" s="356"/>
      <c r="D34" s="356"/>
      <c r="E34" s="357">
        <f t="shared" si="3"/>
        <v>0</v>
      </c>
      <c r="F34" s="356"/>
      <c r="G34" s="357">
        <f t="shared" si="4"/>
        <v>0</v>
      </c>
      <c r="H34" s="411"/>
      <c r="I34" s="413">
        <f t="shared" si="0"/>
        <v>0</v>
      </c>
      <c r="J34" s="357">
        <f t="shared" si="1"/>
        <v>0</v>
      </c>
      <c r="K34" s="356"/>
      <c r="L34" s="357">
        <f t="shared" si="2"/>
        <v>0</v>
      </c>
    </row>
    <row r="35" spans="1:12" x14ac:dyDescent="0.2">
      <c r="A35" s="1477">
        <v>1910</v>
      </c>
      <c r="B35" s="363" t="s">
        <v>392</v>
      </c>
      <c r="C35" s="356"/>
      <c r="D35" s="356"/>
      <c r="E35" s="357">
        <f t="shared" si="3"/>
        <v>0</v>
      </c>
      <c r="F35" s="356"/>
      <c r="G35" s="357">
        <f t="shared" si="4"/>
        <v>0</v>
      </c>
      <c r="H35" s="411"/>
      <c r="I35" s="413">
        <f t="shared" si="0"/>
        <v>0</v>
      </c>
      <c r="J35" s="357">
        <f t="shared" si="1"/>
        <v>0</v>
      </c>
      <c r="K35" s="356"/>
      <c r="L35" s="357">
        <f t="shared" si="2"/>
        <v>0</v>
      </c>
    </row>
    <row r="36" spans="1:12" x14ac:dyDescent="0.2">
      <c r="A36" s="1477">
        <v>1915</v>
      </c>
      <c r="B36" s="363" t="s">
        <v>293</v>
      </c>
      <c r="C36" s="356"/>
      <c r="D36" s="356"/>
      <c r="E36" s="357">
        <f t="shared" si="3"/>
        <v>0</v>
      </c>
      <c r="F36" s="356"/>
      <c r="G36" s="357">
        <f t="shared" si="4"/>
        <v>0</v>
      </c>
      <c r="H36" s="411"/>
      <c r="I36" s="413">
        <f t="shared" si="0"/>
        <v>0</v>
      </c>
      <c r="J36" s="357">
        <f t="shared" si="1"/>
        <v>0</v>
      </c>
      <c r="K36" s="356"/>
      <c r="L36" s="357">
        <f t="shared" si="2"/>
        <v>0</v>
      </c>
    </row>
    <row r="37" spans="1:12" x14ac:dyDescent="0.2">
      <c r="A37" s="1477">
        <v>1915</v>
      </c>
      <c r="B37" s="363" t="s">
        <v>294</v>
      </c>
      <c r="C37" s="356"/>
      <c r="D37" s="356"/>
      <c r="E37" s="357">
        <f t="shared" si="3"/>
        <v>0</v>
      </c>
      <c r="F37" s="356"/>
      <c r="G37" s="357">
        <f t="shared" si="4"/>
        <v>0</v>
      </c>
      <c r="H37" s="411"/>
      <c r="I37" s="413">
        <f t="shared" si="0"/>
        <v>0</v>
      </c>
      <c r="J37" s="357">
        <f t="shared" si="1"/>
        <v>0</v>
      </c>
      <c r="K37" s="356"/>
      <c r="L37" s="357">
        <f t="shared" si="2"/>
        <v>0</v>
      </c>
    </row>
    <row r="38" spans="1:12" x14ac:dyDescent="0.2">
      <c r="A38" s="1477">
        <v>1920</v>
      </c>
      <c r="B38" s="363" t="s">
        <v>295</v>
      </c>
      <c r="C38" s="356"/>
      <c r="D38" s="356"/>
      <c r="E38" s="357">
        <f t="shared" si="3"/>
        <v>0</v>
      </c>
      <c r="F38" s="356"/>
      <c r="G38" s="357">
        <f t="shared" si="4"/>
        <v>0</v>
      </c>
      <c r="H38" s="411"/>
      <c r="I38" s="413">
        <f t="shared" si="0"/>
        <v>0</v>
      </c>
      <c r="J38" s="357">
        <f t="shared" si="1"/>
        <v>0</v>
      </c>
      <c r="K38" s="356"/>
      <c r="L38" s="357">
        <f t="shared" si="2"/>
        <v>0</v>
      </c>
    </row>
    <row r="39" spans="1:12" x14ac:dyDescent="0.2">
      <c r="A39" s="415">
        <v>1920</v>
      </c>
      <c r="B39" s="355" t="s">
        <v>297</v>
      </c>
      <c r="C39" s="356"/>
      <c r="D39" s="356"/>
      <c r="E39" s="357">
        <f t="shared" si="3"/>
        <v>0</v>
      </c>
      <c r="F39" s="356"/>
      <c r="G39" s="357">
        <f t="shared" si="4"/>
        <v>0</v>
      </c>
      <c r="H39" s="411"/>
      <c r="I39" s="413">
        <f t="shared" si="0"/>
        <v>0</v>
      </c>
      <c r="J39" s="357">
        <f t="shared" si="1"/>
        <v>0</v>
      </c>
      <c r="K39" s="356"/>
      <c r="L39" s="357">
        <f t="shared" si="2"/>
        <v>0</v>
      </c>
    </row>
    <row r="40" spans="1:12" x14ac:dyDescent="0.2">
      <c r="A40" s="415">
        <v>1920</v>
      </c>
      <c r="B40" s="355" t="s">
        <v>296</v>
      </c>
      <c r="C40" s="356"/>
      <c r="D40" s="356"/>
      <c r="E40" s="357">
        <f t="shared" si="3"/>
        <v>0</v>
      </c>
      <c r="F40" s="356"/>
      <c r="G40" s="357">
        <f t="shared" si="4"/>
        <v>0</v>
      </c>
      <c r="H40" s="411"/>
      <c r="I40" s="413">
        <f t="shared" si="0"/>
        <v>0</v>
      </c>
      <c r="J40" s="357">
        <f t="shared" si="1"/>
        <v>0</v>
      </c>
      <c r="K40" s="356"/>
      <c r="L40" s="357">
        <f t="shared" si="2"/>
        <v>0</v>
      </c>
    </row>
    <row r="41" spans="1:12" x14ac:dyDescent="0.2">
      <c r="A41" s="1477">
        <v>1930</v>
      </c>
      <c r="B41" s="363" t="s">
        <v>379</v>
      </c>
      <c r="C41" s="356"/>
      <c r="D41" s="356"/>
      <c r="E41" s="357">
        <f t="shared" si="3"/>
        <v>0</v>
      </c>
      <c r="F41" s="356"/>
      <c r="G41" s="357">
        <f t="shared" si="4"/>
        <v>0</v>
      </c>
      <c r="H41" s="411"/>
      <c r="I41" s="413">
        <f t="shared" si="0"/>
        <v>0</v>
      </c>
      <c r="J41" s="357">
        <f t="shared" si="1"/>
        <v>0</v>
      </c>
      <c r="K41" s="356"/>
      <c r="L41" s="357">
        <f t="shared" si="2"/>
        <v>0</v>
      </c>
    </row>
    <row r="42" spans="1:12" x14ac:dyDescent="0.2">
      <c r="A42" s="1477">
        <v>1935</v>
      </c>
      <c r="B42" s="363" t="s">
        <v>380</v>
      </c>
      <c r="C42" s="356"/>
      <c r="D42" s="356"/>
      <c r="E42" s="357">
        <f t="shared" si="3"/>
        <v>0</v>
      </c>
      <c r="F42" s="356"/>
      <c r="G42" s="357">
        <f t="shared" si="4"/>
        <v>0</v>
      </c>
      <c r="H42" s="411"/>
      <c r="I42" s="413">
        <f t="shared" si="0"/>
        <v>0</v>
      </c>
      <c r="J42" s="357">
        <f t="shared" si="1"/>
        <v>0</v>
      </c>
      <c r="K42" s="356"/>
      <c r="L42" s="357">
        <f t="shared" si="2"/>
        <v>0</v>
      </c>
    </row>
    <row r="43" spans="1:12" x14ac:dyDescent="0.2">
      <c r="A43" s="1477">
        <v>1940</v>
      </c>
      <c r="B43" s="363" t="s">
        <v>381</v>
      </c>
      <c r="C43" s="356"/>
      <c r="D43" s="356"/>
      <c r="E43" s="357">
        <f t="shared" si="3"/>
        <v>0</v>
      </c>
      <c r="F43" s="356"/>
      <c r="G43" s="357">
        <f t="shared" si="4"/>
        <v>0</v>
      </c>
      <c r="H43" s="411"/>
      <c r="I43" s="413">
        <f t="shared" si="0"/>
        <v>0</v>
      </c>
      <c r="J43" s="357">
        <f t="shared" si="1"/>
        <v>0</v>
      </c>
      <c r="K43" s="356"/>
      <c r="L43" s="357">
        <f t="shared" si="2"/>
        <v>0</v>
      </c>
    </row>
    <row r="44" spans="1:12" x14ac:dyDescent="0.2">
      <c r="A44" s="1477">
        <v>1945</v>
      </c>
      <c r="B44" s="363" t="s">
        <v>382</v>
      </c>
      <c r="C44" s="356"/>
      <c r="D44" s="356"/>
      <c r="E44" s="357">
        <f t="shared" si="3"/>
        <v>0</v>
      </c>
      <c r="F44" s="356"/>
      <c r="G44" s="357">
        <f t="shared" si="4"/>
        <v>0</v>
      </c>
      <c r="H44" s="411"/>
      <c r="I44" s="413">
        <f t="shared" si="0"/>
        <v>0</v>
      </c>
      <c r="J44" s="357">
        <f t="shared" si="1"/>
        <v>0</v>
      </c>
      <c r="K44" s="356"/>
      <c r="L44" s="357">
        <f t="shared" si="2"/>
        <v>0</v>
      </c>
    </row>
    <row r="45" spans="1:12" x14ac:dyDescent="0.2">
      <c r="A45" s="1477">
        <v>1950</v>
      </c>
      <c r="B45" s="363" t="s">
        <v>298</v>
      </c>
      <c r="C45" s="356"/>
      <c r="D45" s="356"/>
      <c r="E45" s="357">
        <f t="shared" si="3"/>
        <v>0</v>
      </c>
      <c r="F45" s="356"/>
      <c r="G45" s="357">
        <f t="shared" si="4"/>
        <v>0</v>
      </c>
      <c r="H45" s="411"/>
      <c r="I45" s="413">
        <f t="shared" si="0"/>
        <v>0</v>
      </c>
      <c r="J45" s="357">
        <f t="shared" si="1"/>
        <v>0</v>
      </c>
      <c r="K45" s="356"/>
      <c r="L45" s="357">
        <f t="shared" si="2"/>
        <v>0</v>
      </c>
    </row>
    <row r="46" spans="1:12" x14ac:dyDescent="0.2">
      <c r="A46" s="1477">
        <v>1955</v>
      </c>
      <c r="B46" s="363" t="s">
        <v>383</v>
      </c>
      <c r="C46" s="356"/>
      <c r="D46" s="356"/>
      <c r="E46" s="357">
        <f t="shared" si="3"/>
        <v>0</v>
      </c>
      <c r="F46" s="356"/>
      <c r="G46" s="357">
        <f t="shared" si="4"/>
        <v>0</v>
      </c>
      <c r="H46" s="411"/>
      <c r="I46" s="413">
        <f t="shared" si="0"/>
        <v>0</v>
      </c>
      <c r="J46" s="357">
        <f t="shared" si="1"/>
        <v>0</v>
      </c>
      <c r="K46" s="356"/>
      <c r="L46" s="357">
        <f t="shared" si="2"/>
        <v>0</v>
      </c>
    </row>
    <row r="47" spans="1:12" x14ac:dyDescent="0.2">
      <c r="A47" s="416">
        <v>1955</v>
      </c>
      <c r="B47" s="367" t="s">
        <v>299</v>
      </c>
      <c r="C47" s="356"/>
      <c r="D47" s="356"/>
      <c r="E47" s="357">
        <f t="shared" si="3"/>
        <v>0</v>
      </c>
      <c r="F47" s="356"/>
      <c r="G47" s="357">
        <f t="shared" si="4"/>
        <v>0</v>
      </c>
      <c r="H47" s="411"/>
      <c r="I47" s="413">
        <f t="shared" si="0"/>
        <v>0</v>
      </c>
      <c r="J47" s="357">
        <f t="shared" si="1"/>
        <v>0</v>
      </c>
      <c r="K47" s="356"/>
      <c r="L47" s="357">
        <f t="shared" si="2"/>
        <v>0</v>
      </c>
    </row>
    <row r="48" spans="1:12" x14ac:dyDescent="0.2">
      <c r="A48" s="415">
        <v>1960</v>
      </c>
      <c r="B48" s="355" t="s">
        <v>300</v>
      </c>
      <c r="C48" s="356"/>
      <c r="D48" s="356"/>
      <c r="E48" s="357">
        <f t="shared" si="3"/>
        <v>0</v>
      </c>
      <c r="F48" s="356"/>
      <c r="G48" s="357">
        <f t="shared" si="4"/>
        <v>0</v>
      </c>
      <c r="H48" s="411"/>
      <c r="I48" s="413">
        <f t="shared" si="0"/>
        <v>0</v>
      </c>
      <c r="J48" s="357">
        <f t="shared" si="1"/>
        <v>0</v>
      </c>
      <c r="K48" s="356"/>
      <c r="L48" s="357">
        <f t="shared" si="2"/>
        <v>0</v>
      </c>
    </row>
    <row r="49" spans="1:14" x14ac:dyDescent="0.2">
      <c r="A49" s="416">
        <v>1970</v>
      </c>
      <c r="B49" s="417" t="s">
        <v>649</v>
      </c>
      <c r="C49" s="356"/>
      <c r="D49" s="356"/>
      <c r="E49" s="357">
        <f t="shared" si="3"/>
        <v>0</v>
      </c>
      <c r="F49" s="356"/>
      <c r="G49" s="357">
        <f t="shared" si="4"/>
        <v>0</v>
      </c>
      <c r="H49" s="411"/>
      <c r="I49" s="413">
        <f t="shared" si="0"/>
        <v>0</v>
      </c>
      <c r="J49" s="357">
        <f t="shared" si="1"/>
        <v>0</v>
      </c>
      <c r="K49" s="356"/>
      <c r="L49" s="357">
        <f t="shared" si="2"/>
        <v>0</v>
      </c>
    </row>
    <row r="50" spans="1:14" x14ac:dyDescent="0.2">
      <c r="A50" s="1477">
        <v>1975</v>
      </c>
      <c r="B50" s="363" t="s">
        <v>384</v>
      </c>
      <c r="C50" s="356"/>
      <c r="D50" s="356"/>
      <c r="E50" s="357">
        <f t="shared" si="3"/>
        <v>0</v>
      </c>
      <c r="F50" s="356"/>
      <c r="G50" s="357">
        <f t="shared" si="4"/>
        <v>0</v>
      </c>
      <c r="H50" s="411"/>
      <c r="I50" s="413">
        <f t="shared" si="0"/>
        <v>0</v>
      </c>
      <c r="J50" s="357">
        <f t="shared" si="1"/>
        <v>0</v>
      </c>
      <c r="K50" s="356"/>
      <c r="L50" s="357">
        <f t="shared" si="2"/>
        <v>0</v>
      </c>
    </row>
    <row r="51" spans="1:14" x14ac:dyDescent="0.2">
      <c r="A51" s="1477">
        <v>1980</v>
      </c>
      <c r="B51" s="363" t="s">
        <v>385</v>
      </c>
      <c r="C51" s="356"/>
      <c r="D51" s="356"/>
      <c r="E51" s="357">
        <f t="shared" si="3"/>
        <v>0</v>
      </c>
      <c r="F51" s="356"/>
      <c r="G51" s="357">
        <f t="shared" si="4"/>
        <v>0</v>
      </c>
      <c r="H51" s="411"/>
      <c r="I51" s="413">
        <f t="shared" si="0"/>
        <v>0</v>
      </c>
      <c r="J51" s="357">
        <f t="shared" si="1"/>
        <v>0</v>
      </c>
      <c r="K51" s="356"/>
      <c r="L51" s="357">
        <f t="shared" si="2"/>
        <v>0</v>
      </c>
    </row>
    <row r="52" spans="1:14" x14ac:dyDescent="0.2">
      <c r="A52" s="1477">
        <v>1985</v>
      </c>
      <c r="B52" s="363" t="s">
        <v>386</v>
      </c>
      <c r="C52" s="356"/>
      <c r="D52" s="356"/>
      <c r="E52" s="357">
        <f t="shared" si="3"/>
        <v>0</v>
      </c>
      <c r="F52" s="356"/>
      <c r="G52" s="357">
        <f t="shared" si="4"/>
        <v>0</v>
      </c>
      <c r="H52" s="411"/>
      <c r="I52" s="413">
        <f t="shared" si="0"/>
        <v>0</v>
      </c>
      <c r="J52" s="357">
        <f t="shared" si="1"/>
        <v>0</v>
      </c>
      <c r="K52" s="356"/>
      <c r="L52" s="357">
        <f t="shared" si="2"/>
        <v>0</v>
      </c>
    </row>
    <row r="53" spans="1:14" x14ac:dyDescent="0.2">
      <c r="A53" s="1477">
        <v>1990</v>
      </c>
      <c r="B53" s="1475" t="s">
        <v>650</v>
      </c>
      <c r="C53" s="356"/>
      <c r="D53" s="356"/>
      <c r="E53" s="357">
        <f t="shared" si="3"/>
        <v>0</v>
      </c>
      <c r="F53" s="356"/>
      <c r="G53" s="357">
        <f t="shared" si="4"/>
        <v>0</v>
      </c>
      <c r="H53" s="411"/>
      <c r="I53" s="413">
        <f t="shared" si="0"/>
        <v>0</v>
      </c>
      <c r="J53" s="357">
        <f t="shared" si="1"/>
        <v>0</v>
      </c>
      <c r="K53" s="356"/>
      <c r="L53" s="357">
        <f t="shared" si="2"/>
        <v>0</v>
      </c>
    </row>
    <row r="54" spans="1:14" ht="13.5" thickBot="1" x14ac:dyDescent="0.25">
      <c r="A54" s="1477">
        <v>1995</v>
      </c>
      <c r="B54" s="363" t="s">
        <v>387</v>
      </c>
      <c r="C54" s="418"/>
      <c r="D54" s="418"/>
      <c r="E54" s="419">
        <f t="shared" si="3"/>
        <v>0</v>
      </c>
      <c r="F54" s="418"/>
      <c r="G54" s="419">
        <f t="shared" si="4"/>
        <v>0</v>
      </c>
      <c r="H54" s="420"/>
      <c r="I54" s="421">
        <f t="shared" si="0"/>
        <v>0</v>
      </c>
      <c r="J54" s="419">
        <f t="shared" si="1"/>
        <v>0</v>
      </c>
      <c r="K54" s="418"/>
      <c r="L54" s="419">
        <f t="shared" si="2"/>
        <v>0</v>
      </c>
    </row>
    <row r="55" spans="1:14" ht="14.25" thickTop="1" thickBot="1" x14ac:dyDescent="0.25">
      <c r="A55" s="422"/>
      <c r="B55" s="423" t="s">
        <v>388</v>
      </c>
      <c r="C55" s="424">
        <f>SUM(C17:C54)</f>
        <v>0</v>
      </c>
      <c r="D55" s="424">
        <f>SUM(D17:D54)</f>
        <v>0</v>
      </c>
      <c r="E55" s="425">
        <f>SUM(E17:E54)</f>
        <v>0</v>
      </c>
      <c r="F55" s="425">
        <f>SUM(F17:F54)</f>
        <v>0</v>
      </c>
      <c r="G55" s="425">
        <f>SUM(G17:G54)</f>
        <v>0</v>
      </c>
      <c r="H55" s="426"/>
      <c r="I55" s="427"/>
      <c r="J55" s="425">
        <f>SUM(J17:J54)</f>
        <v>0</v>
      </c>
      <c r="K55" s="428">
        <f>SUM(K17:K54)</f>
        <v>0</v>
      </c>
      <c r="L55" s="425">
        <f>SUM(L17:L54)</f>
        <v>0</v>
      </c>
    </row>
    <row r="56" spans="1:14" ht="7.5" customHeight="1" x14ac:dyDescent="0.2"/>
    <row r="57" spans="1:14" x14ac:dyDescent="0.2">
      <c r="A57" s="1484" t="s">
        <v>13</v>
      </c>
      <c r="B57" s="158"/>
      <c r="C57" s="429"/>
      <c r="D57" s="429"/>
      <c r="E57" s="429"/>
      <c r="F57" s="429"/>
      <c r="G57" s="429"/>
      <c r="H57" s="430"/>
      <c r="I57" s="158"/>
      <c r="J57" s="429"/>
    </row>
    <row r="58" spans="1:14" x14ac:dyDescent="0.2">
      <c r="A58" s="158"/>
      <c r="B58" s="158"/>
      <c r="C58" s="429"/>
      <c r="D58" s="429"/>
      <c r="E58" s="429"/>
      <c r="F58" s="429"/>
      <c r="G58" s="429"/>
      <c r="H58" s="430"/>
      <c r="I58" s="158"/>
      <c r="J58" s="429"/>
    </row>
    <row r="59" spans="1:14" ht="24.75" customHeight="1" x14ac:dyDescent="0.2">
      <c r="A59" s="431">
        <v>1</v>
      </c>
      <c r="B59" s="2001" t="s">
        <v>524</v>
      </c>
      <c r="C59" s="2001"/>
      <c r="D59" s="2001"/>
      <c r="E59" s="2001"/>
      <c r="F59" s="2001"/>
      <c r="G59" s="2001"/>
      <c r="H59" s="2001"/>
      <c r="I59" s="2001"/>
      <c r="J59" s="2001"/>
      <c r="K59" s="2001"/>
      <c r="L59" s="2001"/>
    </row>
    <row r="60" spans="1:14" x14ac:dyDescent="0.2">
      <c r="A60" s="1482">
        <v>2</v>
      </c>
      <c r="B60" s="2068" t="s">
        <v>1498</v>
      </c>
      <c r="C60" s="2068"/>
      <c r="D60" s="2068"/>
      <c r="E60" s="2068"/>
      <c r="F60" s="2068"/>
      <c r="G60" s="2068"/>
      <c r="H60" s="2068"/>
      <c r="I60" s="2068"/>
      <c r="J60" s="2068"/>
      <c r="K60" s="429"/>
    </row>
    <row r="61" spans="1:14" x14ac:dyDescent="0.2">
      <c r="A61" s="1482"/>
      <c r="B61" s="2068"/>
      <c r="C61" s="2068"/>
      <c r="D61" s="2068"/>
      <c r="E61" s="2068"/>
      <c r="F61" s="2068"/>
      <c r="G61" s="2068"/>
      <c r="H61" s="2068"/>
      <c r="I61" s="2068"/>
      <c r="J61" s="2068"/>
      <c r="K61" s="429"/>
    </row>
    <row r="62" spans="1:14" ht="12.75" customHeight="1" x14ac:dyDescent="0.2">
      <c r="A62" s="334" t="s">
        <v>523</v>
      </c>
      <c r="B62" s="2069" t="s">
        <v>257</v>
      </c>
      <c r="C62" s="2069"/>
      <c r="D62" s="2069"/>
      <c r="E62" s="2069"/>
      <c r="F62" s="2069"/>
      <c r="G62" s="2069"/>
      <c r="H62" s="2069"/>
      <c r="I62" s="2069"/>
      <c r="J62" s="2069"/>
      <c r="K62" s="2069"/>
      <c r="L62" s="2069"/>
      <c r="M62" s="432"/>
      <c r="N62" s="432"/>
    </row>
    <row r="63" spans="1:14" x14ac:dyDescent="0.2">
      <c r="B63" s="2069"/>
      <c r="C63" s="2069"/>
      <c r="D63" s="2069"/>
      <c r="E63" s="2069"/>
      <c r="F63" s="2069"/>
      <c r="G63" s="2069"/>
      <c r="H63" s="2069"/>
      <c r="I63" s="2069"/>
      <c r="J63" s="2069"/>
      <c r="K63" s="2069"/>
      <c r="L63" s="2069"/>
      <c r="M63" s="432"/>
      <c r="N63" s="432"/>
    </row>
    <row r="64" spans="1:14" x14ac:dyDescent="0.2">
      <c r="B64" s="432"/>
      <c r="C64" s="433"/>
      <c r="D64" s="433"/>
      <c r="E64" s="433"/>
      <c r="F64" s="433"/>
      <c r="G64" s="433"/>
      <c r="H64" s="434"/>
      <c r="I64" s="432"/>
      <c r="J64" s="433"/>
      <c r="K64" s="433"/>
      <c r="L64" s="433"/>
      <c r="M64" s="432"/>
      <c r="N64" s="432"/>
    </row>
  </sheetData>
  <mergeCells count="9">
    <mergeCell ref="B59:L59"/>
    <mergeCell ref="B60:J61"/>
    <mergeCell ref="B62:L63"/>
    <mergeCell ref="A9:L9"/>
    <mergeCell ref="A10:L10"/>
    <mergeCell ref="A15:A16"/>
    <mergeCell ref="B15:B16"/>
    <mergeCell ref="K15:K16"/>
    <mergeCell ref="B11:K11"/>
  </mergeCells>
  <dataValidations count="2">
    <dataValidation allowBlank="1" showInputMessage="1" showErrorMessage="1" promptTitle="Date Format" prompt="E.g:  &quot;August 1, 2011&quot;" sqref="WVR983047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43 JF65543 TB65543 ACX65543 AMT65543 AWP65543 BGL65543 BQH65543 CAD65543 CJZ65543 CTV65543 DDR65543 DNN65543 DXJ65543 EHF65543 ERB65543 FAX65543 FKT65543 FUP65543 GEL65543 GOH65543 GYD65543 HHZ65543 HRV65543 IBR65543 ILN65543 IVJ65543 JFF65543 JPB65543 JYX65543 KIT65543 KSP65543 LCL65543 LMH65543 LWD65543 MFZ65543 MPV65543 MZR65543 NJN65543 NTJ65543 ODF65543 ONB65543 OWX65543 PGT65543 PQP65543 QAL65543 QKH65543 QUD65543 RDZ65543 RNV65543 RXR65543 SHN65543 SRJ65543 TBF65543 TLB65543 TUX65543 UET65543 UOP65543 UYL65543 VIH65543 VSD65543 WBZ65543 WLV65543 WVR65543 J131079 JF131079 TB131079 ACX131079 AMT131079 AWP131079 BGL131079 BQH131079 CAD131079 CJZ131079 CTV131079 DDR131079 DNN131079 DXJ131079 EHF131079 ERB131079 FAX131079 FKT131079 FUP131079 GEL131079 GOH131079 GYD131079 HHZ131079 HRV131079 IBR131079 ILN131079 IVJ131079 JFF131079 JPB131079 JYX131079 KIT131079 KSP131079 LCL131079 LMH131079 LWD131079 MFZ131079 MPV131079 MZR131079 NJN131079 NTJ131079 ODF131079 ONB131079 OWX131079 PGT131079 PQP131079 QAL131079 QKH131079 QUD131079 RDZ131079 RNV131079 RXR131079 SHN131079 SRJ131079 TBF131079 TLB131079 TUX131079 UET131079 UOP131079 UYL131079 VIH131079 VSD131079 WBZ131079 WLV131079 WVR131079 J196615 JF196615 TB196615 ACX196615 AMT196615 AWP196615 BGL196615 BQH196615 CAD196615 CJZ196615 CTV196615 DDR196615 DNN196615 DXJ196615 EHF196615 ERB196615 FAX196615 FKT196615 FUP196615 GEL196615 GOH196615 GYD196615 HHZ196615 HRV196615 IBR196615 ILN196615 IVJ196615 JFF196615 JPB196615 JYX196615 KIT196615 KSP196615 LCL196615 LMH196615 LWD196615 MFZ196615 MPV196615 MZR196615 NJN196615 NTJ196615 ODF196615 ONB196615 OWX196615 PGT196615 PQP196615 QAL196615 QKH196615 QUD196615 RDZ196615 RNV196615 RXR196615 SHN196615 SRJ196615 TBF196615 TLB196615 TUX196615 UET196615 UOP196615 UYL196615 VIH196615 VSD196615 WBZ196615 WLV196615 WVR196615 J262151 JF262151 TB262151 ACX262151 AMT262151 AWP262151 BGL262151 BQH262151 CAD262151 CJZ262151 CTV262151 DDR262151 DNN262151 DXJ262151 EHF262151 ERB262151 FAX262151 FKT262151 FUP262151 GEL262151 GOH262151 GYD262151 HHZ262151 HRV262151 IBR262151 ILN262151 IVJ262151 JFF262151 JPB262151 JYX262151 KIT262151 KSP262151 LCL262151 LMH262151 LWD262151 MFZ262151 MPV262151 MZR262151 NJN262151 NTJ262151 ODF262151 ONB262151 OWX262151 PGT262151 PQP262151 QAL262151 QKH262151 QUD262151 RDZ262151 RNV262151 RXR262151 SHN262151 SRJ262151 TBF262151 TLB262151 TUX262151 UET262151 UOP262151 UYL262151 VIH262151 VSD262151 WBZ262151 WLV262151 WVR262151 J327687 JF327687 TB327687 ACX327687 AMT327687 AWP327687 BGL327687 BQH327687 CAD327687 CJZ327687 CTV327687 DDR327687 DNN327687 DXJ327687 EHF327687 ERB327687 FAX327687 FKT327687 FUP327687 GEL327687 GOH327687 GYD327687 HHZ327687 HRV327687 IBR327687 ILN327687 IVJ327687 JFF327687 JPB327687 JYX327687 KIT327687 KSP327687 LCL327687 LMH327687 LWD327687 MFZ327687 MPV327687 MZR327687 NJN327687 NTJ327687 ODF327687 ONB327687 OWX327687 PGT327687 PQP327687 QAL327687 QKH327687 QUD327687 RDZ327687 RNV327687 RXR327687 SHN327687 SRJ327687 TBF327687 TLB327687 TUX327687 UET327687 UOP327687 UYL327687 VIH327687 VSD327687 WBZ327687 WLV327687 WVR327687 J393223 JF393223 TB393223 ACX393223 AMT393223 AWP393223 BGL393223 BQH393223 CAD393223 CJZ393223 CTV393223 DDR393223 DNN393223 DXJ393223 EHF393223 ERB393223 FAX393223 FKT393223 FUP393223 GEL393223 GOH393223 GYD393223 HHZ393223 HRV393223 IBR393223 ILN393223 IVJ393223 JFF393223 JPB393223 JYX393223 KIT393223 KSP393223 LCL393223 LMH393223 LWD393223 MFZ393223 MPV393223 MZR393223 NJN393223 NTJ393223 ODF393223 ONB393223 OWX393223 PGT393223 PQP393223 QAL393223 QKH393223 QUD393223 RDZ393223 RNV393223 RXR393223 SHN393223 SRJ393223 TBF393223 TLB393223 TUX393223 UET393223 UOP393223 UYL393223 VIH393223 VSD393223 WBZ393223 WLV393223 WVR393223 J458759 JF458759 TB458759 ACX458759 AMT458759 AWP458759 BGL458759 BQH458759 CAD458759 CJZ458759 CTV458759 DDR458759 DNN458759 DXJ458759 EHF458759 ERB458759 FAX458759 FKT458759 FUP458759 GEL458759 GOH458759 GYD458759 HHZ458759 HRV458759 IBR458759 ILN458759 IVJ458759 JFF458759 JPB458759 JYX458759 KIT458759 KSP458759 LCL458759 LMH458759 LWD458759 MFZ458759 MPV458759 MZR458759 NJN458759 NTJ458759 ODF458759 ONB458759 OWX458759 PGT458759 PQP458759 QAL458759 QKH458759 QUD458759 RDZ458759 RNV458759 RXR458759 SHN458759 SRJ458759 TBF458759 TLB458759 TUX458759 UET458759 UOP458759 UYL458759 VIH458759 VSD458759 WBZ458759 WLV458759 WVR458759 J524295 JF524295 TB524295 ACX524295 AMT524295 AWP524295 BGL524295 BQH524295 CAD524295 CJZ524295 CTV524295 DDR524295 DNN524295 DXJ524295 EHF524295 ERB524295 FAX524295 FKT524295 FUP524295 GEL524295 GOH524295 GYD524295 HHZ524295 HRV524295 IBR524295 ILN524295 IVJ524295 JFF524295 JPB524295 JYX524295 KIT524295 KSP524295 LCL524295 LMH524295 LWD524295 MFZ524295 MPV524295 MZR524295 NJN524295 NTJ524295 ODF524295 ONB524295 OWX524295 PGT524295 PQP524295 QAL524295 QKH524295 QUD524295 RDZ524295 RNV524295 RXR524295 SHN524295 SRJ524295 TBF524295 TLB524295 TUX524295 UET524295 UOP524295 UYL524295 VIH524295 VSD524295 WBZ524295 WLV524295 WVR524295 J589831 JF589831 TB589831 ACX589831 AMT589831 AWP589831 BGL589831 BQH589831 CAD589831 CJZ589831 CTV589831 DDR589831 DNN589831 DXJ589831 EHF589831 ERB589831 FAX589831 FKT589831 FUP589831 GEL589831 GOH589831 GYD589831 HHZ589831 HRV589831 IBR589831 ILN589831 IVJ589831 JFF589831 JPB589831 JYX589831 KIT589831 KSP589831 LCL589831 LMH589831 LWD589831 MFZ589831 MPV589831 MZR589831 NJN589831 NTJ589831 ODF589831 ONB589831 OWX589831 PGT589831 PQP589831 QAL589831 QKH589831 QUD589831 RDZ589831 RNV589831 RXR589831 SHN589831 SRJ589831 TBF589831 TLB589831 TUX589831 UET589831 UOP589831 UYL589831 VIH589831 VSD589831 WBZ589831 WLV589831 WVR589831 J655367 JF655367 TB655367 ACX655367 AMT655367 AWP655367 BGL655367 BQH655367 CAD655367 CJZ655367 CTV655367 DDR655367 DNN655367 DXJ655367 EHF655367 ERB655367 FAX655367 FKT655367 FUP655367 GEL655367 GOH655367 GYD655367 HHZ655367 HRV655367 IBR655367 ILN655367 IVJ655367 JFF655367 JPB655367 JYX655367 KIT655367 KSP655367 LCL655367 LMH655367 LWD655367 MFZ655367 MPV655367 MZR655367 NJN655367 NTJ655367 ODF655367 ONB655367 OWX655367 PGT655367 PQP655367 QAL655367 QKH655367 QUD655367 RDZ655367 RNV655367 RXR655367 SHN655367 SRJ655367 TBF655367 TLB655367 TUX655367 UET655367 UOP655367 UYL655367 VIH655367 VSD655367 WBZ655367 WLV655367 WVR655367 J720903 JF720903 TB720903 ACX720903 AMT720903 AWP720903 BGL720903 BQH720903 CAD720903 CJZ720903 CTV720903 DDR720903 DNN720903 DXJ720903 EHF720903 ERB720903 FAX720903 FKT720903 FUP720903 GEL720903 GOH720903 GYD720903 HHZ720903 HRV720903 IBR720903 ILN720903 IVJ720903 JFF720903 JPB720903 JYX720903 KIT720903 KSP720903 LCL720903 LMH720903 LWD720903 MFZ720903 MPV720903 MZR720903 NJN720903 NTJ720903 ODF720903 ONB720903 OWX720903 PGT720903 PQP720903 QAL720903 QKH720903 QUD720903 RDZ720903 RNV720903 RXR720903 SHN720903 SRJ720903 TBF720903 TLB720903 TUX720903 UET720903 UOP720903 UYL720903 VIH720903 VSD720903 WBZ720903 WLV720903 WVR720903 J786439 JF786439 TB786439 ACX786439 AMT786439 AWP786439 BGL786439 BQH786439 CAD786439 CJZ786439 CTV786439 DDR786439 DNN786439 DXJ786439 EHF786439 ERB786439 FAX786439 FKT786439 FUP786439 GEL786439 GOH786439 GYD786439 HHZ786439 HRV786439 IBR786439 ILN786439 IVJ786439 JFF786439 JPB786439 JYX786439 KIT786439 KSP786439 LCL786439 LMH786439 LWD786439 MFZ786439 MPV786439 MZR786439 NJN786439 NTJ786439 ODF786439 ONB786439 OWX786439 PGT786439 PQP786439 QAL786439 QKH786439 QUD786439 RDZ786439 RNV786439 RXR786439 SHN786439 SRJ786439 TBF786439 TLB786439 TUX786439 UET786439 UOP786439 UYL786439 VIH786439 VSD786439 WBZ786439 WLV786439 WVR786439 J851975 JF851975 TB851975 ACX851975 AMT851975 AWP851975 BGL851975 BQH851975 CAD851975 CJZ851975 CTV851975 DDR851975 DNN851975 DXJ851975 EHF851975 ERB851975 FAX851975 FKT851975 FUP851975 GEL851975 GOH851975 GYD851975 HHZ851975 HRV851975 IBR851975 ILN851975 IVJ851975 JFF851975 JPB851975 JYX851975 KIT851975 KSP851975 LCL851975 LMH851975 LWD851975 MFZ851975 MPV851975 MZR851975 NJN851975 NTJ851975 ODF851975 ONB851975 OWX851975 PGT851975 PQP851975 QAL851975 QKH851975 QUD851975 RDZ851975 RNV851975 RXR851975 SHN851975 SRJ851975 TBF851975 TLB851975 TUX851975 UET851975 UOP851975 UYL851975 VIH851975 VSD851975 WBZ851975 WLV851975 WVR851975 J917511 JF917511 TB917511 ACX917511 AMT917511 AWP917511 BGL917511 BQH917511 CAD917511 CJZ917511 CTV917511 DDR917511 DNN917511 DXJ917511 EHF917511 ERB917511 FAX917511 FKT917511 FUP917511 GEL917511 GOH917511 GYD917511 HHZ917511 HRV917511 IBR917511 ILN917511 IVJ917511 JFF917511 JPB917511 JYX917511 KIT917511 KSP917511 LCL917511 LMH917511 LWD917511 MFZ917511 MPV917511 MZR917511 NJN917511 NTJ917511 ODF917511 ONB917511 OWX917511 PGT917511 PQP917511 QAL917511 QKH917511 QUD917511 RDZ917511 RNV917511 RXR917511 SHN917511 SRJ917511 TBF917511 TLB917511 TUX917511 UET917511 UOP917511 UYL917511 VIH917511 VSD917511 WBZ917511 WLV917511 WVR917511 J983047 JF983047 TB983047 ACX983047 AMT983047 AWP983047 BGL983047 BQH983047 CAD983047 CJZ983047 CTV983047 DDR983047 DNN983047 DXJ983047 EHF983047 ERB983047 FAX983047 FKT983047 FUP983047 GEL983047 GOH983047 GYD983047 HHZ983047 HRV983047 IBR983047 ILN983047 IVJ983047 JFF983047 JPB983047 JYX983047 KIT983047 KSP983047 LCL983047 LMH983047 LWD983047 MFZ983047 MPV983047 MZR983047 NJN983047 NTJ983047 ODF983047 ONB983047 OWX983047 PGT983047 PQP983047 QAL983047 QKH983047 QUD983047 RDZ983047 RNV983047 RXR983047 SHN983047 SRJ983047 TBF983047 TLB983047 TUX983047 UET983047 UOP983047 UYL983047 VIH983047 VSD983047 WBZ983047 WLV983047"/>
    <dataValidation allowBlank="1" showErrorMessage="1" promptTitle="Date Format" prompt="E.g:  &quot;August 1, 2011&quot;" sqref="J7"/>
  </dataValidations>
  <printOptions horizontalCentered="1"/>
  <pageMargins left="0.74803149606299213" right="0.74803149606299213" top="0.70866141732283472" bottom="0.39370078740157483" header="0.39370078740157483" footer="0.27559055118110237"/>
  <pageSetup scale="5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P71"/>
  <sheetViews>
    <sheetView showGridLines="0" zoomScaleNormal="100" workbookViewId="0"/>
  </sheetViews>
  <sheetFormatPr defaultRowHeight="12.75" x14ac:dyDescent="0.2"/>
  <cols>
    <col min="1" max="1" width="9.140625" style="140"/>
    <col min="2" max="2" width="40.28515625" style="140" bestFit="1" customWidth="1"/>
    <col min="3" max="3" width="12" style="140" customWidth="1"/>
    <col min="4" max="4" width="10" style="140" customWidth="1"/>
    <col min="5" max="5" width="14.85546875" style="140" customWidth="1"/>
    <col min="6" max="6" width="9.5703125" style="140" customWidth="1"/>
    <col min="7" max="8" width="13.140625" style="140" customWidth="1"/>
    <col min="9" max="9" width="13.7109375" style="140" customWidth="1"/>
    <col min="10" max="10" width="12.85546875" style="140" customWidth="1"/>
    <col min="11" max="11" width="17.7109375" style="140" customWidth="1"/>
    <col min="12" max="12" width="12.7109375" style="140" customWidth="1"/>
    <col min="13" max="13" width="13.42578125" style="140" customWidth="1"/>
    <col min="14" max="14" width="19" style="140" customWidth="1"/>
    <col min="15" max="15" width="18.5703125" style="140" customWidth="1"/>
    <col min="16" max="256" width="9.140625" style="140"/>
    <col min="257" max="257" width="2.7109375" style="140" customWidth="1"/>
    <col min="258" max="258" width="9.140625" style="140"/>
    <col min="259" max="259" width="40.28515625" style="140" bestFit="1" customWidth="1"/>
    <col min="260" max="260" width="12" style="140" customWidth="1"/>
    <col min="261" max="261" width="10" style="140" customWidth="1"/>
    <col min="262" max="262" width="14.85546875" style="140" customWidth="1"/>
    <col min="263" max="263" width="9.5703125" style="140" customWidth="1"/>
    <col min="264" max="265" width="12.28515625" style="140" customWidth="1"/>
    <col min="266" max="268" width="12.85546875" style="140" customWidth="1"/>
    <col min="269" max="269" width="12.7109375" style="140" customWidth="1"/>
    <col min="270" max="270" width="12.28515625" style="140" bestFit="1" customWidth="1"/>
    <col min="271" max="271" width="13.140625" style="140" customWidth="1"/>
    <col min="272" max="512" width="9.140625" style="140"/>
    <col min="513" max="513" width="2.7109375" style="140" customWidth="1"/>
    <col min="514" max="514" width="9.140625" style="140"/>
    <col min="515" max="515" width="40.28515625" style="140" bestFit="1" customWidth="1"/>
    <col min="516" max="516" width="12" style="140" customWidth="1"/>
    <col min="517" max="517" width="10" style="140" customWidth="1"/>
    <col min="518" max="518" width="14.85546875" style="140" customWidth="1"/>
    <col min="519" max="519" width="9.5703125" style="140" customWidth="1"/>
    <col min="520" max="521" width="12.28515625" style="140" customWidth="1"/>
    <col min="522" max="524" width="12.85546875" style="140" customWidth="1"/>
    <col min="525" max="525" width="12.7109375" style="140" customWidth="1"/>
    <col min="526" max="526" width="12.28515625" style="140" bestFit="1" customWidth="1"/>
    <col min="527" max="527" width="13.140625" style="140" customWidth="1"/>
    <col min="528" max="768" width="9.140625" style="140"/>
    <col min="769" max="769" width="2.7109375" style="140" customWidth="1"/>
    <col min="770" max="770" width="9.140625" style="140"/>
    <col min="771" max="771" width="40.28515625" style="140" bestFit="1" customWidth="1"/>
    <col min="772" max="772" width="12" style="140" customWidth="1"/>
    <col min="773" max="773" width="10" style="140" customWidth="1"/>
    <col min="774" max="774" width="14.85546875" style="140" customWidth="1"/>
    <col min="775" max="775" width="9.5703125" style="140" customWidth="1"/>
    <col min="776" max="777" width="12.28515625" style="140" customWidth="1"/>
    <col min="778" max="780" width="12.85546875" style="140" customWidth="1"/>
    <col min="781" max="781" width="12.7109375" style="140" customWidth="1"/>
    <col min="782" max="782" width="12.28515625" style="140" bestFit="1" customWidth="1"/>
    <col min="783" max="783" width="13.140625" style="140" customWidth="1"/>
    <col min="784" max="1024" width="9.140625" style="140"/>
    <col min="1025" max="1025" width="2.7109375" style="140" customWidth="1"/>
    <col min="1026" max="1026" width="9.140625" style="140"/>
    <col min="1027" max="1027" width="40.28515625" style="140" bestFit="1" customWidth="1"/>
    <col min="1028" max="1028" width="12" style="140" customWidth="1"/>
    <col min="1029" max="1029" width="10" style="140" customWidth="1"/>
    <col min="1030" max="1030" width="14.85546875" style="140" customWidth="1"/>
    <col min="1031" max="1031" width="9.5703125" style="140" customWidth="1"/>
    <col min="1032" max="1033" width="12.28515625" style="140" customWidth="1"/>
    <col min="1034" max="1036" width="12.85546875" style="140" customWidth="1"/>
    <col min="1037" max="1037" width="12.7109375" style="140" customWidth="1"/>
    <col min="1038" max="1038" width="12.28515625" style="140" bestFit="1" customWidth="1"/>
    <col min="1039" max="1039" width="13.140625" style="140" customWidth="1"/>
    <col min="1040" max="1280" width="9.140625" style="140"/>
    <col min="1281" max="1281" width="2.7109375" style="140" customWidth="1"/>
    <col min="1282" max="1282" width="9.140625" style="140"/>
    <col min="1283" max="1283" width="40.28515625" style="140" bestFit="1" customWidth="1"/>
    <col min="1284" max="1284" width="12" style="140" customWidth="1"/>
    <col min="1285" max="1285" width="10" style="140" customWidth="1"/>
    <col min="1286" max="1286" width="14.85546875" style="140" customWidth="1"/>
    <col min="1287" max="1287" width="9.5703125" style="140" customWidth="1"/>
    <col min="1288" max="1289" width="12.28515625" style="140" customWidth="1"/>
    <col min="1290" max="1292" width="12.85546875" style="140" customWidth="1"/>
    <col min="1293" max="1293" width="12.7109375" style="140" customWidth="1"/>
    <col min="1294" max="1294" width="12.28515625" style="140" bestFit="1" customWidth="1"/>
    <col min="1295" max="1295" width="13.140625" style="140" customWidth="1"/>
    <col min="1296" max="1536" width="9.140625" style="140"/>
    <col min="1537" max="1537" width="2.7109375" style="140" customWidth="1"/>
    <col min="1538" max="1538" width="9.140625" style="140"/>
    <col min="1539" max="1539" width="40.28515625" style="140" bestFit="1" customWidth="1"/>
    <col min="1540" max="1540" width="12" style="140" customWidth="1"/>
    <col min="1541" max="1541" width="10" style="140" customWidth="1"/>
    <col min="1542" max="1542" width="14.85546875" style="140" customWidth="1"/>
    <col min="1543" max="1543" width="9.5703125" style="140" customWidth="1"/>
    <col min="1544" max="1545" width="12.28515625" style="140" customWidth="1"/>
    <col min="1546" max="1548" width="12.85546875" style="140" customWidth="1"/>
    <col min="1549" max="1549" width="12.7109375" style="140" customWidth="1"/>
    <col min="1550" max="1550" width="12.28515625" style="140" bestFit="1" customWidth="1"/>
    <col min="1551" max="1551" width="13.140625" style="140" customWidth="1"/>
    <col min="1552" max="1792" width="9.140625" style="140"/>
    <col min="1793" max="1793" width="2.7109375" style="140" customWidth="1"/>
    <col min="1794" max="1794" width="9.140625" style="140"/>
    <col min="1795" max="1795" width="40.28515625" style="140" bestFit="1" customWidth="1"/>
    <col min="1796" max="1796" width="12" style="140" customWidth="1"/>
    <col min="1797" max="1797" width="10" style="140" customWidth="1"/>
    <col min="1798" max="1798" width="14.85546875" style="140" customWidth="1"/>
    <col min="1799" max="1799" width="9.5703125" style="140" customWidth="1"/>
    <col min="1800" max="1801" width="12.28515625" style="140" customWidth="1"/>
    <col min="1802" max="1804" width="12.85546875" style="140" customWidth="1"/>
    <col min="1805" max="1805" width="12.7109375" style="140" customWidth="1"/>
    <col min="1806" max="1806" width="12.28515625" style="140" bestFit="1" customWidth="1"/>
    <col min="1807" max="1807" width="13.140625" style="140" customWidth="1"/>
    <col min="1808" max="2048" width="9.140625" style="140"/>
    <col min="2049" max="2049" width="2.7109375" style="140" customWidth="1"/>
    <col min="2050" max="2050" width="9.140625" style="140"/>
    <col min="2051" max="2051" width="40.28515625" style="140" bestFit="1" customWidth="1"/>
    <col min="2052" max="2052" width="12" style="140" customWidth="1"/>
    <col min="2053" max="2053" width="10" style="140" customWidth="1"/>
    <col min="2054" max="2054" width="14.85546875" style="140" customWidth="1"/>
    <col min="2055" max="2055" width="9.5703125" style="140" customWidth="1"/>
    <col min="2056" max="2057" width="12.28515625" style="140" customWidth="1"/>
    <col min="2058" max="2060" width="12.85546875" style="140" customWidth="1"/>
    <col min="2061" max="2061" width="12.7109375" style="140" customWidth="1"/>
    <col min="2062" max="2062" width="12.28515625" style="140" bestFit="1" customWidth="1"/>
    <col min="2063" max="2063" width="13.140625" style="140" customWidth="1"/>
    <col min="2064" max="2304" width="9.140625" style="140"/>
    <col min="2305" max="2305" width="2.7109375" style="140" customWidth="1"/>
    <col min="2306" max="2306" width="9.140625" style="140"/>
    <col min="2307" max="2307" width="40.28515625" style="140" bestFit="1" customWidth="1"/>
    <col min="2308" max="2308" width="12" style="140" customWidth="1"/>
    <col min="2309" max="2309" width="10" style="140" customWidth="1"/>
    <col min="2310" max="2310" width="14.85546875" style="140" customWidth="1"/>
    <col min="2311" max="2311" width="9.5703125" style="140" customWidth="1"/>
    <col min="2312" max="2313" width="12.28515625" style="140" customWidth="1"/>
    <col min="2314" max="2316" width="12.85546875" style="140" customWidth="1"/>
    <col min="2317" max="2317" width="12.7109375" style="140" customWidth="1"/>
    <col min="2318" max="2318" width="12.28515625" style="140" bestFit="1" customWidth="1"/>
    <col min="2319" max="2319" width="13.140625" style="140" customWidth="1"/>
    <col min="2320" max="2560" width="9.140625" style="140"/>
    <col min="2561" max="2561" width="2.7109375" style="140" customWidth="1"/>
    <col min="2562" max="2562" width="9.140625" style="140"/>
    <col min="2563" max="2563" width="40.28515625" style="140" bestFit="1" customWidth="1"/>
    <col min="2564" max="2564" width="12" style="140" customWidth="1"/>
    <col min="2565" max="2565" width="10" style="140" customWidth="1"/>
    <col min="2566" max="2566" width="14.85546875" style="140" customWidth="1"/>
    <col min="2567" max="2567" width="9.5703125" style="140" customWidth="1"/>
    <col min="2568" max="2569" width="12.28515625" style="140" customWidth="1"/>
    <col min="2570" max="2572" width="12.85546875" style="140" customWidth="1"/>
    <col min="2573" max="2573" width="12.7109375" style="140" customWidth="1"/>
    <col min="2574" max="2574" width="12.28515625" style="140" bestFit="1" customWidth="1"/>
    <col min="2575" max="2575" width="13.140625" style="140" customWidth="1"/>
    <col min="2576" max="2816" width="9.140625" style="140"/>
    <col min="2817" max="2817" width="2.7109375" style="140" customWidth="1"/>
    <col min="2818" max="2818" width="9.140625" style="140"/>
    <col min="2819" max="2819" width="40.28515625" style="140" bestFit="1" customWidth="1"/>
    <col min="2820" max="2820" width="12" style="140" customWidth="1"/>
    <col min="2821" max="2821" width="10" style="140" customWidth="1"/>
    <col min="2822" max="2822" width="14.85546875" style="140" customWidth="1"/>
    <col min="2823" max="2823" width="9.5703125" style="140" customWidth="1"/>
    <col min="2824" max="2825" width="12.28515625" style="140" customWidth="1"/>
    <col min="2826" max="2828" width="12.85546875" style="140" customWidth="1"/>
    <col min="2829" max="2829" width="12.7109375" style="140" customWidth="1"/>
    <col min="2830" max="2830" width="12.28515625" style="140" bestFit="1" customWidth="1"/>
    <col min="2831" max="2831" width="13.140625" style="140" customWidth="1"/>
    <col min="2832" max="3072" width="9.140625" style="140"/>
    <col min="3073" max="3073" width="2.7109375" style="140" customWidth="1"/>
    <col min="3074" max="3074" width="9.140625" style="140"/>
    <col min="3075" max="3075" width="40.28515625" style="140" bestFit="1" customWidth="1"/>
    <col min="3076" max="3076" width="12" style="140" customWidth="1"/>
    <col min="3077" max="3077" width="10" style="140" customWidth="1"/>
    <col min="3078" max="3078" width="14.85546875" style="140" customWidth="1"/>
    <col min="3079" max="3079" width="9.5703125" style="140" customWidth="1"/>
    <col min="3080" max="3081" width="12.28515625" style="140" customWidth="1"/>
    <col min="3082" max="3084" width="12.85546875" style="140" customWidth="1"/>
    <col min="3085" max="3085" width="12.7109375" style="140" customWidth="1"/>
    <col min="3086" max="3086" width="12.28515625" style="140" bestFit="1" customWidth="1"/>
    <col min="3087" max="3087" width="13.140625" style="140" customWidth="1"/>
    <col min="3088" max="3328" width="9.140625" style="140"/>
    <col min="3329" max="3329" width="2.7109375" style="140" customWidth="1"/>
    <col min="3330" max="3330" width="9.140625" style="140"/>
    <col min="3331" max="3331" width="40.28515625" style="140" bestFit="1" customWidth="1"/>
    <col min="3332" max="3332" width="12" style="140" customWidth="1"/>
    <col min="3333" max="3333" width="10" style="140" customWidth="1"/>
    <col min="3334" max="3334" width="14.85546875" style="140" customWidth="1"/>
    <col min="3335" max="3335" width="9.5703125" style="140" customWidth="1"/>
    <col min="3336" max="3337" width="12.28515625" style="140" customWidth="1"/>
    <col min="3338" max="3340" width="12.85546875" style="140" customWidth="1"/>
    <col min="3341" max="3341" width="12.7109375" style="140" customWidth="1"/>
    <col min="3342" max="3342" width="12.28515625" style="140" bestFit="1" customWidth="1"/>
    <col min="3343" max="3343" width="13.140625" style="140" customWidth="1"/>
    <col min="3344" max="3584" width="9.140625" style="140"/>
    <col min="3585" max="3585" width="2.7109375" style="140" customWidth="1"/>
    <col min="3586" max="3586" width="9.140625" style="140"/>
    <col min="3587" max="3587" width="40.28515625" style="140" bestFit="1" customWidth="1"/>
    <col min="3588" max="3588" width="12" style="140" customWidth="1"/>
    <col min="3589" max="3589" width="10" style="140" customWidth="1"/>
    <col min="3590" max="3590" width="14.85546875" style="140" customWidth="1"/>
    <col min="3591" max="3591" width="9.5703125" style="140" customWidth="1"/>
    <col min="3592" max="3593" width="12.28515625" style="140" customWidth="1"/>
    <col min="3594" max="3596" width="12.85546875" style="140" customWidth="1"/>
    <col min="3597" max="3597" width="12.7109375" style="140" customWidth="1"/>
    <col min="3598" max="3598" width="12.28515625" style="140" bestFit="1" customWidth="1"/>
    <col min="3599" max="3599" width="13.140625" style="140" customWidth="1"/>
    <col min="3600" max="3840" width="9.140625" style="140"/>
    <col min="3841" max="3841" width="2.7109375" style="140" customWidth="1"/>
    <col min="3842" max="3842" width="9.140625" style="140"/>
    <col min="3843" max="3843" width="40.28515625" style="140" bestFit="1" customWidth="1"/>
    <col min="3844" max="3844" width="12" style="140" customWidth="1"/>
    <col min="3845" max="3845" width="10" style="140" customWidth="1"/>
    <col min="3846" max="3846" width="14.85546875" style="140" customWidth="1"/>
    <col min="3847" max="3847" width="9.5703125" style="140" customWidth="1"/>
    <col min="3848" max="3849" width="12.28515625" style="140" customWidth="1"/>
    <col min="3850" max="3852" width="12.85546875" style="140" customWidth="1"/>
    <col min="3853" max="3853" width="12.7109375" style="140" customWidth="1"/>
    <col min="3854" max="3854" width="12.28515625" style="140" bestFit="1" customWidth="1"/>
    <col min="3855" max="3855" width="13.140625" style="140" customWidth="1"/>
    <col min="3856" max="4096" width="9.140625" style="140"/>
    <col min="4097" max="4097" width="2.7109375" style="140" customWidth="1"/>
    <col min="4098" max="4098" width="9.140625" style="140"/>
    <col min="4099" max="4099" width="40.28515625" style="140" bestFit="1" customWidth="1"/>
    <col min="4100" max="4100" width="12" style="140" customWidth="1"/>
    <col min="4101" max="4101" width="10" style="140" customWidth="1"/>
    <col min="4102" max="4102" width="14.85546875" style="140" customWidth="1"/>
    <col min="4103" max="4103" width="9.5703125" style="140" customWidth="1"/>
    <col min="4104" max="4105" width="12.28515625" style="140" customWidth="1"/>
    <col min="4106" max="4108" width="12.85546875" style="140" customWidth="1"/>
    <col min="4109" max="4109" width="12.7109375" style="140" customWidth="1"/>
    <col min="4110" max="4110" width="12.28515625" style="140" bestFit="1" customWidth="1"/>
    <col min="4111" max="4111" width="13.140625" style="140" customWidth="1"/>
    <col min="4112" max="4352" width="9.140625" style="140"/>
    <col min="4353" max="4353" width="2.7109375" style="140" customWidth="1"/>
    <col min="4354" max="4354" width="9.140625" style="140"/>
    <col min="4355" max="4355" width="40.28515625" style="140" bestFit="1" customWidth="1"/>
    <col min="4356" max="4356" width="12" style="140" customWidth="1"/>
    <col min="4357" max="4357" width="10" style="140" customWidth="1"/>
    <col min="4358" max="4358" width="14.85546875" style="140" customWidth="1"/>
    <col min="4359" max="4359" width="9.5703125" style="140" customWidth="1"/>
    <col min="4360" max="4361" width="12.28515625" style="140" customWidth="1"/>
    <col min="4362" max="4364" width="12.85546875" style="140" customWidth="1"/>
    <col min="4365" max="4365" width="12.7109375" style="140" customWidth="1"/>
    <col min="4366" max="4366" width="12.28515625" style="140" bestFit="1" customWidth="1"/>
    <col min="4367" max="4367" width="13.140625" style="140" customWidth="1"/>
    <col min="4368" max="4608" width="9.140625" style="140"/>
    <col min="4609" max="4609" width="2.7109375" style="140" customWidth="1"/>
    <col min="4610" max="4610" width="9.140625" style="140"/>
    <col min="4611" max="4611" width="40.28515625" style="140" bestFit="1" customWidth="1"/>
    <col min="4612" max="4612" width="12" style="140" customWidth="1"/>
    <col min="4613" max="4613" width="10" style="140" customWidth="1"/>
    <col min="4614" max="4614" width="14.85546875" style="140" customWidth="1"/>
    <col min="4615" max="4615" width="9.5703125" style="140" customWidth="1"/>
    <col min="4616" max="4617" width="12.28515625" style="140" customWidth="1"/>
    <col min="4618" max="4620" width="12.85546875" style="140" customWidth="1"/>
    <col min="4621" max="4621" width="12.7109375" style="140" customWidth="1"/>
    <col min="4622" max="4622" width="12.28515625" style="140" bestFit="1" customWidth="1"/>
    <col min="4623" max="4623" width="13.140625" style="140" customWidth="1"/>
    <col min="4624" max="4864" width="9.140625" style="140"/>
    <col min="4865" max="4865" width="2.7109375" style="140" customWidth="1"/>
    <col min="4866" max="4866" width="9.140625" style="140"/>
    <col min="4867" max="4867" width="40.28515625" style="140" bestFit="1" customWidth="1"/>
    <col min="4868" max="4868" width="12" style="140" customWidth="1"/>
    <col min="4869" max="4869" width="10" style="140" customWidth="1"/>
    <col min="4870" max="4870" width="14.85546875" style="140" customWidth="1"/>
    <col min="4871" max="4871" width="9.5703125" style="140" customWidth="1"/>
    <col min="4872" max="4873" width="12.28515625" style="140" customWidth="1"/>
    <col min="4874" max="4876" width="12.85546875" style="140" customWidth="1"/>
    <col min="4877" max="4877" width="12.7109375" style="140" customWidth="1"/>
    <col min="4878" max="4878" width="12.28515625" style="140" bestFit="1" customWidth="1"/>
    <col min="4879" max="4879" width="13.140625" style="140" customWidth="1"/>
    <col min="4880" max="5120" width="9.140625" style="140"/>
    <col min="5121" max="5121" width="2.7109375" style="140" customWidth="1"/>
    <col min="5122" max="5122" width="9.140625" style="140"/>
    <col min="5123" max="5123" width="40.28515625" style="140" bestFit="1" customWidth="1"/>
    <col min="5124" max="5124" width="12" style="140" customWidth="1"/>
    <col min="5125" max="5125" width="10" style="140" customWidth="1"/>
    <col min="5126" max="5126" width="14.85546875" style="140" customWidth="1"/>
    <col min="5127" max="5127" width="9.5703125" style="140" customWidth="1"/>
    <col min="5128" max="5129" width="12.28515625" style="140" customWidth="1"/>
    <col min="5130" max="5132" width="12.85546875" style="140" customWidth="1"/>
    <col min="5133" max="5133" width="12.7109375" style="140" customWidth="1"/>
    <col min="5134" max="5134" width="12.28515625" style="140" bestFit="1" customWidth="1"/>
    <col min="5135" max="5135" width="13.140625" style="140" customWidth="1"/>
    <col min="5136" max="5376" width="9.140625" style="140"/>
    <col min="5377" max="5377" width="2.7109375" style="140" customWidth="1"/>
    <col min="5378" max="5378" width="9.140625" style="140"/>
    <col min="5379" max="5379" width="40.28515625" style="140" bestFit="1" customWidth="1"/>
    <col min="5380" max="5380" width="12" style="140" customWidth="1"/>
    <col min="5381" max="5381" width="10" style="140" customWidth="1"/>
    <col min="5382" max="5382" width="14.85546875" style="140" customWidth="1"/>
    <col min="5383" max="5383" width="9.5703125" style="140" customWidth="1"/>
    <col min="5384" max="5385" width="12.28515625" style="140" customWidth="1"/>
    <col min="5386" max="5388" width="12.85546875" style="140" customWidth="1"/>
    <col min="5389" max="5389" width="12.7109375" style="140" customWidth="1"/>
    <col min="5390" max="5390" width="12.28515625" style="140" bestFit="1" customWidth="1"/>
    <col min="5391" max="5391" width="13.140625" style="140" customWidth="1"/>
    <col min="5392" max="5632" width="9.140625" style="140"/>
    <col min="5633" max="5633" width="2.7109375" style="140" customWidth="1"/>
    <col min="5634" max="5634" width="9.140625" style="140"/>
    <col min="5635" max="5635" width="40.28515625" style="140" bestFit="1" customWidth="1"/>
    <col min="5636" max="5636" width="12" style="140" customWidth="1"/>
    <col min="5637" max="5637" width="10" style="140" customWidth="1"/>
    <col min="5638" max="5638" width="14.85546875" style="140" customWidth="1"/>
    <col min="5639" max="5639" width="9.5703125" style="140" customWidth="1"/>
    <col min="5640" max="5641" width="12.28515625" style="140" customWidth="1"/>
    <col min="5642" max="5644" width="12.85546875" style="140" customWidth="1"/>
    <col min="5645" max="5645" width="12.7109375" style="140" customWidth="1"/>
    <col min="5646" max="5646" width="12.28515625" style="140" bestFit="1" customWidth="1"/>
    <col min="5647" max="5647" width="13.140625" style="140" customWidth="1"/>
    <col min="5648" max="5888" width="9.140625" style="140"/>
    <col min="5889" max="5889" width="2.7109375" style="140" customWidth="1"/>
    <col min="5890" max="5890" width="9.140625" style="140"/>
    <col min="5891" max="5891" width="40.28515625" style="140" bestFit="1" customWidth="1"/>
    <col min="5892" max="5892" width="12" style="140" customWidth="1"/>
    <col min="5893" max="5893" width="10" style="140" customWidth="1"/>
    <col min="5894" max="5894" width="14.85546875" style="140" customWidth="1"/>
    <col min="5895" max="5895" width="9.5703125" style="140" customWidth="1"/>
    <col min="5896" max="5897" width="12.28515625" style="140" customWidth="1"/>
    <col min="5898" max="5900" width="12.85546875" style="140" customWidth="1"/>
    <col min="5901" max="5901" width="12.7109375" style="140" customWidth="1"/>
    <col min="5902" max="5902" width="12.28515625" style="140" bestFit="1" customWidth="1"/>
    <col min="5903" max="5903" width="13.140625" style="140" customWidth="1"/>
    <col min="5904" max="6144" width="9.140625" style="140"/>
    <col min="6145" max="6145" width="2.7109375" style="140" customWidth="1"/>
    <col min="6146" max="6146" width="9.140625" style="140"/>
    <col min="6147" max="6147" width="40.28515625" style="140" bestFit="1" customWidth="1"/>
    <col min="6148" max="6148" width="12" style="140" customWidth="1"/>
    <col min="6149" max="6149" width="10" style="140" customWidth="1"/>
    <col min="6150" max="6150" width="14.85546875" style="140" customWidth="1"/>
    <col min="6151" max="6151" width="9.5703125" style="140" customWidth="1"/>
    <col min="6152" max="6153" width="12.28515625" style="140" customWidth="1"/>
    <col min="6154" max="6156" width="12.85546875" style="140" customWidth="1"/>
    <col min="6157" max="6157" width="12.7109375" style="140" customWidth="1"/>
    <col min="6158" max="6158" width="12.28515625" style="140" bestFit="1" customWidth="1"/>
    <col min="6159" max="6159" width="13.140625" style="140" customWidth="1"/>
    <col min="6160" max="6400" width="9.140625" style="140"/>
    <col min="6401" max="6401" width="2.7109375" style="140" customWidth="1"/>
    <col min="6402" max="6402" width="9.140625" style="140"/>
    <col min="6403" max="6403" width="40.28515625" style="140" bestFit="1" customWidth="1"/>
    <col min="6404" max="6404" width="12" style="140" customWidth="1"/>
    <col min="6405" max="6405" width="10" style="140" customWidth="1"/>
    <col min="6406" max="6406" width="14.85546875" style="140" customWidth="1"/>
    <col min="6407" max="6407" width="9.5703125" style="140" customWidth="1"/>
    <col min="6408" max="6409" width="12.28515625" style="140" customWidth="1"/>
    <col min="6410" max="6412" width="12.85546875" style="140" customWidth="1"/>
    <col min="6413" max="6413" width="12.7109375" style="140" customWidth="1"/>
    <col min="6414" max="6414" width="12.28515625" style="140" bestFit="1" customWidth="1"/>
    <col min="6415" max="6415" width="13.140625" style="140" customWidth="1"/>
    <col min="6416" max="6656" width="9.140625" style="140"/>
    <col min="6657" max="6657" width="2.7109375" style="140" customWidth="1"/>
    <col min="6658" max="6658" width="9.140625" style="140"/>
    <col min="6659" max="6659" width="40.28515625" style="140" bestFit="1" customWidth="1"/>
    <col min="6660" max="6660" width="12" style="140" customWidth="1"/>
    <col min="6661" max="6661" width="10" style="140" customWidth="1"/>
    <col min="6662" max="6662" width="14.85546875" style="140" customWidth="1"/>
    <col min="6663" max="6663" width="9.5703125" style="140" customWidth="1"/>
    <col min="6664" max="6665" width="12.28515625" style="140" customWidth="1"/>
    <col min="6666" max="6668" width="12.85546875" style="140" customWidth="1"/>
    <col min="6669" max="6669" width="12.7109375" style="140" customWidth="1"/>
    <col min="6670" max="6670" width="12.28515625" style="140" bestFit="1" customWidth="1"/>
    <col min="6671" max="6671" width="13.140625" style="140" customWidth="1"/>
    <col min="6672" max="6912" width="9.140625" style="140"/>
    <col min="6913" max="6913" width="2.7109375" style="140" customWidth="1"/>
    <col min="6914" max="6914" width="9.140625" style="140"/>
    <col min="6915" max="6915" width="40.28515625" style="140" bestFit="1" customWidth="1"/>
    <col min="6916" max="6916" width="12" style="140" customWidth="1"/>
    <col min="6917" max="6917" width="10" style="140" customWidth="1"/>
    <col min="6918" max="6918" width="14.85546875" style="140" customWidth="1"/>
    <col min="6919" max="6919" width="9.5703125" style="140" customWidth="1"/>
    <col min="6920" max="6921" width="12.28515625" style="140" customWidth="1"/>
    <col min="6922" max="6924" width="12.85546875" style="140" customWidth="1"/>
    <col min="6925" max="6925" width="12.7109375" style="140" customWidth="1"/>
    <col min="6926" max="6926" width="12.28515625" style="140" bestFit="1" customWidth="1"/>
    <col min="6927" max="6927" width="13.140625" style="140" customWidth="1"/>
    <col min="6928" max="7168" width="9.140625" style="140"/>
    <col min="7169" max="7169" width="2.7109375" style="140" customWidth="1"/>
    <col min="7170" max="7170" width="9.140625" style="140"/>
    <col min="7171" max="7171" width="40.28515625" style="140" bestFit="1" customWidth="1"/>
    <col min="7172" max="7172" width="12" style="140" customWidth="1"/>
    <col min="7173" max="7173" width="10" style="140" customWidth="1"/>
    <col min="7174" max="7174" width="14.85546875" style="140" customWidth="1"/>
    <col min="7175" max="7175" width="9.5703125" style="140" customWidth="1"/>
    <col min="7176" max="7177" width="12.28515625" style="140" customWidth="1"/>
    <col min="7178" max="7180" width="12.85546875" style="140" customWidth="1"/>
    <col min="7181" max="7181" width="12.7109375" style="140" customWidth="1"/>
    <col min="7182" max="7182" width="12.28515625" style="140" bestFit="1" customWidth="1"/>
    <col min="7183" max="7183" width="13.140625" style="140" customWidth="1"/>
    <col min="7184" max="7424" width="9.140625" style="140"/>
    <col min="7425" max="7425" width="2.7109375" style="140" customWidth="1"/>
    <col min="7426" max="7426" width="9.140625" style="140"/>
    <col min="7427" max="7427" width="40.28515625" style="140" bestFit="1" customWidth="1"/>
    <col min="7428" max="7428" width="12" style="140" customWidth="1"/>
    <col min="7429" max="7429" width="10" style="140" customWidth="1"/>
    <col min="7430" max="7430" width="14.85546875" style="140" customWidth="1"/>
    <col min="7431" max="7431" width="9.5703125" style="140" customWidth="1"/>
    <col min="7432" max="7433" width="12.28515625" style="140" customWidth="1"/>
    <col min="7434" max="7436" width="12.85546875" style="140" customWidth="1"/>
    <col min="7437" max="7437" width="12.7109375" style="140" customWidth="1"/>
    <col min="7438" max="7438" width="12.28515625" style="140" bestFit="1" customWidth="1"/>
    <col min="7439" max="7439" width="13.140625" style="140" customWidth="1"/>
    <col min="7440" max="7680" width="9.140625" style="140"/>
    <col min="7681" max="7681" width="2.7109375" style="140" customWidth="1"/>
    <col min="7682" max="7682" width="9.140625" style="140"/>
    <col min="7683" max="7683" width="40.28515625" style="140" bestFit="1" customWidth="1"/>
    <col min="7684" max="7684" width="12" style="140" customWidth="1"/>
    <col min="7685" max="7685" width="10" style="140" customWidth="1"/>
    <col min="7686" max="7686" width="14.85546875" style="140" customWidth="1"/>
    <col min="7687" max="7687" width="9.5703125" style="140" customWidth="1"/>
    <col min="7688" max="7689" width="12.28515625" style="140" customWidth="1"/>
    <col min="7690" max="7692" width="12.85546875" style="140" customWidth="1"/>
    <col min="7693" max="7693" width="12.7109375" style="140" customWidth="1"/>
    <col min="7694" max="7694" width="12.28515625" style="140" bestFit="1" customWidth="1"/>
    <col min="7695" max="7695" width="13.140625" style="140" customWidth="1"/>
    <col min="7696" max="7936" width="9.140625" style="140"/>
    <col min="7937" max="7937" width="2.7109375" style="140" customWidth="1"/>
    <col min="7938" max="7938" width="9.140625" style="140"/>
    <col min="7939" max="7939" width="40.28515625" style="140" bestFit="1" customWidth="1"/>
    <col min="7940" max="7940" width="12" style="140" customWidth="1"/>
    <col min="7941" max="7941" width="10" style="140" customWidth="1"/>
    <col min="7942" max="7942" width="14.85546875" style="140" customWidth="1"/>
    <col min="7943" max="7943" width="9.5703125" style="140" customWidth="1"/>
    <col min="7944" max="7945" width="12.28515625" style="140" customWidth="1"/>
    <col min="7946" max="7948" width="12.85546875" style="140" customWidth="1"/>
    <col min="7949" max="7949" width="12.7109375" style="140" customWidth="1"/>
    <col min="7950" max="7950" width="12.28515625" style="140" bestFit="1" customWidth="1"/>
    <col min="7951" max="7951" width="13.140625" style="140" customWidth="1"/>
    <col min="7952" max="8192" width="9.140625" style="140"/>
    <col min="8193" max="8193" width="2.7109375" style="140" customWidth="1"/>
    <col min="8194" max="8194" width="9.140625" style="140"/>
    <col min="8195" max="8195" width="40.28515625" style="140" bestFit="1" customWidth="1"/>
    <col min="8196" max="8196" width="12" style="140" customWidth="1"/>
    <col min="8197" max="8197" width="10" style="140" customWidth="1"/>
    <col min="8198" max="8198" width="14.85546875" style="140" customWidth="1"/>
    <col min="8199" max="8199" width="9.5703125" style="140" customWidth="1"/>
    <col min="8200" max="8201" width="12.28515625" style="140" customWidth="1"/>
    <col min="8202" max="8204" width="12.85546875" style="140" customWidth="1"/>
    <col min="8205" max="8205" width="12.7109375" style="140" customWidth="1"/>
    <col min="8206" max="8206" width="12.28515625" style="140" bestFit="1" customWidth="1"/>
    <col min="8207" max="8207" width="13.140625" style="140" customWidth="1"/>
    <col min="8208" max="8448" width="9.140625" style="140"/>
    <col min="8449" max="8449" width="2.7109375" style="140" customWidth="1"/>
    <col min="8450" max="8450" width="9.140625" style="140"/>
    <col min="8451" max="8451" width="40.28515625" style="140" bestFit="1" customWidth="1"/>
    <col min="8452" max="8452" width="12" style="140" customWidth="1"/>
    <col min="8453" max="8453" width="10" style="140" customWidth="1"/>
    <col min="8454" max="8454" width="14.85546875" style="140" customWidth="1"/>
    <col min="8455" max="8455" width="9.5703125" style="140" customWidth="1"/>
    <col min="8456" max="8457" width="12.28515625" style="140" customWidth="1"/>
    <col min="8458" max="8460" width="12.85546875" style="140" customWidth="1"/>
    <col min="8461" max="8461" width="12.7109375" style="140" customWidth="1"/>
    <col min="8462" max="8462" width="12.28515625" style="140" bestFit="1" customWidth="1"/>
    <col min="8463" max="8463" width="13.140625" style="140" customWidth="1"/>
    <col min="8464" max="8704" width="9.140625" style="140"/>
    <col min="8705" max="8705" width="2.7109375" style="140" customWidth="1"/>
    <col min="8706" max="8706" width="9.140625" style="140"/>
    <col min="8707" max="8707" width="40.28515625" style="140" bestFit="1" customWidth="1"/>
    <col min="8708" max="8708" width="12" style="140" customWidth="1"/>
    <col min="8709" max="8709" width="10" style="140" customWidth="1"/>
    <col min="8710" max="8710" width="14.85546875" style="140" customWidth="1"/>
    <col min="8711" max="8711" width="9.5703125" style="140" customWidth="1"/>
    <col min="8712" max="8713" width="12.28515625" style="140" customWidth="1"/>
    <col min="8714" max="8716" width="12.85546875" style="140" customWidth="1"/>
    <col min="8717" max="8717" width="12.7109375" style="140" customWidth="1"/>
    <col min="8718" max="8718" width="12.28515625" style="140" bestFit="1" customWidth="1"/>
    <col min="8719" max="8719" width="13.140625" style="140" customWidth="1"/>
    <col min="8720" max="8960" width="9.140625" style="140"/>
    <col min="8961" max="8961" width="2.7109375" style="140" customWidth="1"/>
    <col min="8962" max="8962" width="9.140625" style="140"/>
    <col min="8963" max="8963" width="40.28515625" style="140" bestFit="1" customWidth="1"/>
    <col min="8964" max="8964" width="12" style="140" customWidth="1"/>
    <col min="8965" max="8965" width="10" style="140" customWidth="1"/>
    <col min="8966" max="8966" width="14.85546875" style="140" customWidth="1"/>
    <col min="8967" max="8967" width="9.5703125" style="140" customWidth="1"/>
    <col min="8968" max="8969" width="12.28515625" style="140" customWidth="1"/>
    <col min="8970" max="8972" width="12.85546875" style="140" customWidth="1"/>
    <col min="8973" max="8973" width="12.7109375" style="140" customWidth="1"/>
    <col min="8974" max="8974" width="12.28515625" style="140" bestFit="1" customWidth="1"/>
    <col min="8975" max="8975" width="13.140625" style="140" customWidth="1"/>
    <col min="8976" max="9216" width="9.140625" style="140"/>
    <col min="9217" max="9217" width="2.7109375" style="140" customWidth="1"/>
    <col min="9218" max="9218" width="9.140625" style="140"/>
    <col min="9219" max="9219" width="40.28515625" style="140" bestFit="1" customWidth="1"/>
    <col min="9220" max="9220" width="12" style="140" customWidth="1"/>
    <col min="9221" max="9221" width="10" style="140" customWidth="1"/>
    <col min="9222" max="9222" width="14.85546875" style="140" customWidth="1"/>
    <col min="9223" max="9223" width="9.5703125" style="140" customWidth="1"/>
    <col min="9224" max="9225" width="12.28515625" style="140" customWidth="1"/>
    <col min="9226" max="9228" width="12.85546875" style="140" customWidth="1"/>
    <col min="9229" max="9229" width="12.7109375" style="140" customWidth="1"/>
    <col min="9230" max="9230" width="12.28515625" style="140" bestFit="1" customWidth="1"/>
    <col min="9231" max="9231" width="13.140625" style="140" customWidth="1"/>
    <col min="9232" max="9472" width="9.140625" style="140"/>
    <col min="9473" max="9473" width="2.7109375" style="140" customWidth="1"/>
    <col min="9474" max="9474" width="9.140625" style="140"/>
    <col min="9475" max="9475" width="40.28515625" style="140" bestFit="1" customWidth="1"/>
    <col min="9476" max="9476" width="12" style="140" customWidth="1"/>
    <col min="9477" max="9477" width="10" style="140" customWidth="1"/>
    <col min="9478" max="9478" width="14.85546875" style="140" customWidth="1"/>
    <col min="9479" max="9479" width="9.5703125" style="140" customWidth="1"/>
    <col min="9480" max="9481" width="12.28515625" style="140" customWidth="1"/>
    <col min="9482" max="9484" width="12.85546875" style="140" customWidth="1"/>
    <col min="9485" max="9485" width="12.7109375" style="140" customWidth="1"/>
    <col min="9486" max="9486" width="12.28515625" style="140" bestFit="1" customWidth="1"/>
    <col min="9487" max="9487" width="13.140625" style="140" customWidth="1"/>
    <col min="9488" max="9728" width="9.140625" style="140"/>
    <col min="9729" max="9729" width="2.7109375" style="140" customWidth="1"/>
    <col min="9730" max="9730" width="9.140625" style="140"/>
    <col min="9731" max="9731" width="40.28515625" style="140" bestFit="1" customWidth="1"/>
    <col min="9732" max="9732" width="12" style="140" customWidth="1"/>
    <col min="9733" max="9733" width="10" style="140" customWidth="1"/>
    <col min="9734" max="9734" width="14.85546875" style="140" customWidth="1"/>
    <col min="9735" max="9735" width="9.5703125" style="140" customWidth="1"/>
    <col min="9736" max="9737" width="12.28515625" style="140" customWidth="1"/>
    <col min="9738" max="9740" width="12.85546875" style="140" customWidth="1"/>
    <col min="9741" max="9741" width="12.7109375" style="140" customWidth="1"/>
    <col min="9742" max="9742" width="12.28515625" style="140" bestFit="1" customWidth="1"/>
    <col min="9743" max="9743" width="13.140625" style="140" customWidth="1"/>
    <col min="9744" max="9984" width="9.140625" style="140"/>
    <col min="9985" max="9985" width="2.7109375" style="140" customWidth="1"/>
    <col min="9986" max="9986" width="9.140625" style="140"/>
    <col min="9987" max="9987" width="40.28515625" style="140" bestFit="1" customWidth="1"/>
    <col min="9988" max="9988" width="12" style="140" customWidth="1"/>
    <col min="9989" max="9989" width="10" style="140" customWidth="1"/>
    <col min="9990" max="9990" width="14.85546875" style="140" customWidth="1"/>
    <col min="9991" max="9991" width="9.5703125" style="140" customWidth="1"/>
    <col min="9992" max="9993" width="12.28515625" style="140" customWidth="1"/>
    <col min="9994" max="9996" width="12.85546875" style="140" customWidth="1"/>
    <col min="9997" max="9997" width="12.7109375" style="140" customWidth="1"/>
    <col min="9998" max="9998" width="12.28515625" style="140" bestFit="1" customWidth="1"/>
    <col min="9999" max="9999" width="13.140625" style="140" customWidth="1"/>
    <col min="10000" max="10240" width="9.140625" style="140"/>
    <col min="10241" max="10241" width="2.7109375" style="140" customWidth="1"/>
    <col min="10242" max="10242" width="9.140625" style="140"/>
    <col min="10243" max="10243" width="40.28515625" style="140" bestFit="1" customWidth="1"/>
    <col min="10244" max="10244" width="12" style="140" customWidth="1"/>
    <col min="10245" max="10245" width="10" style="140" customWidth="1"/>
    <col min="10246" max="10246" width="14.85546875" style="140" customWidth="1"/>
    <col min="10247" max="10247" width="9.5703125" style="140" customWidth="1"/>
    <col min="10248" max="10249" width="12.28515625" style="140" customWidth="1"/>
    <col min="10250" max="10252" width="12.85546875" style="140" customWidth="1"/>
    <col min="10253" max="10253" width="12.7109375" style="140" customWidth="1"/>
    <col min="10254" max="10254" width="12.28515625" style="140" bestFit="1" customWidth="1"/>
    <col min="10255" max="10255" width="13.140625" style="140" customWidth="1"/>
    <col min="10256" max="10496" width="9.140625" style="140"/>
    <col min="10497" max="10497" width="2.7109375" style="140" customWidth="1"/>
    <col min="10498" max="10498" width="9.140625" style="140"/>
    <col min="10499" max="10499" width="40.28515625" style="140" bestFit="1" customWidth="1"/>
    <col min="10500" max="10500" width="12" style="140" customWidth="1"/>
    <col min="10501" max="10501" width="10" style="140" customWidth="1"/>
    <col min="10502" max="10502" width="14.85546875" style="140" customWidth="1"/>
    <col min="10503" max="10503" width="9.5703125" style="140" customWidth="1"/>
    <col min="10504" max="10505" width="12.28515625" style="140" customWidth="1"/>
    <col min="10506" max="10508" width="12.85546875" style="140" customWidth="1"/>
    <col min="10509" max="10509" width="12.7109375" style="140" customWidth="1"/>
    <col min="10510" max="10510" width="12.28515625" style="140" bestFit="1" customWidth="1"/>
    <col min="10511" max="10511" width="13.140625" style="140" customWidth="1"/>
    <col min="10512" max="10752" width="9.140625" style="140"/>
    <col min="10753" max="10753" width="2.7109375" style="140" customWidth="1"/>
    <col min="10754" max="10754" width="9.140625" style="140"/>
    <col min="10755" max="10755" width="40.28515625" style="140" bestFit="1" customWidth="1"/>
    <col min="10756" max="10756" width="12" style="140" customWidth="1"/>
    <col min="10757" max="10757" width="10" style="140" customWidth="1"/>
    <col min="10758" max="10758" width="14.85546875" style="140" customWidth="1"/>
    <col min="10759" max="10759" width="9.5703125" style="140" customWidth="1"/>
    <col min="10760" max="10761" width="12.28515625" style="140" customWidth="1"/>
    <col min="10762" max="10764" width="12.85546875" style="140" customWidth="1"/>
    <col min="10765" max="10765" width="12.7109375" style="140" customWidth="1"/>
    <col min="10766" max="10766" width="12.28515625" style="140" bestFit="1" customWidth="1"/>
    <col min="10767" max="10767" width="13.140625" style="140" customWidth="1"/>
    <col min="10768" max="11008" width="9.140625" style="140"/>
    <col min="11009" max="11009" width="2.7109375" style="140" customWidth="1"/>
    <col min="11010" max="11010" width="9.140625" style="140"/>
    <col min="11011" max="11011" width="40.28515625" style="140" bestFit="1" customWidth="1"/>
    <col min="11012" max="11012" width="12" style="140" customWidth="1"/>
    <col min="11013" max="11013" width="10" style="140" customWidth="1"/>
    <col min="11014" max="11014" width="14.85546875" style="140" customWidth="1"/>
    <col min="11015" max="11015" width="9.5703125" style="140" customWidth="1"/>
    <col min="11016" max="11017" width="12.28515625" style="140" customWidth="1"/>
    <col min="11018" max="11020" width="12.85546875" style="140" customWidth="1"/>
    <col min="11021" max="11021" width="12.7109375" style="140" customWidth="1"/>
    <col min="11022" max="11022" width="12.28515625" style="140" bestFit="1" customWidth="1"/>
    <col min="11023" max="11023" width="13.140625" style="140" customWidth="1"/>
    <col min="11024" max="11264" width="9.140625" style="140"/>
    <col min="11265" max="11265" width="2.7109375" style="140" customWidth="1"/>
    <col min="11266" max="11266" width="9.140625" style="140"/>
    <col min="11267" max="11267" width="40.28515625" style="140" bestFit="1" customWidth="1"/>
    <col min="11268" max="11268" width="12" style="140" customWidth="1"/>
    <col min="11269" max="11269" width="10" style="140" customWidth="1"/>
    <col min="11270" max="11270" width="14.85546875" style="140" customWidth="1"/>
    <col min="11271" max="11271" width="9.5703125" style="140" customWidth="1"/>
    <col min="11272" max="11273" width="12.28515625" style="140" customWidth="1"/>
    <col min="11274" max="11276" width="12.85546875" style="140" customWidth="1"/>
    <col min="11277" max="11277" width="12.7109375" style="140" customWidth="1"/>
    <col min="11278" max="11278" width="12.28515625" style="140" bestFit="1" customWidth="1"/>
    <col min="11279" max="11279" width="13.140625" style="140" customWidth="1"/>
    <col min="11280" max="11520" width="9.140625" style="140"/>
    <col min="11521" max="11521" width="2.7109375" style="140" customWidth="1"/>
    <col min="11522" max="11522" width="9.140625" style="140"/>
    <col min="11523" max="11523" width="40.28515625" style="140" bestFit="1" customWidth="1"/>
    <col min="11524" max="11524" width="12" style="140" customWidth="1"/>
    <col min="11525" max="11525" width="10" style="140" customWidth="1"/>
    <col min="11526" max="11526" width="14.85546875" style="140" customWidth="1"/>
    <col min="11527" max="11527" width="9.5703125" style="140" customWidth="1"/>
    <col min="11528" max="11529" width="12.28515625" style="140" customWidth="1"/>
    <col min="11530" max="11532" width="12.85546875" style="140" customWidth="1"/>
    <col min="11533" max="11533" width="12.7109375" style="140" customWidth="1"/>
    <col min="11534" max="11534" width="12.28515625" style="140" bestFit="1" customWidth="1"/>
    <col min="11535" max="11535" width="13.140625" style="140" customWidth="1"/>
    <col min="11536" max="11776" width="9.140625" style="140"/>
    <col min="11777" max="11777" width="2.7109375" style="140" customWidth="1"/>
    <col min="11778" max="11778" width="9.140625" style="140"/>
    <col min="11779" max="11779" width="40.28515625" style="140" bestFit="1" customWidth="1"/>
    <col min="11780" max="11780" width="12" style="140" customWidth="1"/>
    <col min="11781" max="11781" width="10" style="140" customWidth="1"/>
    <col min="11782" max="11782" width="14.85546875" style="140" customWidth="1"/>
    <col min="11783" max="11783" width="9.5703125" style="140" customWidth="1"/>
    <col min="11784" max="11785" width="12.28515625" style="140" customWidth="1"/>
    <col min="11786" max="11788" width="12.85546875" style="140" customWidth="1"/>
    <col min="11789" max="11789" width="12.7109375" style="140" customWidth="1"/>
    <col min="11790" max="11790" width="12.28515625" style="140" bestFit="1" customWidth="1"/>
    <col min="11791" max="11791" width="13.140625" style="140" customWidth="1"/>
    <col min="11792" max="12032" width="9.140625" style="140"/>
    <col min="12033" max="12033" width="2.7109375" style="140" customWidth="1"/>
    <col min="12034" max="12034" width="9.140625" style="140"/>
    <col min="12035" max="12035" width="40.28515625" style="140" bestFit="1" customWidth="1"/>
    <col min="12036" max="12036" width="12" style="140" customWidth="1"/>
    <col min="12037" max="12037" width="10" style="140" customWidth="1"/>
    <col min="12038" max="12038" width="14.85546875" style="140" customWidth="1"/>
    <col min="12039" max="12039" width="9.5703125" style="140" customWidth="1"/>
    <col min="12040" max="12041" width="12.28515625" style="140" customWidth="1"/>
    <col min="12042" max="12044" width="12.85546875" style="140" customWidth="1"/>
    <col min="12045" max="12045" width="12.7109375" style="140" customWidth="1"/>
    <col min="12046" max="12046" width="12.28515625" style="140" bestFit="1" customWidth="1"/>
    <col min="12047" max="12047" width="13.140625" style="140" customWidth="1"/>
    <col min="12048" max="12288" width="9.140625" style="140"/>
    <col min="12289" max="12289" width="2.7109375" style="140" customWidth="1"/>
    <col min="12290" max="12290" width="9.140625" style="140"/>
    <col min="12291" max="12291" width="40.28515625" style="140" bestFit="1" customWidth="1"/>
    <col min="12292" max="12292" width="12" style="140" customWidth="1"/>
    <col min="12293" max="12293" width="10" style="140" customWidth="1"/>
    <col min="12294" max="12294" width="14.85546875" style="140" customWidth="1"/>
    <col min="12295" max="12295" width="9.5703125" style="140" customWidth="1"/>
    <col min="12296" max="12297" width="12.28515625" style="140" customWidth="1"/>
    <col min="12298" max="12300" width="12.85546875" style="140" customWidth="1"/>
    <col min="12301" max="12301" width="12.7109375" style="140" customWidth="1"/>
    <col min="12302" max="12302" width="12.28515625" style="140" bestFit="1" customWidth="1"/>
    <col min="12303" max="12303" width="13.140625" style="140" customWidth="1"/>
    <col min="12304" max="12544" width="9.140625" style="140"/>
    <col min="12545" max="12545" width="2.7109375" style="140" customWidth="1"/>
    <col min="12546" max="12546" width="9.140625" style="140"/>
    <col min="12547" max="12547" width="40.28515625" style="140" bestFit="1" customWidth="1"/>
    <col min="12548" max="12548" width="12" style="140" customWidth="1"/>
    <col min="12549" max="12549" width="10" style="140" customWidth="1"/>
    <col min="12550" max="12550" width="14.85546875" style="140" customWidth="1"/>
    <col min="12551" max="12551" width="9.5703125" style="140" customWidth="1"/>
    <col min="12552" max="12553" width="12.28515625" style="140" customWidth="1"/>
    <col min="12554" max="12556" width="12.85546875" style="140" customWidth="1"/>
    <col min="12557" max="12557" width="12.7109375" style="140" customWidth="1"/>
    <col min="12558" max="12558" width="12.28515625" style="140" bestFit="1" customWidth="1"/>
    <col min="12559" max="12559" width="13.140625" style="140" customWidth="1"/>
    <col min="12560" max="12800" width="9.140625" style="140"/>
    <col min="12801" max="12801" width="2.7109375" style="140" customWidth="1"/>
    <col min="12802" max="12802" width="9.140625" style="140"/>
    <col min="12803" max="12803" width="40.28515625" style="140" bestFit="1" customWidth="1"/>
    <col min="12804" max="12804" width="12" style="140" customWidth="1"/>
    <col min="12805" max="12805" width="10" style="140" customWidth="1"/>
    <col min="12806" max="12806" width="14.85546875" style="140" customWidth="1"/>
    <col min="12807" max="12807" width="9.5703125" style="140" customWidth="1"/>
    <col min="12808" max="12809" width="12.28515625" style="140" customWidth="1"/>
    <col min="12810" max="12812" width="12.85546875" style="140" customWidth="1"/>
    <col min="12813" max="12813" width="12.7109375" style="140" customWidth="1"/>
    <col min="12814" max="12814" width="12.28515625" style="140" bestFit="1" customWidth="1"/>
    <col min="12815" max="12815" width="13.140625" style="140" customWidth="1"/>
    <col min="12816" max="13056" width="9.140625" style="140"/>
    <col min="13057" max="13057" width="2.7109375" style="140" customWidth="1"/>
    <col min="13058" max="13058" width="9.140625" style="140"/>
    <col min="13059" max="13059" width="40.28515625" style="140" bestFit="1" customWidth="1"/>
    <col min="13060" max="13060" width="12" style="140" customWidth="1"/>
    <col min="13061" max="13061" width="10" style="140" customWidth="1"/>
    <col min="13062" max="13062" width="14.85546875" style="140" customWidth="1"/>
    <col min="13063" max="13063" width="9.5703125" style="140" customWidth="1"/>
    <col min="13064" max="13065" width="12.28515625" style="140" customWidth="1"/>
    <col min="13066" max="13068" width="12.85546875" style="140" customWidth="1"/>
    <col min="13069" max="13069" width="12.7109375" style="140" customWidth="1"/>
    <col min="13070" max="13070" width="12.28515625" style="140" bestFit="1" customWidth="1"/>
    <col min="13071" max="13071" width="13.140625" style="140" customWidth="1"/>
    <col min="13072" max="13312" width="9.140625" style="140"/>
    <col min="13313" max="13313" width="2.7109375" style="140" customWidth="1"/>
    <col min="13314" max="13314" width="9.140625" style="140"/>
    <col min="13315" max="13315" width="40.28515625" style="140" bestFit="1" customWidth="1"/>
    <col min="13316" max="13316" width="12" style="140" customWidth="1"/>
    <col min="13317" max="13317" width="10" style="140" customWidth="1"/>
    <col min="13318" max="13318" width="14.85546875" style="140" customWidth="1"/>
    <col min="13319" max="13319" width="9.5703125" style="140" customWidth="1"/>
    <col min="13320" max="13321" width="12.28515625" style="140" customWidth="1"/>
    <col min="13322" max="13324" width="12.85546875" style="140" customWidth="1"/>
    <col min="13325" max="13325" width="12.7109375" style="140" customWidth="1"/>
    <col min="13326" max="13326" width="12.28515625" style="140" bestFit="1" customWidth="1"/>
    <col min="13327" max="13327" width="13.140625" style="140" customWidth="1"/>
    <col min="13328" max="13568" width="9.140625" style="140"/>
    <col min="13569" max="13569" width="2.7109375" style="140" customWidth="1"/>
    <col min="13570" max="13570" width="9.140625" style="140"/>
    <col min="13571" max="13571" width="40.28515625" style="140" bestFit="1" customWidth="1"/>
    <col min="13572" max="13572" width="12" style="140" customWidth="1"/>
    <col min="13573" max="13573" width="10" style="140" customWidth="1"/>
    <col min="13574" max="13574" width="14.85546875" style="140" customWidth="1"/>
    <col min="13575" max="13575" width="9.5703125" style="140" customWidth="1"/>
    <col min="13576" max="13577" width="12.28515625" style="140" customWidth="1"/>
    <col min="13578" max="13580" width="12.85546875" style="140" customWidth="1"/>
    <col min="13581" max="13581" width="12.7109375" style="140" customWidth="1"/>
    <col min="13582" max="13582" width="12.28515625" style="140" bestFit="1" customWidth="1"/>
    <col min="13583" max="13583" width="13.140625" style="140" customWidth="1"/>
    <col min="13584" max="13824" width="9.140625" style="140"/>
    <col min="13825" max="13825" width="2.7109375" style="140" customWidth="1"/>
    <col min="13826" max="13826" width="9.140625" style="140"/>
    <col min="13827" max="13827" width="40.28515625" style="140" bestFit="1" customWidth="1"/>
    <col min="13828" max="13828" width="12" style="140" customWidth="1"/>
    <col min="13829" max="13829" width="10" style="140" customWidth="1"/>
    <col min="13830" max="13830" width="14.85546875" style="140" customWidth="1"/>
    <col min="13831" max="13831" width="9.5703125" style="140" customWidth="1"/>
    <col min="13832" max="13833" width="12.28515625" style="140" customWidth="1"/>
    <col min="13834" max="13836" width="12.85546875" style="140" customWidth="1"/>
    <col min="13837" max="13837" width="12.7109375" style="140" customWidth="1"/>
    <col min="13838" max="13838" width="12.28515625" style="140" bestFit="1" customWidth="1"/>
    <col min="13839" max="13839" width="13.140625" style="140" customWidth="1"/>
    <col min="13840" max="14080" width="9.140625" style="140"/>
    <col min="14081" max="14081" width="2.7109375" style="140" customWidth="1"/>
    <col min="14082" max="14082" width="9.140625" style="140"/>
    <col min="14083" max="14083" width="40.28515625" style="140" bestFit="1" customWidth="1"/>
    <col min="14084" max="14084" width="12" style="140" customWidth="1"/>
    <col min="14085" max="14085" width="10" style="140" customWidth="1"/>
    <col min="14086" max="14086" width="14.85546875" style="140" customWidth="1"/>
    <col min="14087" max="14087" width="9.5703125" style="140" customWidth="1"/>
    <col min="14088" max="14089" width="12.28515625" style="140" customWidth="1"/>
    <col min="14090" max="14092" width="12.85546875" style="140" customWidth="1"/>
    <col min="14093" max="14093" width="12.7109375" style="140" customWidth="1"/>
    <col min="14094" max="14094" width="12.28515625" style="140" bestFit="1" customWidth="1"/>
    <col min="14095" max="14095" width="13.140625" style="140" customWidth="1"/>
    <col min="14096" max="14336" width="9.140625" style="140"/>
    <col min="14337" max="14337" width="2.7109375" style="140" customWidth="1"/>
    <col min="14338" max="14338" width="9.140625" style="140"/>
    <col min="14339" max="14339" width="40.28515625" style="140" bestFit="1" customWidth="1"/>
    <col min="14340" max="14340" width="12" style="140" customWidth="1"/>
    <col min="14341" max="14341" width="10" style="140" customWidth="1"/>
    <col min="14342" max="14342" width="14.85546875" style="140" customWidth="1"/>
    <col min="14343" max="14343" width="9.5703125" style="140" customWidth="1"/>
    <col min="14344" max="14345" width="12.28515625" style="140" customWidth="1"/>
    <col min="14346" max="14348" width="12.85546875" style="140" customWidth="1"/>
    <col min="14349" max="14349" width="12.7109375" style="140" customWidth="1"/>
    <col min="14350" max="14350" width="12.28515625" style="140" bestFit="1" customWidth="1"/>
    <col min="14351" max="14351" width="13.140625" style="140" customWidth="1"/>
    <col min="14352" max="14592" width="9.140625" style="140"/>
    <col min="14593" max="14593" width="2.7109375" style="140" customWidth="1"/>
    <col min="14594" max="14594" width="9.140625" style="140"/>
    <col min="14595" max="14595" width="40.28515625" style="140" bestFit="1" customWidth="1"/>
    <col min="14596" max="14596" width="12" style="140" customWidth="1"/>
    <col min="14597" max="14597" width="10" style="140" customWidth="1"/>
    <col min="14598" max="14598" width="14.85546875" style="140" customWidth="1"/>
    <col min="14599" max="14599" width="9.5703125" style="140" customWidth="1"/>
    <col min="14600" max="14601" width="12.28515625" style="140" customWidth="1"/>
    <col min="14602" max="14604" width="12.85546875" style="140" customWidth="1"/>
    <col min="14605" max="14605" width="12.7109375" style="140" customWidth="1"/>
    <col min="14606" max="14606" width="12.28515625" style="140" bestFit="1" customWidth="1"/>
    <col min="14607" max="14607" width="13.140625" style="140" customWidth="1"/>
    <col min="14608" max="14848" width="9.140625" style="140"/>
    <col min="14849" max="14849" width="2.7109375" style="140" customWidth="1"/>
    <col min="14850" max="14850" width="9.140625" style="140"/>
    <col min="14851" max="14851" width="40.28515625" style="140" bestFit="1" customWidth="1"/>
    <col min="14852" max="14852" width="12" style="140" customWidth="1"/>
    <col min="14853" max="14853" width="10" style="140" customWidth="1"/>
    <col min="14854" max="14854" width="14.85546875" style="140" customWidth="1"/>
    <col min="14855" max="14855" width="9.5703125" style="140" customWidth="1"/>
    <col min="14856" max="14857" width="12.28515625" style="140" customWidth="1"/>
    <col min="14858" max="14860" width="12.85546875" style="140" customWidth="1"/>
    <col min="14861" max="14861" width="12.7109375" style="140" customWidth="1"/>
    <col min="14862" max="14862" width="12.28515625" style="140" bestFit="1" customWidth="1"/>
    <col min="14863" max="14863" width="13.140625" style="140" customWidth="1"/>
    <col min="14864" max="15104" width="9.140625" style="140"/>
    <col min="15105" max="15105" width="2.7109375" style="140" customWidth="1"/>
    <col min="15106" max="15106" width="9.140625" style="140"/>
    <col min="15107" max="15107" width="40.28515625" style="140" bestFit="1" customWidth="1"/>
    <col min="15108" max="15108" width="12" style="140" customWidth="1"/>
    <col min="15109" max="15109" width="10" style="140" customWidth="1"/>
    <col min="15110" max="15110" width="14.85546875" style="140" customWidth="1"/>
    <col min="15111" max="15111" width="9.5703125" style="140" customWidth="1"/>
    <col min="15112" max="15113" width="12.28515625" style="140" customWidth="1"/>
    <col min="15114" max="15116" width="12.85546875" style="140" customWidth="1"/>
    <col min="15117" max="15117" width="12.7109375" style="140" customWidth="1"/>
    <col min="15118" max="15118" width="12.28515625" style="140" bestFit="1" customWidth="1"/>
    <col min="15119" max="15119" width="13.140625" style="140" customWidth="1"/>
    <col min="15120" max="15360" width="9.140625" style="140"/>
    <col min="15361" max="15361" width="2.7109375" style="140" customWidth="1"/>
    <col min="15362" max="15362" width="9.140625" style="140"/>
    <col min="15363" max="15363" width="40.28515625" style="140" bestFit="1" customWidth="1"/>
    <col min="15364" max="15364" width="12" style="140" customWidth="1"/>
    <col min="15365" max="15365" width="10" style="140" customWidth="1"/>
    <col min="15366" max="15366" width="14.85546875" style="140" customWidth="1"/>
    <col min="15367" max="15367" width="9.5703125" style="140" customWidth="1"/>
    <col min="15368" max="15369" width="12.28515625" style="140" customWidth="1"/>
    <col min="15370" max="15372" width="12.85546875" style="140" customWidth="1"/>
    <col min="15373" max="15373" width="12.7109375" style="140" customWidth="1"/>
    <col min="15374" max="15374" width="12.28515625" style="140" bestFit="1" customWidth="1"/>
    <col min="15375" max="15375" width="13.140625" style="140" customWidth="1"/>
    <col min="15376" max="15616" width="9.140625" style="140"/>
    <col min="15617" max="15617" width="2.7109375" style="140" customWidth="1"/>
    <col min="15618" max="15618" width="9.140625" style="140"/>
    <col min="15619" max="15619" width="40.28515625" style="140" bestFit="1" customWidth="1"/>
    <col min="15620" max="15620" width="12" style="140" customWidth="1"/>
    <col min="15621" max="15621" width="10" style="140" customWidth="1"/>
    <col min="15622" max="15622" width="14.85546875" style="140" customWidth="1"/>
    <col min="15623" max="15623" width="9.5703125" style="140" customWidth="1"/>
    <col min="15624" max="15625" width="12.28515625" style="140" customWidth="1"/>
    <col min="15626" max="15628" width="12.85546875" style="140" customWidth="1"/>
    <col min="15629" max="15629" width="12.7109375" style="140" customWidth="1"/>
    <col min="15630" max="15630" width="12.28515625" style="140" bestFit="1" customWidth="1"/>
    <col min="15631" max="15631" width="13.140625" style="140" customWidth="1"/>
    <col min="15632" max="15872" width="9.140625" style="140"/>
    <col min="15873" max="15873" width="2.7109375" style="140" customWidth="1"/>
    <col min="15874" max="15874" width="9.140625" style="140"/>
    <col min="15875" max="15875" width="40.28515625" style="140" bestFit="1" customWidth="1"/>
    <col min="15876" max="15876" width="12" style="140" customWidth="1"/>
    <col min="15877" max="15877" width="10" style="140" customWidth="1"/>
    <col min="15878" max="15878" width="14.85546875" style="140" customWidth="1"/>
    <col min="15879" max="15879" width="9.5703125" style="140" customWidth="1"/>
    <col min="15880" max="15881" width="12.28515625" style="140" customWidth="1"/>
    <col min="15882" max="15884" width="12.85546875" style="140" customWidth="1"/>
    <col min="15885" max="15885" width="12.7109375" style="140" customWidth="1"/>
    <col min="15886" max="15886" width="12.28515625" style="140" bestFit="1" customWidth="1"/>
    <col min="15887" max="15887" width="13.140625" style="140" customWidth="1"/>
    <col min="15888" max="16128" width="9.140625" style="140"/>
    <col min="16129" max="16129" width="2.7109375" style="140" customWidth="1"/>
    <col min="16130" max="16130" width="9.140625" style="140"/>
    <col min="16131" max="16131" width="40.28515625" style="140" bestFit="1" customWidth="1"/>
    <col min="16132" max="16132" width="12" style="140" customWidth="1"/>
    <col min="16133" max="16133" width="10" style="140" customWidth="1"/>
    <col min="16134" max="16134" width="14.85546875" style="140" customWidth="1"/>
    <col min="16135" max="16135" width="9.5703125" style="140" customWidth="1"/>
    <col min="16136" max="16137" width="12.28515625" style="140" customWidth="1"/>
    <col min="16138" max="16140" width="12.85546875" style="140" customWidth="1"/>
    <col min="16141" max="16141" width="12.7109375" style="140" customWidth="1"/>
    <col min="16142" max="16142" width="12.28515625" style="140" bestFit="1" customWidth="1"/>
    <col min="16143" max="16143" width="13.140625" style="140" customWidth="1"/>
    <col min="16144" max="16384" width="9.140625" style="140"/>
  </cols>
  <sheetData>
    <row r="1" spans="1:16" x14ac:dyDescent="0.2">
      <c r="F1" s="336"/>
      <c r="G1" s="337"/>
      <c r="H1" s="337"/>
      <c r="I1" s="337"/>
      <c r="J1" s="337"/>
      <c r="K1" s="337"/>
      <c r="L1" s="337"/>
      <c r="N1" s="334" t="s">
        <v>394</v>
      </c>
      <c r="O1" s="1513" t="str">
        <f>EBNUMBER</f>
        <v>EB-2015-0089</v>
      </c>
      <c r="P1" s="337"/>
    </row>
    <row r="2" spans="1:16" x14ac:dyDescent="0.2">
      <c r="F2" s="336"/>
      <c r="G2" s="337"/>
      <c r="H2" s="337"/>
      <c r="I2" s="337"/>
      <c r="J2" s="337"/>
      <c r="K2" s="337"/>
      <c r="L2" s="337"/>
      <c r="N2" s="334" t="s">
        <v>395</v>
      </c>
      <c r="O2" s="136"/>
      <c r="P2" s="337"/>
    </row>
    <row r="3" spans="1:16" x14ac:dyDescent="0.2">
      <c r="F3" s="336"/>
      <c r="G3" s="337"/>
      <c r="H3" s="337"/>
      <c r="I3" s="337"/>
      <c r="J3" s="337"/>
      <c r="K3" s="337"/>
      <c r="L3" s="337"/>
      <c r="N3" s="334" t="s">
        <v>396</v>
      </c>
      <c r="O3" s="136"/>
      <c r="P3" s="337"/>
    </row>
    <row r="4" spans="1:16" x14ac:dyDescent="0.2">
      <c r="F4" s="336"/>
      <c r="G4" s="337"/>
      <c r="H4" s="337"/>
      <c r="I4" s="337"/>
      <c r="J4" s="337"/>
      <c r="K4" s="337"/>
      <c r="L4" s="337"/>
      <c r="N4" s="334" t="s">
        <v>397</v>
      </c>
      <c r="O4" s="136"/>
      <c r="P4" s="337"/>
    </row>
    <row r="5" spans="1:16" x14ac:dyDescent="0.2">
      <c r="F5" s="336"/>
      <c r="G5" s="337"/>
      <c r="H5" s="337"/>
      <c r="I5" s="337"/>
      <c r="J5" s="337"/>
      <c r="K5" s="337"/>
      <c r="L5" s="337"/>
      <c r="N5" s="334" t="s">
        <v>398</v>
      </c>
      <c r="O5" s="1514"/>
      <c r="P5" s="337"/>
    </row>
    <row r="6" spans="1:16" x14ac:dyDescent="0.2">
      <c r="F6" s="336"/>
      <c r="G6" s="337"/>
      <c r="H6" s="337"/>
      <c r="I6" s="337"/>
      <c r="J6" s="337"/>
      <c r="K6" s="337"/>
      <c r="L6" s="337"/>
      <c r="N6" s="334"/>
      <c r="O6" s="1513"/>
      <c r="P6" s="337"/>
    </row>
    <row r="7" spans="1:16" x14ac:dyDescent="0.2">
      <c r="F7" s="336"/>
      <c r="G7" s="337"/>
      <c r="H7" s="337"/>
      <c r="I7" s="337"/>
      <c r="J7" s="337"/>
      <c r="K7" s="337"/>
      <c r="L7" s="394"/>
      <c r="N7" s="334" t="s">
        <v>399</v>
      </c>
      <c r="O7" s="1514"/>
      <c r="P7" s="394"/>
    </row>
    <row r="9" spans="1:16" ht="18" x14ac:dyDescent="0.25">
      <c r="A9" s="1979" t="s">
        <v>525</v>
      </c>
      <c r="B9" s="1979"/>
      <c r="C9" s="1979"/>
      <c r="D9" s="1979"/>
      <c r="E9" s="1979"/>
      <c r="F9" s="1979"/>
      <c r="G9" s="1979"/>
      <c r="H9" s="1979"/>
      <c r="I9" s="1979"/>
      <c r="J9" s="1979"/>
      <c r="K9" s="1979"/>
      <c r="L9" s="1979"/>
      <c r="M9" s="1979"/>
      <c r="N9" s="1979"/>
      <c r="O9" s="1979"/>
    </row>
    <row r="10" spans="1:16" ht="18" x14ac:dyDescent="0.25">
      <c r="A10" s="1979" t="s">
        <v>3</v>
      </c>
      <c r="B10" s="1979"/>
      <c r="C10" s="1979"/>
      <c r="D10" s="1979"/>
      <c r="E10" s="1979"/>
      <c r="F10" s="1979"/>
      <c r="G10" s="1979"/>
      <c r="H10" s="1979"/>
      <c r="I10" s="1979"/>
      <c r="J10" s="1979"/>
      <c r="K10" s="1979"/>
      <c r="L10" s="1979"/>
      <c r="M10" s="1979"/>
      <c r="N10" s="1979"/>
      <c r="O10" s="1979"/>
    </row>
    <row r="11" spans="1:16" ht="23.25" customHeight="1" x14ac:dyDescent="0.2">
      <c r="A11" s="2076" t="s">
        <v>1854</v>
      </c>
      <c r="B11" s="2076"/>
      <c r="C11" s="2076"/>
      <c r="D11" s="2076"/>
      <c r="E11" s="2076"/>
      <c r="F11" s="2076"/>
      <c r="G11" s="2076"/>
      <c r="H11" s="2076"/>
      <c r="I11" s="2076"/>
      <c r="J11" s="2076"/>
      <c r="K11" s="2076"/>
      <c r="L11" s="2076"/>
      <c r="M11" s="2076"/>
      <c r="N11" s="2076"/>
      <c r="O11" s="2076"/>
    </row>
    <row r="12" spans="1:16" ht="23.25" customHeight="1" x14ac:dyDescent="0.2">
      <c r="A12" s="1479"/>
      <c r="B12" s="1479"/>
      <c r="C12" s="1479"/>
      <c r="D12" s="1479"/>
      <c r="E12" s="1479"/>
      <c r="F12" s="1479"/>
      <c r="G12" s="1479"/>
      <c r="H12" s="1479"/>
      <c r="I12" s="1479"/>
      <c r="J12" s="1479"/>
      <c r="K12" s="1479"/>
      <c r="L12" s="1479"/>
      <c r="M12" s="1479"/>
      <c r="N12" s="1479"/>
      <c r="O12" s="1479"/>
    </row>
    <row r="13" spans="1:16" ht="13.5" customHeight="1" x14ac:dyDescent="0.25">
      <c r="A13" s="1467"/>
      <c r="B13" s="1467"/>
      <c r="C13" s="435" t="s">
        <v>39</v>
      </c>
      <c r="D13" s="397">
        <v>2012</v>
      </c>
      <c r="E13" s="436" t="s">
        <v>1607</v>
      </c>
      <c r="F13" s="1467"/>
      <c r="G13" s="1467"/>
      <c r="H13" s="1467"/>
      <c r="I13" s="1467"/>
      <c r="J13" s="1467"/>
      <c r="K13" s="1467"/>
      <c r="L13" s="1467"/>
    </row>
    <row r="14" spans="1:16" ht="13.5" customHeight="1" thickBot="1" x14ac:dyDescent="0.3">
      <c r="A14" s="1467"/>
      <c r="B14" s="1467"/>
      <c r="C14" s="435"/>
      <c r="D14" s="397"/>
      <c r="E14" s="436"/>
      <c r="F14" s="1467"/>
      <c r="G14" s="1467"/>
      <c r="H14" s="1467"/>
      <c r="I14" s="1467"/>
      <c r="J14" s="1467"/>
      <c r="K14" s="1467"/>
      <c r="L14" s="1467"/>
    </row>
    <row r="15" spans="1:16" ht="61.5" customHeight="1" x14ac:dyDescent="0.2">
      <c r="A15" s="2070" t="s">
        <v>4</v>
      </c>
      <c r="B15" s="2072" t="s">
        <v>324</v>
      </c>
      <c r="C15" s="404" t="s">
        <v>495</v>
      </c>
      <c r="D15" s="404" t="s">
        <v>326</v>
      </c>
      <c r="E15" s="404" t="s">
        <v>477</v>
      </c>
      <c r="F15" s="404" t="s">
        <v>478</v>
      </c>
      <c r="G15" s="404" t="s">
        <v>479</v>
      </c>
      <c r="H15" s="437" t="s">
        <v>480</v>
      </c>
      <c r="I15" s="438" t="s">
        <v>481</v>
      </c>
      <c r="J15" s="438" t="s">
        <v>494</v>
      </c>
      <c r="K15" s="2079" t="s">
        <v>1602</v>
      </c>
      <c r="L15" s="438" t="s">
        <v>482</v>
      </c>
      <c r="M15" s="438" t="s">
        <v>490</v>
      </c>
      <c r="N15" s="2079" t="s">
        <v>616</v>
      </c>
      <c r="O15" s="438" t="s">
        <v>615</v>
      </c>
    </row>
    <row r="16" spans="1:16" ht="19.5" customHeight="1" thickBot="1" x14ac:dyDescent="0.25">
      <c r="A16" s="2077"/>
      <c r="B16" s="2078"/>
      <c r="C16" s="439" t="s">
        <v>5</v>
      </c>
      <c r="D16" s="439" t="s">
        <v>6</v>
      </c>
      <c r="E16" s="440" t="s">
        <v>483</v>
      </c>
      <c r="F16" s="439" t="s">
        <v>8</v>
      </c>
      <c r="G16" s="439" t="s">
        <v>9</v>
      </c>
      <c r="H16" s="441" t="s">
        <v>484</v>
      </c>
      <c r="I16" s="442" t="s">
        <v>485</v>
      </c>
      <c r="J16" s="443" t="s">
        <v>486</v>
      </c>
      <c r="K16" s="2080"/>
      <c r="L16" s="442" t="s">
        <v>487</v>
      </c>
      <c r="M16" s="442" t="s">
        <v>488</v>
      </c>
      <c r="N16" s="2081"/>
      <c r="O16" s="443" t="s">
        <v>612</v>
      </c>
    </row>
    <row r="17" spans="1:15" ht="25.5" x14ac:dyDescent="0.2">
      <c r="A17" s="1476">
        <v>1611</v>
      </c>
      <c r="B17" s="444" t="s">
        <v>475</v>
      </c>
      <c r="C17" s="356"/>
      <c r="D17" s="356"/>
      <c r="E17" s="411"/>
      <c r="F17" s="411"/>
      <c r="G17" s="445">
        <f t="shared" ref="G17:G54" si="0">IF(F17=0,0,1/F17)</f>
        <v>0</v>
      </c>
      <c r="H17" s="374">
        <f t="shared" ref="H17:H54" si="1">IF(E17=0,0,+C17/E17)</f>
        <v>0</v>
      </c>
      <c r="I17" s="374">
        <f t="shared" ref="I17:I54" si="2">IF(F17=0,0,+(D17*0.5)/F17)</f>
        <v>0</v>
      </c>
      <c r="J17" s="374">
        <f t="shared" ref="J17:J54" si="3">IF(ISERROR(+H17+I17), 0, +H17+I17)</f>
        <v>0</v>
      </c>
      <c r="K17" s="356"/>
      <c r="L17" s="374">
        <f t="shared" ref="L17:L54" si="4">IF(ISERROR(+J17-K17), 0, +J17-K17)</f>
        <v>0</v>
      </c>
      <c r="M17" s="374">
        <f t="shared" ref="M17:M54" si="5">IF(F17=0,0,+(D17)/F17)</f>
        <v>0</v>
      </c>
      <c r="N17" s="356"/>
      <c r="O17" s="374">
        <f>IF(ISERROR(+M17+H17-N17), 0, +M17+H17-N17)</f>
        <v>0</v>
      </c>
    </row>
    <row r="18" spans="1:15" ht="25.5" x14ac:dyDescent="0.2">
      <c r="A18" s="1473">
        <v>1612</v>
      </c>
      <c r="B18" s="355" t="s">
        <v>563</v>
      </c>
      <c r="C18" s="356"/>
      <c r="D18" s="356"/>
      <c r="E18" s="411"/>
      <c r="F18" s="411"/>
      <c r="G18" s="413">
        <f t="shared" si="0"/>
        <v>0</v>
      </c>
      <c r="H18" s="374">
        <f t="shared" si="1"/>
        <v>0</v>
      </c>
      <c r="I18" s="374">
        <f t="shared" si="2"/>
        <v>0</v>
      </c>
      <c r="J18" s="374">
        <f t="shared" si="3"/>
        <v>0</v>
      </c>
      <c r="K18" s="356"/>
      <c r="L18" s="374">
        <f t="shared" si="4"/>
        <v>0</v>
      </c>
      <c r="M18" s="374">
        <f t="shared" si="5"/>
        <v>0</v>
      </c>
      <c r="N18" s="356"/>
      <c r="O18" s="374">
        <f t="shared" ref="O18:O54" si="6">IF(ISERROR(+M18+H18-N18), 0, +M18+H18-N18)</f>
        <v>0</v>
      </c>
    </row>
    <row r="19" spans="1:15" x14ac:dyDescent="0.2">
      <c r="A19" s="361">
        <v>1805</v>
      </c>
      <c r="B19" s="362" t="s">
        <v>358</v>
      </c>
      <c r="C19" s="356"/>
      <c r="D19" s="356"/>
      <c r="E19" s="411"/>
      <c r="F19" s="411"/>
      <c r="G19" s="413">
        <f t="shared" si="0"/>
        <v>0</v>
      </c>
      <c r="H19" s="374">
        <f t="shared" si="1"/>
        <v>0</v>
      </c>
      <c r="I19" s="374">
        <f t="shared" si="2"/>
        <v>0</v>
      </c>
      <c r="J19" s="374">
        <f t="shared" si="3"/>
        <v>0</v>
      </c>
      <c r="K19" s="356"/>
      <c r="L19" s="374">
        <f t="shared" si="4"/>
        <v>0</v>
      </c>
      <c r="M19" s="374">
        <f t="shared" si="5"/>
        <v>0</v>
      </c>
      <c r="N19" s="356"/>
      <c r="O19" s="374">
        <f t="shared" si="6"/>
        <v>0</v>
      </c>
    </row>
    <row r="20" spans="1:15" x14ac:dyDescent="0.2">
      <c r="A20" s="1473">
        <v>1808</v>
      </c>
      <c r="B20" s="363" t="s">
        <v>359</v>
      </c>
      <c r="C20" s="356"/>
      <c r="D20" s="356"/>
      <c r="E20" s="411"/>
      <c r="F20" s="411"/>
      <c r="G20" s="413">
        <f t="shared" si="0"/>
        <v>0</v>
      </c>
      <c r="H20" s="374">
        <f t="shared" si="1"/>
        <v>0</v>
      </c>
      <c r="I20" s="374">
        <f t="shared" si="2"/>
        <v>0</v>
      </c>
      <c r="J20" s="374">
        <f t="shared" si="3"/>
        <v>0</v>
      </c>
      <c r="K20" s="356"/>
      <c r="L20" s="374">
        <f t="shared" si="4"/>
        <v>0</v>
      </c>
      <c r="M20" s="374">
        <f t="shared" si="5"/>
        <v>0</v>
      </c>
      <c r="N20" s="356"/>
      <c r="O20" s="374">
        <f t="shared" si="6"/>
        <v>0</v>
      </c>
    </row>
    <row r="21" spans="1:15" x14ac:dyDescent="0.2">
      <c r="A21" s="1473">
        <v>1810</v>
      </c>
      <c r="B21" s="363" t="s">
        <v>392</v>
      </c>
      <c r="C21" s="356"/>
      <c r="D21" s="356"/>
      <c r="E21" s="411"/>
      <c r="F21" s="411"/>
      <c r="G21" s="413">
        <f t="shared" si="0"/>
        <v>0</v>
      </c>
      <c r="H21" s="374">
        <f t="shared" si="1"/>
        <v>0</v>
      </c>
      <c r="I21" s="374">
        <f t="shared" si="2"/>
        <v>0</v>
      </c>
      <c r="J21" s="374">
        <f t="shared" si="3"/>
        <v>0</v>
      </c>
      <c r="K21" s="356"/>
      <c r="L21" s="374">
        <f t="shared" si="4"/>
        <v>0</v>
      </c>
      <c r="M21" s="374">
        <f t="shared" si="5"/>
        <v>0</v>
      </c>
      <c r="N21" s="356"/>
      <c r="O21" s="374">
        <f t="shared" si="6"/>
        <v>0</v>
      </c>
    </row>
    <row r="22" spans="1:15" x14ac:dyDescent="0.2">
      <c r="A22" s="1473">
        <v>1815</v>
      </c>
      <c r="B22" s="363" t="s">
        <v>360</v>
      </c>
      <c r="C22" s="356"/>
      <c r="D22" s="356"/>
      <c r="E22" s="411"/>
      <c r="F22" s="411"/>
      <c r="G22" s="413">
        <f t="shared" si="0"/>
        <v>0</v>
      </c>
      <c r="H22" s="374">
        <f t="shared" si="1"/>
        <v>0</v>
      </c>
      <c r="I22" s="374">
        <f t="shared" si="2"/>
        <v>0</v>
      </c>
      <c r="J22" s="374">
        <f t="shared" si="3"/>
        <v>0</v>
      </c>
      <c r="K22" s="356"/>
      <c r="L22" s="374">
        <f t="shared" si="4"/>
        <v>0</v>
      </c>
      <c r="M22" s="374">
        <f t="shared" si="5"/>
        <v>0</v>
      </c>
      <c r="N22" s="356"/>
      <c r="O22" s="374">
        <f t="shared" si="6"/>
        <v>0</v>
      </c>
    </row>
    <row r="23" spans="1:15" x14ac:dyDescent="0.2">
      <c r="A23" s="1473">
        <v>1820</v>
      </c>
      <c r="B23" s="355" t="s">
        <v>287</v>
      </c>
      <c r="C23" s="356"/>
      <c r="D23" s="356"/>
      <c r="E23" s="411"/>
      <c r="F23" s="411"/>
      <c r="G23" s="413">
        <f t="shared" si="0"/>
        <v>0</v>
      </c>
      <c r="H23" s="374">
        <f t="shared" si="1"/>
        <v>0</v>
      </c>
      <c r="I23" s="374">
        <f t="shared" si="2"/>
        <v>0</v>
      </c>
      <c r="J23" s="374">
        <f t="shared" si="3"/>
        <v>0</v>
      </c>
      <c r="K23" s="356"/>
      <c r="L23" s="374">
        <f t="shared" si="4"/>
        <v>0</v>
      </c>
      <c r="M23" s="374">
        <f t="shared" si="5"/>
        <v>0</v>
      </c>
      <c r="N23" s="356"/>
      <c r="O23" s="374">
        <f t="shared" si="6"/>
        <v>0</v>
      </c>
    </row>
    <row r="24" spans="1:15" x14ac:dyDescent="0.2">
      <c r="A24" s="1473">
        <v>1825</v>
      </c>
      <c r="B24" s="363" t="s">
        <v>361</v>
      </c>
      <c r="C24" s="356"/>
      <c r="D24" s="356"/>
      <c r="E24" s="411"/>
      <c r="F24" s="411"/>
      <c r="G24" s="413">
        <f t="shared" si="0"/>
        <v>0</v>
      </c>
      <c r="H24" s="374">
        <f t="shared" si="1"/>
        <v>0</v>
      </c>
      <c r="I24" s="374">
        <f t="shared" si="2"/>
        <v>0</v>
      </c>
      <c r="J24" s="374">
        <f t="shared" si="3"/>
        <v>0</v>
      </c>
      <c r="K24" s="356"/>
      <c r="L24" s="374">
        <f t="shared" si="4"/>
        <v>0</v>
      </c>
      <c r="M24" s="374">
        <f t="shared" si="5"/>
        <v>0</v>
      </c>
      <c r="N24" s="356"/>
      <c r="O24" s="374">
        <f t="shared" si="6"/>
        <v>0</v>
      </c>
    </row>
    <row r="25" spans="1:15" x14ac:dyDescent="0.2">
      <c r="A25" s="1473">
        <v>1830</v>
      </c>
      <c r="B25" s="363" t="s">
        <v>362</v>
      </c>
      <c r="C25" s="356"/>
      <c r="D25" s="356"/>
      <c r="E25" s="411"/>
      <c r="F25" s="411"/>
      <c r="G25" s="413">
        <f t="shared" si="0"/>
        <v>0</v>
      </c>
      <c r="H25" s="374">
        <f t="shared" si="1"/>
        <v>0</v>
      </c>
      <c r="I25" s="374">
        <f t="shared" si="2"/>
        <v>0</v>
      </c>
      <c r="J25" s="374">
        <f t="shared" si="3"/>
        <v>0</v>
      </c>
      <c r="K25" s="356"/>
      <c r="L25" s="374">
        <f t="shared" si="4"/>
        <v>0</v>
      </c>
      <c r="M25" s="374">
        <f t="shared" si="5"/>
        <v>0</v>
      </c>
      <c r="N25" s="356"/>
      <c r="O25" s="374">
        <f t="shared" si="6"/>
        <v>0</v>
      </c>
    </row>
    <row r="26" spans="1:15" x14ac:dyDescent="0.2">
      <c r="A26" s="1473">
        <v>1835</v>
      </c>
      <c r="B26" s="363" t="s">
        <v>288</v>
      </c>
      <c r="C26" s="356"/>
      <c r="D26" s="356"/>
      <c r="E26" s="411"/>
      <c r="F26" s="411"/>
      <c r="G26" s="413">
        <f t="shared" si="0"/>
        <v>0</v>
      </c>
      <c r="H26" s="374">
        <f t="shared" si="1"/>
        <v>0</v>
      </c>
      <c r="I26" s="374">
        <f t="shared" si="2"/>
        <v>0</v>
      </c>
      <c r="J26" s="374">
        <f t="shared" si="3"/>
        <v>0</v>
      </c>
      <c r="K26" s="356"/>
      <c r="L26" s="374">
        <f t="shared" si="4"/>
        <v>0</v>
      </c>
      <c r="M26" s="374">
        <f t="shared" si="5"/>
        <v>0</v>
      </c>
      <c r="N26" s="356"/>
      <c r="O26" s="374">
        <f t="shared" si="6"/>
        <v>0</v>
      </c>
    </row>
    <row r="27" spans="1:15" x14ac:dyDescent="0.2">
      <c r="A27" s="1473">
        <v>1840</v>
      </c>
      <c r="B27" s="363" t="s">
        <v>289</v>
      </c>
      <c r="C27" s="356"/>
      <c r="D27" s="356"/>
      <c r="E27" s="411"/>
      <c r="F27" s="411"/>
      <c r="G27" s="413">
        <f t="shared" si="0"/>
        <v>0</v>
      </c>
      <c r="H27" s="374">
        <f t="shared" si="1"/>
        <v>0</v>
      </c>
      <c r="I27" s="374">
        <f t="shared" si="2"/>
        <v>0</v>
      </c>
      <c r="J27" s="374">
        <f t="shared" si="3"/>
        <v>0</v>
      </c>
      <c r="K27" s="356"/>
      <c r="L27" s="374">
        <f t="shared" si="4"/>
        <v>0</v>
      </c>
      <c r="M27" s="374">
        <f t="shared" si="5"/>
        <v>0</v>
      </c>
      <c r="N27" s="356"/>
      <c r="O27" s="374">
        <f t="shared" si="6"/>
        <v>0</v>
      </c>
    </row>
    <row r="28" spans="1:15" x14ac:dyDescent="0.2">
      <c r="A28" s="1473">
        <v>1845</v>
      </c>
      <c r="B28" s="363" t="s">
        <v>290</v>
      </c>
      <c r="C28" s="356"/>
      <c r="D28" s="356"/>
      <c r="E28" s="411"/>
      <c r="F28" s="411"/>
      <c r="G28" s="413">
        <f t="shared" si="0"/>
        <v>0</v>
      </c>
      <c r="H28" s="374">
        <f t="shared" si="1"/>
        <v>0</v>
      </c>
      <c r="I28" s="374">
        <f t="shared" si="2"/>
        <v>0</v>
      </c>
      <c r="J28" s="374">
        <f t="shared" si="3"/>
        <v>0</v>
      </c>
      <c r="K28" s="356"/>
      <c r="L28" s="374">
        <f t="shared" si="4"/>
        <v>0</v>
      </c>
      <c r="M28" s="374">
        <f t="shared" si="5"/>
        <v>0</v>
      </c>
      <c r="N28" s="356"/>
      <c r="O28" s="374">
        <f t="shared" si="6"/>
        <v>0</v>
      </c>
    </row>
    <row r="29" spans="1:15" x14ac:dyDescent="0.2">
      <c r="A29" s="1473">
        <v>1850</v>
      </c>
      <c r="B29" s="363" t="s">
        <v>363</v>
      </c>
      <c r="C29" s="356"/>
      <c r="D29" s="356"/>
      <c r="E29" s="411"/>
      <c r="F29" s="411"/>
      <c r="G29" s="413">
        <f t="shared" si="0"/>
        <v>0</v>
      </c>
      <c r="H29" s="374">
        <f t="shared" si="1"/>
        <v>0</v>
      </c>
      <c r="I29" s="374">
        <f t="shared" si="2"/>
        <v>0</v>
      </c>
      <c r="J29" s="374">
        <f t="shared" si="3"/>
        <v>0</v>
      </c>
      <c r="K29" s="356"/>
      <c r="L29" s="374">
        <f t="shared" si="4"/>
        <v>0</v>
      </c>
      <c r="M29" s="374">
        <f t="shared" si="5"/>
        <v>0</v>
      </c>
      <c r="N29" s="356"/>
      <c r="O29" s="374">
        <f t="shared" si="6"/>
        <v>0</v>
      </c>
    </row>
    <row r="30" spans="1:15" x14ac:dyDescent="0.2">
      <c r="A30" s="1473">
        <v>1855</v>
      </c>
      <c r="B30" s="363" t="s">
        <v>291</v>
      </c>
      <c r="C30" s="356"/>
      <c r="D30" s="356"/>
      <c r="E30" s="411"/>
      <c r="F30" s="411"/>
      <c r="G30" s="413">
        <f t="shared" si="0"/>
        <v>0</v>
      </c>
      <c r="H30" s="374">
        <f t="shared" si="1"/>
        <v>0</v>
      </c>
      <c r="I30" s="374">
        <f t="shared" si="2"/>
        <v>0</v>
      </c>
      <c r="J30" s="374">
        <f t="shared" si="3"/>
        <v>0</v>
      </c>
      <c r="K30" s="356"/>
      <c r="L30" s="374">
        <f t="shared" si="4"/>
        <v>0</v>
      </c>
      <c r="M30" s="374">
        <f t="shared" si="5"/>
        <v>0</v>
      </c>
      <c r="N30" s="356"/>
      <c r="O30" s="374">
        <f t="shared" si="6"/>
        <v>0</v>
      </c>
    </row>
    <row r="31" spans="1:15" x14ac:dyDescent="0.2">
      <c r="A31" s="1473">
        <v>1860</v>
      </c>
      <c r="B31" s="363" t="s">
        <v>364</v>
      </c>
      <c r="C31" s="356"/>
      <c r="D31" s="356"/>
      <c r="E31" s="411"/>
      <c r="F31" s="411"/>
      <c r="G31" s="413">
        <f t="shared" si="0"/>
        <v>0</v>
      </c>
      <c r="H31" s="374">
        <f t="shared" si="1"/>
        <v>0</v>
      </c>
      <c r="I31" s="374">
        <f t="shared" si="2"/>
        <v>0</v>
      </c>
      <c r="J31" s="374">
        <f t="shared" si="3"/>
        <v>0</v>
      </c>
      <c r="K31" s="356"/>
      <c r="L31" s="374">
        <f t="shared" si="4"/>
        <v>0</v>
      </c>
      <c r="M31" s="374">
        <f t="shared" si="5"/>
        <v>0</v>
      </c>
      <c r="N31" s="356"/>
      <c r="O31" s="374">
        <f t="shared" si="6"/>
        <v>0</v>
      </c>
    </row>
    <row r="32" spans="1:15" x14ac:dyDescent="0.2">
      <c r="A32" s="361">
        <v>1860</v>
      </c>
      <c r="B32" s="362" t="s">
        <v>292</v>
      </c>
      <c r="C32" s="356"/>
      <c r="D32" s="356"/>
      <c r="E32" s="411"/>
      <c r="F32" s="411"/>
      <c r="G32" s="413">
        <f t="shared" si="0"/>
        <v>0</v>
      </c>
      <c r="H32" s="374">
        <f t="shared" si="1"/>
        <v>0</v>
      </c>
      <c r="I32" s="374">
        <f t="shared" si="2"/>
        <v>0</v>
      </c>
      <c r="J32" s="374">
        <f t="shared" si="3"/>
        <v>0</v>
      </c>
      <c r="K32" s="356"/>
      <c r="L32" s="374">
        <f t="shared" si="4"/>
        <v>0</v>
      </c>
      <c r="M32" s="374">
        <f t="shared" si="5"/>
        <v>0</v>
      </c>
      <c r="N32" s="356"/>
      <c r="O32" s="374">
        <f t="shared" si="6"/>
        <v>0</v>
      </c>
    </row>
    <row r="33" spans="1:15" x14ac:dyDescent="0.2">
      <c r="A33" s="361">
        <v>1905</v>
      </c>
      <c r="B33" s="362" t="s">
        <v>358</v>
      </c>
      <c r="C33" s="356"/>
      <c r="D33" s="356"/>
      <c r="E33" s="411"/>
      <c r="F33" s="411"/>
      <c r="G33" s="413">
        <f t="shared" si="0"/>
        <v>0</v>
      </c>
      <c r="H33" s="374">
        <f t="shared" si="1"/>
        <v>0</v>
      </c>
      <c r="I33" s="374">
        <f t="shared" si="2"/>
        <v>0</v>
      </c>
      <c r="J33" s="374">
        <f t="shared" si="3"/>
        <v>0</v>
      </c>
      <c r="K33" s="356"/>
      <c r="L33" s="374">
        <f t="shared" si="4"/>
        <v>0</v>
      </c>
      <c r="M33" s="374">
        <f t="shared" si="5"/>
        <v>0</v>
      </c>
      <c r="N33" s="356"/>
      <c r="O33" s="374">
        <f t="shared" si="6"/>
        <v>0</v>
      </c>
    </row>
    <row r="34" spans="1:15" x14ac:dyDescent="0.2">
      <c r="A34" s="1473">
        <v>1908</v>
      </c>
      <c r="B34" s="363" t="s">
        <v>366</v>
      </c>
      <c r="C34" s="356"/>
      <c r="D34" s="356"/>
      <c r="E34" s="411"/>
      <c r="F34" s="411"/>
      <c r="G34" s="413">
        <f t="shared" si="0"/>
        <v>0</v>
      </c>
      <c r="H34" s="374">
        <f t="shared" si="1"/>
        <v>0</v>
      </c>
      <c r="I34" s="374">
        <f t="shared" si="2"/>
        <v>0</v>
      </c>
      <c r="J34" s="374">
        <f t="shared" si="3"/>
        <v>0</v>
      </c>
      <c r="K34" s="356"/>
      <c r="L34" s="374">
        <f t="shared" si="4"/>
        <v>0</v>
      </c>
      <c r="M34" s="374">
        <f t="shared" si="5"/>
        <v>0</v>
      </c>
      <c r="N34" s="356"/>
      <c r="O34" s="374">
        <f t="shared" si="6"/>
        <v>0</v>
      </c>
    </row>
    <row r="35" spans="1:15" x14ac:dyDescent="0.2">
      <c r="A35" s="1473">
        <v>1910</v>
      </c>
      <c r="B35" s="363" t="s">
        <v>392</v>
      </c>
      <c r="C35" s="356"/>
      <c r="D35" s="356"/>
      <c r="E35" s="411"/>
      <c r="F35" s="411"/>
      <c r="G35" s="413">
        <f t="shared" si="0"/>
        <v>0</v>
      </c>
      <c r="H35" s="374">
        <f t="shared" si="1"/>
        <v>0</v>
      </c>
      <c r="I35" s="374">
        <f t="shared" si="2"/>
        <v>0</v>
      </c>
      <c r="J35" s="374">
        <f t="shared" si="3"/>
        <v>0</v>
      </c>
      <c r="K35" s="356"/>
      <c r="L35" s="374">
        <f t="shared" si="4"/>
        <v>0</v>
      </c>
      <c r="M35" s="374">
        <f t="shared" si="5"/>
        <v>0</v>
      </c>
      <c r="N35" s="356"/>
      <c r="O35" s="374">
        <f t="shared" si="6"/>
        <v>0</v>
      </c>
    </row>
    <row r="36" spans="1:15" x14ac:dyDescent="0.2">
      <c r="A36" s="1473">
        <v>1915</v>
      </c>
      <c r="B36" s="363" t="s">
        <v>293</v>
      </c>
      <c r="C36" s="356"/>
      <c r="D36" s="356"/>
      <c r="E36" s="411"/>
      <c r="F36" s="411"/>
      <c r="G36" s="413">
        <f t="shared" si="0"/>
        <v>0</v>
      </c>
      <c r="H36" s="374">
        <f t="shared" si="1"/>
        <v>0</v>
      </c>
      <c r="I36" s="374">
        <f t="shared" si="2"/>
        <v>0</v>
      </c>
      <c r="J36" s="374">
        <f t="shared" si="3"/>
        <v>0</v>
      </c>
      <c r="K36" s="356"/>
      <c r="L36" s="374">
        <f t="shared" si="4"/>
        <v>0</v>
      </c>
      <c r="M36" s="374">
        <f t="shared" si="5"/>
        <v>0</v>
      </c>
      <c r="N36" s="356"/>
      <c r="O36" s="374">
        <f t="shared" si="6"/>
        <v>0</v>
      </c>
    </row>
    <row r="37" spans="1:15" x14ac:dyDescent="0.2">
      <c r="A37" s="1473">
        <v>1915</v>
      </c>
      <c r="B37" s="363" t="s">
        <v>294</v>
      </c>
      <c r="C37" s="356"/>
      <c r="D37" s="356"/>
      <c r="E37" s="411"/>
      <c r="F37" s="411"/>
      <c r="G37" s="413">
        <f t="shared" si="0"/>
        <v>0</v>
      </c>
      <c r="H37" s="374">
        <f t="shared" si="1"/>
        <v>0</v>
      </c>
      <c r="I37" s="374">
        <f t="shared" si="2"/>
        <v>0</v>
      </c>
      <c r="J37" s="374">
        <f t="shared" si="3"/>
        <v>0</v>
      </c>
      <c r="K37" s="356"/>
      <c r="L37" s="374">
        <f t="shared" si="4"/>
        <v>0</v>
      </c>
      <c r="M37" s="374">
        <f t="shared" si="5"/>
        <v>0</v>
      </c>
      <c r="N37" s="356"/>
      <c r="O37" s="374">
        <f t="shared" si="6"/>
        <v>0</v>
      </c>
    </row>
    <row r="38" spans="1:15" x14ac:dyDescent="0.2">
      <c r="A38" s="1473">
        <v>1920</v>
      </c>
      <c r="B38" s="363" t="s">
        <v>295</v>
      </c>
      <c r="C38" s="356"/>
      <c r="D38" s="356"/>
      <c r="E38" s="411"/>
      <c r="F38" s="411"/>
      <c r="G38" s="413">
        <f t="shared" si="0"/>
        <v>0</v>
      </c>
      <c r="H38" s="374">
        <f t="shared" si="1"/>
        <v>0</v>
      </c>
      <c r="I38" s="374">
        <f t="shared" si="2"/>
        <v>0</v>
      </c>
      <c r="J38" s="374">
        <f t="shared" si="3"/>
        <v>0</v>
      </c>
      <c r="K38" s="356"/>
      <c r="L38" s="374">
        <f t="shared" si="4"/>
        <v>0</v>
      </c>
      <c r="M38" s="374">
        <f t="shared" si="5"/>
        <v>0</v>
      </c>
      <c r="N38" s="356"/>
      <c r="O38" s="374">
        <f t="shared" si="6"/>
        <v>0</v>
      </c>
    </row>
    <row r="39" spans="1:15" x14ac:dyDescent="0.2">
      <c r="A39" s="368">
        <v>1920</v>
      </c>
      <c r="B39" s="355" t="s">
        <v>297</v>
      </c>
      <c r="C39" s="356"/>
      <c r="D39" s="356"/>
      <c r="E39" s="411"/>
      <c r="F39" s="411"/>
      <c r="G39" s="413">
        <f t="shared" si="0"/>
        <v>0</v>
      </c>
      <c r="H39" s="374">
        <f t="shared" si="1"/>
        <v>0</v>
      </c>
      <c r="I39" s="374">
        <f t="shared" si="2"/>
        <v>0</v>
      </c>
      <c r="J39" s="374">
        <f t="shared" si="3"/>
        <v>0</v>
      </c>
      <c r="K39" s="356"/>
      <c r="L39" s="374">
        <f t="shared" si="4"/>
        <v>0</v>
      </c>
      <c r="M39" s="374">
        <f t="shared" si="5"/>
        <v>0</v>
      </c>
      <c r="N39" s="356"/>
      <c r="O39" s="374">
        <f t="shared" si="6"/>
        <v>0</v>
      </c>
    </row>
    <row r="40" spans="1:15" x14ac:dyDescent="0.2">
      <c r="A40" s="368">
        <v>1920</v>
      </c>
      <c r="B40" s="355" t="s">
        <v>296</v>
      </c>
      <c r="C40" s="356"/>
      <c r="D40" s="356"/>
      <c r="E40" s="411"/>
      <c r="F40" s="411"/>
      <c r="G40" s="413">
        <f t="shared" si="0"/>
        <v>0</v>
      </c>
      <c r="H40" s="374">
        <f t="shared" si="1"/>
        <v>0</v>
      </c>
      <c r="I40" s="374">
        <f t="shared" si="2"/>
        <v>0</v>
      </c>
      <c r="J40" s="374">
        <f t="shared" si="3"/>
        <v>0</v>
      </c>
      <c r="K40" s="356"/>
      <c r="L40" s="374">
        <f t="shared" si="4"/>
        <v>0</v>
      </c>
      <c r="M40" s="374">
        <f t="shared" si="5"/>
        <v>0</v>
      </c>
      <c r="N40" s="356"/>
      <c r="O40" s="374">
        <f t="shared" si="6"/>
        <v>0</v>
      </c>
    </row>
    <row r="41" spans="1:15" x14ac:dyDescent="0.2">
      <c r="A41" s="1473">
        <v>1930</v>
      </c>
      <c r="B41" s="363" t="s">
        <v>379</v>
      </c>
      <c r="C41" s="356"/>
      <c r="D41" s="356"/>
      <c r="E41" s="411"/>
      <c r="F41" s="411"/>
      <c r="G41" s="413">
        <f t="shared" si="0"/>
        <v>0</v>
      </c>
      <c r="H41" s="374">
        <f t="shared" si="1"/>
        <v>0</v>
      </c>
      <c r="I41" s="374">
        <f t="shared" si="2"/>
        <v>0</v>
      </c>
      <c r="J41" s="374">
        <f t="shared" si="3"/>
        <v>0</v>
      </c>
      <c r="K41" s="356"/>
      <c r="L41" s="374">
        <f t="shared" si="4"/>
        <v>0</v>
      </c>
      <c r="M41" s="374">
        <f t="shared" si="5"/>
        <v>0</v>
      </c>
      <c r="N41" s="356"/>
      <c r="O41" s="374">
        <f t="shared" si="6"/>
        <v>0</v>
      </c>
    </row>
    <row r="42" spans="1:15" x14ac:dyDescent="0.2">
      <c r="A42" s="1473">
        <v>1935</v>
      </c>
      <c r="B42" s="363" t="s">
        <v>380</v>
      </c>
      <c r="C42" s="356"/>
      <c r="D42" s="356"/>
      <c r="E42" s="411"/>
      <c r="F42" s="411"/>
      <c r="G42" s="413">
        <f t="shared" si="0"/>
        <v>0</v>
      </c>
      <c r="H42" s="374">
        <f t="shared" si="1"/>
        <v>0</v>
      </c>
      <c r="I42" s="374">
        <f t="shared" si="2"/>
        <v>0</v>
      </c>
      <c r="J42" s="374">
        <f t="shared" si="3"/>
        <v>0</v>
      </c>
      <c r="K42" s="356"/>
      <c r="L42" s="374">
        <f t="shared" si="4"/>
        <v>0</v>
      </c>
      <c r="M42" s="374">
        <f t="shared" si="5"/>
        <v>0</v>
      </c>
      <c r="N42" s="356"/>
      <c r="O42" s="374">
        <f t="shared" si="6"/>
        <v>0</v>
      </c>
    </row>
    <row r="43" spans="1:15" x14ac:dyDescent="0.2">
      <c r="A43" s="1473">
        <v>1940</v>
      </c>
      <c r="B43" s="363" t="s">
        <v>381</v>
      </c>
      <c r="C43" s="356"/>
      <c r="D43" s="356"/>
      <c r="E43" s="411"/>
      <c r="F43" s="411"/>
      <c r="G43" s="413">
        <f t="shared" si="0"/>
        <v>0</v>
      </c>
      <c r="H43" s="374">
        <f t="shared" si="1"/>
        <v>0</v>
      </c>
      <c r="I43" s="374">
        <f t="shared" si="2"/>
        <v>0</v>
      </c>
      <c r="J43" s="374">
        <f t="shared" si="3"/>
        <v>0</v>
      </c>
      <c r="K43" s="356"/>
      <c r="L43" s="374">
        <f t="shared" si="4"/>
        <v>0</v>
      </c>
      <c r="M43" s="374">
        <f t="shared" si="5"/>
        <v>0</v>
      </c>
      <c r="N43" s="356"/>
      <c r="O43" s="374">
        <f t="shared" si="6"/>
        <v>0</v>
      </c>
    </row>
    <row r="44" spans="1:15" x14ac:dyDescent="0.2">
      <c r="A44" s="1473">
        <v>1945</v>
      </c>
      <c r="B44" s="363" t="s">
        <v>382</v>
      </c>
      <c r="C44" s="356"/>
      <c r="D44" s="356"/>
      <c r="E44" s="411"/>
      <c r="F44" s="411"/>
      <c r="G44" s="413">
        <f t="shared" si="0"/>
        <v>0</v>
      </c>
      <c r="H44" s="374">
        <f t="shared" si="1"/>
        <v>0</v>
      </c>
      <c r="I44" s="374">
        <f t="shared" si="2"/>
        <v>0</v>
      </c>
      <c r="J44" s="374">
        <f t="shared" si="3"/>
        <v>0</v>
      </c>
      <c r="K44" s="356"/>
      <c r="L44" s="374">
        <f t="shared" si="4"/>
        <v>0</v>
      </c>
      <c r="M44" s="374">
        <f t="shared" si="5"/>
        <v>0</v>
      </c>
      <c r="N44" s="356"/>
      <c r="O44" s="374">
        <f t="shared" si="6"/>
        <v>0</v>
      </c>
    </row>
    <row r="45" spans="1:15" x14ac:dyDescent="0.2">
      <c r="A45" s="1473">
        <v>1950</v>
      </c>
      <c r="B45" s="363" t="s">
        <v>298</v>
      </c>
      <c r="C45" s="356"/>
      <c r="D45" s="356"/>
      <c r="E45" s="411"/>
      <c r="F45" s="411"/>
      <c r="G45" s="413">
        <f t="shared" si="0"/>
        <v>0</v>
      </c>
      <c r="H45" s="374">
        <f t="shared" si="1"/>
        <v>0</v>
      </c>
      <c r="I45" s="374">
        <f t="shared" si="2"/>
        <v>0</v>
      </c>
      <c r="J45" s="374">
        <f t="shared" si="3"/>
        <v>0</v>
      </c>
      <c r="K45" s="356"/>
      <c r="L45" s="374">
        <f t="shared" si="4"/>
        <v>0</v>
      </c>
      <c r="M45" s="374">
        <f t="shared" si="5"/>
        <v>0</v>
      </c>
      <c r="N45" s="356"/>
      <c r="O45" s="374">
        <f t="shared" si="6"/>
        <v>0</v>
      </c>
    </row>
    <row r="46" spans="1:15" x14ac:dyDescent="0.2">
      <c r="A46" s="1473">
        <v>1955</v>
      </c>
      <c r="B46" s="363" t="s">
        <v>383</v>
      </c>
      <c r="C46" s="356"/>
      <c r="D46" s="356"/>
      <c r="E46" s="411"/>
      <c r="F46" s="411"/>
      <c r="G46" s="413">
        <f t="shared" si="0"/>
        <v>0</v>
      </c>
      <c r="H46" s="374">
        <f t="shared" si="1"/>
        <v>0</v>
      </c>
      <c r="I46" s="374">
        <f t="shared" si="2"/>
        <v>0</v>
      </c>
      <c r="J46" s="374">
        <f t="shared" si="3"/>
        <v>0</v>
      </c>
      <c r="K46" s="356"/>
      <c r="L46" s="374">
        <f t="shared" si="4"/>
        <v>0</v>
      </c>
      <c r="M46" s="374">
        <f t="shared" si="5"/>
        <v>0</v>
      </c>
      <c r="N46" s="356"/>
      <c r="O46" s="374">
        <f t="shared" si="6"/>
        <v>0</v>
      </c>
    </row>
    <row r="47" spans="1:15" x14ac:dyDescent="0.2">
      <c r="A47" s="364">
        <v>1955</v>
      </c>
      <c r="B47" s="367" t="s">
        <v>299</v>
      </c>
      <c r="C47" s="356"/>
      <c r="D47" s="356"/>
      <c r="E47" s="411"/>
      <c r="F47" s="411"/>
      <c r="G47" s="413">
        <f t="shared" si="0"/>
        <v>0</v>
      </c>
      <c r="H47" s="374">
        <f t="shared" si="1"/>
        <v>0</v>
      </c>
      <c r="I47" s="374">
        <f t="shared" si="2"/>
        <v>0</v>
      </c>
      <c r="J47" s="374">
        <f t="shared" si="3"/>
        <v>0</v>
      </c>
      <c r="K47" s="356"/>
      <c r="L47" s="374">
        <f t="shared" si="4"/>
        <v>0</v>
      </c>
      <c r="M47" s="374">
        <f t="shared" si="5"/>
        <v>0</v>
      </c>
      <c r="N47" s="356"/>
      <c r="O47" s="374">
        <f t="shared" si="6"/>
        <v>0</v>
      </c>
    </row>
    <row r="48" spans="1:15" x14ac:dyDescent="0.2">
      <c r="A48" s="368">
        <v>1960</v>
      </c>
      <c r="B48" s="355" t="s">
        <v>300</v>
      </c>
      <c r="C48" s="356"/>
      <c r="D48" s="356"/>
      <c r="E48" s="411"/>
      <c r="F48" s="411"/>
      <c r="G48" s="413">
        <f t="shared" si="0"/>
        <v>0</v>
      </c>
      <c r="H48" s="374">
        <f t="shared" si="1"/>
        <v>0</v>
      </c>
      <c r="I48" s="374">
        <f t="shared" si="2"/>
        <v>0</v>
      </c>
      <c r="J48" s="374">
        <f t="shared" si="3"/>
        <v>0</v>
      </c>
      <c r="K48" s="356"/>
      <c r="L48" s="374">
        <f t="shared" si="4"/>
        <v>0</v>
      </c>
      <c r="M48" s="374">
        <f t="shared" si="5"/>
        <v>0</v>
      </c>
      <c r="N48" s="356"/>
      <c r="O48" s="374">
        <f t="shared" si="6"/>
        <v>0</v>
      </c>
    </row>
    <row r="49" spans="1:15" x14ac:dyDescent="0.2">
      <c r="A49" s="364">
        <v>1970</v>
      </c>
      <c r="B49" s="417" t="s">
        <v>649</v>
      </c>
      <c r="C49" s="356"/>
      <c r="D49" s="356"/>
      <c r="E49" s="411"/>
      <c r="F49" s="411"/>
      <c r="G49" s="413">
        <f t="shared" si="0"/>
        <v>0</v>
      </c>
      <c r="H49" s="374">
        <f t="shared" si="1"/>
        <v>0</v>
      </c>
      <c r="I49" s="374">
        <f t="shared" si="2"/>
        <v>0</v>
      </c>
      <c r="J49" s="374">
        <f t="shared" si="3"/>
        <v>0</v>
      </c>
      <c r="K49" s="356"/>
      <c r="L49" s="374">
        <f t="shared" si="4"/>
        <v>0</v>
      </c>
      <c r="M49" s="374">
        <f t="shared" si="5"/>
        <v>0</v>
      </c>
      <c r="N49" s="356"/>
      <c r="O49" s="374">
        <f t="shared" si="6"/>
        <v>0</v>
      </c>
    </row>
    <row r="50" spans="1:15" x14ac:dyDescent="0.2">
      <c r="A50" s="1473">
        <v>1975</v>
      </c>
      <c r="B50" s="363" t="s">
        <v>384</v>
      </c>
      <c r="C50" s="356"/>
      <c r="D50" s="356"/>
      <c r="E50" s="411"/>
      <c r="F50" s="411"/>
      <c r="G50" s="413">
        <f t="shared" si="0"/>
        <v>0</v>
      </c>
      <c r="H50" s="374">
        <f t="shared" si="1"/>
        <v>0</v>
      </c>
      <c r="I50" s="374">
        <f t="shared" si="2"/>
        <v>0</v>
      </c>
      <c r="J50" s="374">
        <f t="shared" si="3"/>
        <v>0</v>
      </c>
      <c r="K50" s="356"/>
      <c r="L50" s="374">
        <f t="shared" si="4"/>
        <v>0</v>
      </c>
      <c r="M50" s="374">
        <f t="shared" si="5"/>
        <v>0</v>
      </c>
      <c r="N50" s="356"/>
      <c r="O50" s="374">
        <f t="shared" si="6"/>
        <v>0</v>
      </c>
    </row>
    <row r="51" spans="1:15" x14ac:dyDescent="0.2">
      <c r="A51" s="1473">
        <v>1980</v>
      </c>
      <c r="B51" s="363" t="s">
        <v>385</v>
      </c>
      <c r="C51" s="356"/>
      <c r="D51" s="356"/>
      <c r="E51" s="411"/>
      <c r="F51" s="411"/>
      <c r="G51" s="413">
        <f t="shared" si="0"/>
        <v>0</v>
      </c>
      <c r="H51" s="374">
        <f t="shared" si="1"/>
        <v>0</v>
      </c>
      <c r="I51" s="374">
        <f t="shared" si="2"/>
        <v>0</v>
      </c>
      <c r="J51" s="374">
        <f t="shared" si="3"/>
        <v>0</v>
      </c>
      <c r="K51" s="356"/>
      <c r="L51" s="374">
        <f t="shared" si="4"/>
        <v>0</v>
      </c>
      <c r="M51" s="374">
        <f t="shared" si="5"/>
        <v>0</v>
      </c>
      <c r="N51" s="356"/>
      <c r="O51" s="374">
        <f t="shared" si="6"/>
        <v>0</v>
      </c>
    </row>
    <row r="52" spans="1:15" x14ac:dyDescent="0.2">
      <c r="A52" s="1473">
        <v>1985</v>
      </c>
      <c r="B52" s="363" t="s">
        <v>386</v>
      </c>
      <c r="C52" s="356"/>
      <c r="D52" s="356"/>
      <c r="E52" s="411"/>
      <c r="F52" s="411"/>
      <c r="G52" s="413">
        <f t="shared" si="0"/>
        <v>0</v>
      </c>
      <c r="H52" s="374">
        <f t="shared" si="1"/>
        <v>0</v>
      </c>
      <c r="I52" s="374">
        <f t="shared" si="2"/>
        <v>0</v>
      </c>
      <c r="J52" s="374">
        <f t="shared" si="3"/>
        <v>0</v>
      </c>
      <c r="K52" s="356"/>
      <c r="L52" s="374">
        <f t="shared" si="4"/>
        <v>0</v>
      </c>
      <c r="M52" s="374">
        <f t="shared" si="5"/>
        <v>0</v>
      </c>
      <c r="N52" s="356"/>
      <c r="O52" s="374">
        <f t="shared" si="6"/>
        <v>0</v>
      </c>
    </row>
    <row r="53" spans="1:15" x14ac:dyDescent="0.2">
      <c r="A53" s="1473">
        <v>1990</v>
      </c>
      <c r="B53" s="1475" t="s">
        <v>650</v>
      </c>
      <c r="C53" s="356"/>
      <c r="D53" s="356"/>
      <c r="E53" s="411"/>
      <c r="F53" s="411"/>
      <c r="G53" s="413">
        <f t="shared" si="0"/>
        <v>0</v>
      </c>
      <c r="H53" s="374">
        <f t="shared" si="1"/>
        <v>0</v>
      </c>
      <c r="I53" s="374">
        <f t="shared" si="2"/>
        <v>0</v>
      </c>
      <c r="J53" s="374">
        <f t="shared" si="3"/>
        <v>0</v>
      </c>
      <c r="K53" s="356"/>
      <c r="L53" s="374">
        <f t="shared" si="4"/>
        <v>0</v>
      </c>
      <c r="M53" s="374">
        <f t="shared" si="5"/>
        <v>0</v>
      </c>
      <c r="N53" s="356"/>
      <c r="O53" s="374">
        <f t="shared" si="6"/>
        <v>0</v>
      </c>
    </row>
    <row r="54" spans="1:15" ht="13.5" thickBot="1" x14ac:dyDescent="0.25">
      <c r="A54" s="1473">
        <v>1995</v>
      </c>
      <c r="B54" s="363" t="s">
        <v>387</v>
      </c>
      <c r="C54" s="418"/>
      <c r="D54" s="418"/>
      <c r="E54" s="420"/>
      <c r="F54" s="420"/>
      <c r="G54" s="421">
        <f t="shared" si="0"/>
        <v>0</v>
      </c>
      <c r="H54" s="446">
        <f t="shared" si="1"/>
        <v>0</v>
      </c>
      <c r="I54" s="446">
        <f t="shared" si="2"/>
        <v>0</v>
      </c>
      <c r="J54" s="446">
        <f t="shared" si="3"/>
        <v>0</v>
      </c>
      <c r="K54" s="418"/>
      <c r="L54" s="446">
        <f t="shared" si="4"/>
        <v>0</v>
      </c>
      <c r="M54" s="446">
        <f t="shared" si="5"/>
        <v>0</v>
      </c>
      <c r="N54" s="418"/>
      <c r="O54" s="446">
        <f t="shared" si="6"/>
        <v>0</v>
      </c>
    </row>
    <row r="55" spans="1:15" ht="14.25" thickTop="1" thickBot="1" x14ac:dyDescent="0.25">
      <c r="A55" s="422"/>
      <c r="B55" s="423" t="s">
        <v>388</v>
      </c>
      <c r="C55" s="447">
        <f>SUM(C17:C54)</f>
        <v>0</v>
      </c>
      <c r="D55" s="447">
        <f>SUM(D17:D54)</f>
        <v>0</v>
      </c>
      <c r="E55" s="447"/>
      <c r="F55" s="448"/>
      <c r="G55" s="449"/>
      <c r="H55" s="447">
        <f t="shared" ref="H55:O55" si="7">SUM(H17:H54)</f>
        <v>0</v>
      </c>
      <c r="I55" s="447">
        <f t="shared" si="7"/>
        <v>0</v>
      </c>
      <c r="J55" s="447">
        <f t="shared" si="7"/>
        <v>0</v>
      </c>
      <c r="K55" s="447">
        <f t="shared" si="7"/>
        <v>0</v>
      </c>
      <c r="L55" s="447">
        <f t="shared" si="7"/>
        <v>0</v>
      </c>
      <c r="M55" s="447">
        <f t="shared" si="7"/>
        <v>0</v>
      </c>
      <c r="N55" s="447">
        <f t="shared" si="7"/>
        <v>0</v>
      </c>
      <c r="O55" s="447">
        <f t="shared" si="7"/>
        <v>0</v>
      </c>
    </row>
    <row r="56" spans="1:15" x14ac:dyDescent="0.2">
      <c r="A56" s="450"/>
      <c r="B56" s="451"/>
      <c r="C56" s="452"/>
      <c r="D56" s="452"/>
      <c r="E56" s="452"/>
      <c r="F56" s="453"/>
      <c r="G56" s="454"/>
      <c r="H56" s="452"/>
      <c r="I56" s="452"/>
      <c r="J56" s="452"/>
      <c r="K56" s="452"/>
      <c r="L56" s="452"/>
      <c r="M56" s="452"/>
      <c r="N56" s="452"/>
      <c r="O56" s="452"/>
    </row>
    <row r="57" spans="1:15" x14ac:dyDescent="0.2">
      <c r="A57" s="334" t="s">
        <v>13</v>
      </c>
      <c r="B57" s="158"/>
      <c r="C57" s="158"/>
      <c r="D57" s="158"/>
      <c r="E57" s="158"/>
      <c r="F57" s="158"/>
      <c r="G57" s="158"/>
      <c r="H57" s="158"/>
      <c r="I57" s="158"/>
      <c r="J57" s="158"/>
      <c r="K57" s="158"/>
      <c r="L57" s="158"/>
    </row>
    <row r="58" spans="1:15" ht="7.5" customHeight="1" x14ac:dyDescent="0.2">
      <c r="A58" s="158"/>
      <c r="B58" s="158"/>
      <c r="C58" s="158"/>
      <c r="D58" s="158"/>
      <c r="E58" s="158"/>
      <c r="F58" s="158"/>
      <c r="G58" s="158"/>
      <c r="H58" s="158"/>
      <c r="I58" s="158"/>
      <c r="J58" s="158"/>
      <c r="K58" s="158"/>
      <c r="L58" s="158"/>
    </row>
    <row r="59" spans="1:15" x14ac:dyDescent="0.2">
      <c r="A59" s="455">
        <v>1</v>
      </c>
      <c r="B59" s="2001" t="s">
        <v>524</v>
      </c>
      <c r="C59" s="2001"/>
      <c r="D59" s="2001"/>
      <c r="E59" s="2001"/>
      <c r="F59" s="2001"/>
      <c r="G59" s="2001"/>
      <c r="H59" s="2001"/>
      <c r="I59" s="2001"/>
      <c r="J59" s="2001"/>
      <c r="K59" s="2001"/>
      <c r="L59" s="2001"/>
      <c r="M59" s="2001"/>
      <c r="N59" s="2001"/>
      <c r="O59" s="2001"/>
    </row>
    <row r="60" spans="1:15" x14ac:dyDescent="0.2">
      <c r="A60" s="455">
        <v>2</v>
      </c>
      <c r="B60" s="2001" t="s">
        <v>1498</v>
      </c>
      <c r="C60" s="2001"/>
      <c r="D60" s="2001"/>
      <c r="E60" s="2001"/>
      <c r="F60" s="2001"/>
      <c r="G60" s="2001"/>
      <c r="H60" s="2001"/>
      <c r="I60" s="2001"/>
      <c r="J60" s="2001"/>
      <c r="K60" s="2001"/>
      <c r="L60" s="2001"/>
      <c r="M60" s="2001"/>
      <c r="N60" s="2001"/>
      <c r="O60" s="2001"/>
    </row>
    <row r="61" spans="1:15" ht="42.75" customHeight="1" x14ac:dyDescent="0.2">
      <c r="A61" s="455">
        <v>3</v>
      </c>
      <c r="B61" s="2001" t="s">
        <v>713</v>
      </c>
      <c r="C61" s="2001"/>
      <c r="D61" s="2001"/>
      <c r="E61" s="2001"/>
      <c r="F61" s="2001"/>
      <c r="G61" s="2001"/>
      <c r="H61" s="2001"/>
      <c r="I61" s="2001"/>
      <c r="J61" s="2001"/>
      <c r="K61" s="2001"/>
      <c r="L61" s="2001"/>
      <c r="M61" s="2001"/>
      <c r="N61" s="2001"/>
      <c r="O61" s="2001"/>
    </row>
    <row r="62" spans="1:15" ht="36.75" customHeight="1" x14ac:dyDescent="0.2">
      <c r="A62" s="431">
        <v>4</v>
      </c>
      <c r="B62" s="2001" t="s">
        <v>714</v>
      </c>
      <c r="C62" s="2001"/>
      <c r="D62" s="2001"/>
      <c r="E62" s="2001"/>
      <c r="F62" s="2001"/>
      <c r="G62" s="2001"/>
      <c r="H62" s="2001"/>
      <c r="I62" s="2001"/>
      <c r="J62" s="2001"/>
      <c r="K62" s="2001"/>
      <c r="L62" s="2001"/>
      <c r="M62" s="2001"/>
      <c r="N62" s="2001"/>
      <c r="O62" s="2001"/>
    </row>
    <row r="63" spans="1:15" ht="16.5" customHeight="1" x14ac:dyDescent="0.2">
      <c r="A63" s="431">
        <v>5</v>
      </c>
      <c r="B63" s="2082" t="s">
        <v>526</v>
      </c>
      <c r="C63" s="2082"/>
      <c r="D63" s="2082"/>
      <c r="E63" s="2082"/>
      <c r="F63" s="2082"/>
      <c r="G63" s="2082"/>
      <c r="H63" s="2082"/>
      <c r="I63" s="2082"/>
      <c r="J63" s="2082"/>
      <c r="K63" s="2082"/>
      <c r="L63" s="2082"/>
      <c r="M63" s="2082"/>
      <c r="N63" s="2082"/>
      <c r="O63" s="2082"/>
    </row>
    <row r="64" spans="1:15" ht="14.25" customHeight="1" x14ac:dyDescent="0.2">
      <c r="A64" s="431">
        <v>6</v>
      </c>
      <c r="B64" s="2001" t="s">
        <v>614</v>
      </c>
      <c r="C64" s="2001"/>
      <c r="D64" s="2001"/>
      <c r="E64" s="2001"/>
      <c r="F64" s="2001"/>
      <c r="G64" s="2001"/>
      <c r="H64" s="2001"/>
      <c r="I64" s="2001"/>
      <c r="J64" s="2001"/>
      <c r="K64" s="2001"/>
      <c r="L64" s="2001"/>
      <c r="M64" s="2001"/>
      <c r="N64" s="2001"/>
      <c r="O64" s="2001"/>
    </row>
    <row r="65" spans="1:15" ht="14.25" customHeight="1" x14ac:dyDescent="0.2">
      <c r="A65" s="431"/>
      <c r="B65" s="1472"/>
      <c r="C65" s="1472"/>
      <c r="D65" s="1472"/>
      <c r="E65" s="1472"/>
      <c r="F65" s="1472"/>
      <c r="G65" s="1472"/>
      <c r="H65" s="1472"/>
      <c r="I65" s="1472"/>
      <c r="J65" s="1472"/>
      <c r="K65" s="1472"/>
      <c r="L65" s="1472"/>
      <c r="M65" s="1472"/>
      <c r="N65" s="1472"/>
      <c r="O65" s="1472"/>
    </row>
    <row r="66" spans="1:15" ht="12.75" customHeight="1" x14ac:dyDescent="0.2">
      <c r="A66" s="334" t="s">
        <v>306</v>
      </c>
      <c r="B66" s="2069" t="s">
        <v>257</v>
      </c>
      <c r="C66" s="2069"/>
      <c r="D66" s="2069"/>
      <c r="E66" s="2069"/>
      <c r="F66" s="2069"/>
      <c r="G66" s="2069"/>
      <c r="H66" s="2069"/>
      <c r="I66" s="2069"/>
      <c r="J66" s="2069"/>
      <c r="K66" s="2069"/>
      <c r="L66" s="2069"/>
      <c r="M66" s="2069"/>
      <c r="N66" s="2069"/>
      <c r="O66" s="2069"/>
    </row>
    <row r="67" spans="1:15" x14ac:dyDescent="0.2">
      <c r="B67" s="2069"/>
      <c r="C67" s="2069"/>
      <c r="D67" s="2069"/>
      <c r="E67" s="2069"/>
      <c r="F67" s="2069"/>
      <c r="G67" s="2069"/>
      <c r="H67" s="2069"/>
      <c r="I67" s="2069"/>
      <c r="J67" s="2069"/>
      <c r="K67" s="2069"/>
      <c r="L67" s="2069"/>
      <c r="M67" s="2069"/>
      <c r="N67" s="2069"/>
      <c r="O67" s="2069"/>
    </row>
    <row r="68" spans="1:15" x14ac:dyDescent="0.2">
      <c r="B68" s="432"/>
      <c r="C68" s="432"/>
      <c r="D68" s="432"/>
      <c r="E68" s="432"/>
      <c r="F68" s="432"/>
      <c r="G68" s="432"/>
      <c r="H68" s="432"/>
      <c r="I68" s="432"/>
      <c r="J68" s="432"/>
      <c r="K68" s="432"/>
      <c r="L68" s="432"/>
      <c r="M68" s="158"/>
      <c r="N68" s="158"/>
    </row>
    <row r="70" spans="1:15" x14ac:dyDescent="0.2">
      <c r="B70" s="158"/>
    </row>
    <row r="71" spans="1:15" x14ac:dyDescent="0.2">
      <c r="B71" s="158"/>
    </row>
  </sheetData>
  <mergeCells count="14">
    <mergeCell ref="B66:O67"/>
    <mergeCell ref="B59:O59"/>
    <mergeCell ref="B60:O60"/>
    <mergeCell ref="B61:O61"/>
    <mergeCell ref="B62:O62"/>
    <mergeCell ref="B63:O63"/>
    <mergeCell ref="B64:O64"/>
    <mergeCell ref="A9:O9"/>
    <mergeCell ref="A10:O10"/>
    <mergeCell ref="A11:O11"/>
    <mergeCell ref="A15:A16"/>
    <mergeCell ref="B15:B16"/>
    <mergeCell ref="K15:K16"/>
    <mergeCell ref="N15:N16"/>
  </mergeCells>
  <dataValidations count="1">
    <dataValidation allowBlank="1" showInputMessage="1" showErrorMessage="1" promptTitle="Date Format" prompt="E.g:  &quot;August 1, 2011&quot;" sqref="L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L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L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L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L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L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L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L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L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L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L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L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L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L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L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L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dataValidations>
  <printOptions horizontalCentered="1"/>
  <pageMargins left="0.74803149606299213" right="0.74803149606299213" top="0.70866141732283472" bottom="0.39370078740157483" header="0.39370078740157483" footer="0.27559055118110237"/>
  <pageSetup scale="52"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O78"/>
  <sheetViews>
    <sheetView showGridLines="0" zoomScaleNormal="100" workbookViewId="0"/>
  </sheetViews>
  <sheetFormatPr defaultRowHeight="12.75" x14ac:dyDescent="0.2"/>
  <cols>
    <col min="1" max="1" width="9.140625" style="140"/>
    <col min="2" max="2" width="40.28515625" style="140" bestFit="1" customWidth="1"/>
    <col min="3" max="3" width="10" style="140" customWidth="1"/>
    <col min="4" max="4" width="10.140625" style="140" customWidth="1"/>
    <col min="5" max="5" width="12.28515625" style="140" customWidth="1"/>
    <col min="6" max="6" width="16.28515625" style="140" customWidth="1"/>
    <col min="7" max="7" width="16.140625" style="140" customWidth="1"/>
    <col min="8" max="8" width="12.7109375" style="140" customWidth="1"/>
    <col min="9" max="10" width="14.42578125" style="140" customWidth="1"/>
    <col min="11" max="11" width="13.5703125" style="140" customWidth="1"/>
    <col min="12" max="12" width="9.140625" style="140"/>
    <col min="13" max="13" width="18.5703125" style="140" customWidth="1"/>
    <col min="14" max="256" width="9.140625" style="140"/>
    <col min="257" max="257" width="2.7109375" style="140" customWidth="1"/>
    <col min="258" max="258" width="9.140625" style="140"/>
    <col min="259" max="259" width="40.28515625" style="140" bestFit="1" customWidth="1"/>
    <col min="260" max="260" width="10" style="140" customWidth="1"/>
    <col min="261" max="261" width="10.140625" style="140" customWidth="1"/>
    <col min="262" max="262" width="12.28515625" style="140" customWidth="1"/>
    <col min="263" max="263" width="16.28515625" style="140" customWidth="1"/>
    <col min="264" max="264" width="12.85546875" style="140" customWidth="1"/>
    <col min="265" max="265" width="12.7109375" style="140" customWidth="1"/>
    <col min="266" max="266" width="14.42578125" style="140" customWidth="1"/>
    <col min="267" max="267" width="13.5703125" style="140" customWidth="1"/>
    <col min="268" max="512" width="9.140625" style="140"/>
    <col min="513" max="513" width="2.7109375" style="140" customWidth="1"/>
    <col min="514" max="514" width="9.140625" style="140"/>
    <col min="515" max="515" width="40.28515625" style="140" bestFit="1" customWidth="1"/>
    <col min="516" max="516" width="10" style="140" customWidth="1"/>
    <col min="517" max="517" width="10.140625" style="140" customWidth="1"/>
    <col min="518" max="518" width="12.28515625" style="140" customWidth="1"/>
    <col min="519" max="519" width="16.28515625" style="140" customWidth="1"/>
    <col min="520" max="520" width="12.85546875" style="140" customWidth="1"/>
    <col min="521" max="521" width="12.7109375" style="140" customWidth="1"/>
    <col min="522" max="522" width="14.42578125" style="140" customWidth="1"/>
    <col min="523" max="523" width="13.5703125" style="140" customWidth="1"/>
    <col min="524" max="768" width="9.140625" style="140"/>
    <col min="769" max="769" width="2.7109375" style="140" customWidth="1"/>
    <col min="770" max="770" width="9.140625" style="140"/>
    <col min="771" max="771" width="40.28515625" style="140" bestFit="1" customWidth="1"/>
    <col min="772" max="772" width="10" style="140" customWidth="1"/>
    <col min="773" max="773" width="10.140625" style="140" customWidth="1"/>
    <col min="774" max="774" width="12.28515625" style="140" customWidth="1"/>
    <col min="775" max="775" width="16.28515625" style="140" customWidth="1"/>
    <col min="776" max="776" width="12.85546875" style="140" customWidth="1"/>
    <col min="777" max="777" width="12.7109375" style="140" customWidth="1"/>
    <col min="778" max="778" width="14.42578125" style="140" customWidth="1"/>
    <col min="779" max="779" width="13.5703125" style="140" customWidth="1"/>
    <col min="780" max="1024" width="9.140625" style="140"/>
    <col min="1025" max="1025" width="2.7109375" style="140" customWidth="1"/>
    <col min="1026" max="1026" width="9.140625" style="140"/>
    <col min="1027" max="1027" width="40.28515625" style="140" bestFit="1" customWidth="1"/>
    <col min="1028" max="1028" width="10" style="140" customWidth="1"/>
    <col min="1029" max="1029" width="10.140625" style="140" customWidth="1"/>
    <col min="1030" max="1030" width="12.28515625" style="140" customWidth="1"/>
    <col min="1031" max="1031" width="16.28515625" style="140" customWidth="1"/>
    <col min="1032" max="1032" width="12.85546875" style="140" customWidth="1"/>
    <col min="1033" max="1033" width="12.7109375" style="140" customWidth="1"/>
    <col min="1034" max="1034" width="14.42578125" style="140" customWidth="1"/>
    <col min="1035" max="1035" width="13.5703125" style="140" customWidth="1"/>
    <col min="1036" max="1280" width="9.140625" style="140"/>
    <col min="1281" max="1281" width="2.7109375" style="140" customWidth="1"/>
    <col min="1282" max="1282" width="9.140625" style="140"/>
    <col min="1283" max="1283" width="40.28515625" style="140" bestFit="1" customWidth="1"/>
    <col min="1284" max="1284" width="10" style="140" customWidth="1"/>
    <col min="1285" max="1285" width="10.140625" style="140" customWidth="1"/>
    <col min="1286" max="1286" width="12.28515625" style="140" customWidth="1"/>
    <col min="1287" max="1287" width="16.28515625" style="140" customWidth="1"/>
    <col min="1288" max="1288" width="12.85546875" style="140" customWidth="1"/>
    <col min="1289" max="1289" width="12.7109375" style="140" customWidth="1"/>
    <col min="1290" max="1290" width="14.42578125" style="140" customWidth="1"/>
    <col min="1291" max="1291" width="13.5703125" style="140" customWidth="1"/>
    <col min="1292" max="1536" width="9.140625" style="140"/>
    <col min="1537" max="1537" width="2.7109375" style="140" customWidth="1"/>
    <col min="1538" max="1538" width="9.140625" style="140"/>
    <col min="1539" max="1539" width="40.28515625" style="140" bestFit="1" customWidth="1"/>
    <col min="1540" max="1540" width="10" style="140" customWidth="1"/>
    <col min="1541" max="1541" width="10.140625" style="140" customWidth="1"/>
    <col min="1542" max="1542" width="12.28515625" style="140" customWidth="1"/>
    <col min="1543" max="1543" width="16.28515625" style="140" customWidth="1"/>
    <col min="1544" max="1544" width="12.85546875" style="140" customWidth="1"/>
    <col min="1545" max="1545" width="12.7109375" style="140" customWidth="1"/>
    <col min="1546" max="1546" width="14.42578125" style="140" customWidth="1"/>
    <col min="1547" max="1547" width="13.5703125" style="140" customWidth="1"/>
    <col min="1548" max="1792" width="9.140625" style="140"/>
    <col min="1793" max="1793" width="2.7109375" style="140" customWidth="1"/>
    <col min="1794" max="1794" width="9.140625" style="140"/>
    <col min="1795" max="1795" width="40.28515625" style="140" bestFit="1" customWidth="1"/>
    <col min="1796" max="1796" width="10" style="140" customWidth="1"/>
    <col min="1797" max="1797" width="10.140625" style="140" customWidth="1"/>
    <col min="1798" max="1798" width="12.28515625" style="140" customWidth="1"/>
    <col min="1799" max="1799" width="16.28515625" style="140" customWidth="1"/>
    <col min="1800" max="1800" width="12.85546875" style="140" customWidth="1"/>
    <col min="1801" max="1801" width="12.7109375" style="140" customWidth="1"/>
    <col min="1802" max="1802" width="14.42578125" style="140" customWidth="1"/>
    <col min="1803" max="1803" width="13.5703125" style="140" customWidth="1"/>
    <col min="1804" max="2048" width="9.140625" style="140"/>
    <col min="2049" max="2049" width="2.7109375" style="140" customWidth="1"/>
    <col min="2050" max="2050" width="9.140625" style="140"/>
    <col min="2051" max="2051" width="40.28515625" style="140" bestFit="1" customWidth="1"/>
    <col min="2052" max="2052" width="10" style="140" customWidth="1"/>
    <col min="2053" max="2053" width="10.140625" style="140" customWidth="1"/>
    <col min="2054" max="2054" width="12.28515625" style="140" customWidth="1"/>
    <col min="2055" max="2055" width="16.28515625" style="140" customWidth="1"/>
    <col min="2056" max="2056" width="12.85546875" style="140" customWidth="1"/>
    <col min="2057" max="2057" width="12.7109375" style="140" customWidth="1"/>
    <col min="2058" max="2058" width="14.42578125" style="140" customWidth="1"/>
    <col min="2059" max="2059" width="13.5703125" style="140" customWidth="1"/>
    <col min="2060" max="2304" width="9.140625" style="140"/>
    <col min="2305" max="2305" width="2.7109375" style="140" customWidth="1"/>
    <col min="2306" max="2306" width="9.140625" style="140"/>
    <col min="2307" max="2307" width="40.28515625" style="140" bestFit="1" customWidth="1"/>
    <col min="2308" max="2308" width="10" style="140" customWidth="1"/>
    <col min="2309" max="2309" width="10.140625" style="140" customWidth="1"/>
    <col min="2310" max="2310" width="12.28515625" style="140" customWidth="1"/>
    <col min="2311" max="2311" width="16.28515625" style="140" customWidth="1"/>
    <col min="2312" max="2312" width="12.85546875" style="140" customWidth="1"/>
    <col min="2313" max="2313" width="12.7109375" style="140" customWidth="1"/>
    <col min="2314" max="2314" width="14.42578125" style="140" customWidth="1"/>
    <col min="2315" max="2315" width="13.5703125" style="140" customWidth="1"/>
    <col min="2316" max="2560" width="9.140625" style="140"/>
    <col min="2561" max="2561" width="2.7109375" style="140" customWidth="1"/>
    <col min="2562" max="2562" width="9.140625" style="140"/>
    <col min="2563" max="2563" width="40.28515625" style="140" bestFit="1" customWidth="1"/>
    <col min="2564" max="2564" width="10" style="140" customWidth="1"/>
    <col min="2565" max="2565" width="10.140625" style="140" customWidth="1"/>
    <col min="2566" max="2566" width="12.28515625" style="140" customWidth="1"/>
    <col min="2567" max="2567" width="16.28515625" style="140" customWidth="1"/>
    <col min="2568" max="2568" width="12.85546875" style="140" customWidth="1"/>
    <col min="2569" max="2569" width="12.7109375" style="140" customWidth="1"/>
    <col min="2570" max="2570" width="14.42578125" style="140" customWidth="1"/>
    <col min="2571" max="2571" width="13.5703125" style="140" customWidth="1"/>
    <col min="2572" max="2816" width="9.140625" style="140"/>
    <col min="2817" max="2817" width="2.7109375" style="140" customWidth="1"/>
    <col min="2818" max="2818" width="9.140625" style="140"/>
    <col min="2819" max="2819" width="40.28515625" style="140" bestFit="1" customWidth="1"/>
    <col min="2820" max="2820" width="10" style="140" customWidth="1"/>
    <col min="2821" max="2821" width="10.140625" style="140" customWidth="1"/>
    <col min="2822" max="2822" width="12.28515625" style="140" customWidth="1"/>
    <col min="2823" max="2823" width="16.28515625" style="140" customWidth="1"/>
    <col min="2824" max="2824" width="12.85546875" style="140" customWidth="1"/>
    <col min="2825" max="2825" width="12.7109375" style="140" customWidth="1"/>
    <col min="2826" max="2826" width="14.42578125" style="140" customWidth="1"/>
    <col min="2827" max="2827" width="13.5703125" style="140" customWidth="1"/>
    <col min="2828" max="3072" width="9.140625" style="140"/>
    <col min="3073" max="3073" width="2.7109375" style="140" customWidth="1"/>
    <col min="3074" max="3074" width="9.140625" style="140"/>
    <col min="3075" max="3075" width="40.28515625" style="140" bestFit="1" customWidth="1"/>
    <col min="3076" max="3076" width="10" style="140" customWidth="1"/>
    <col min="3077" max="3077" width="10.140625" style="140" customWidth="1"/>
    <col min="3078" max="3078" width="12.28515625" style="140" customWidth="1"/>
    <col min="3079" max="3079" width="16.28515625" style="140" customWidth="1"/>
    <col min="3080" max="3080" width="12.85546875" style="140" customWidth="1"/>
    <col min="3081" max="3081" width="12.7109375" style="140" customWidth="1"/>
    <col min="3082" max="3082" width="14.42578125" style="140" customWidth="1"/>
    <col min="3083" max="3083" width="13.5703125" style="140" customWidth="1"/>
    <col min="3084" max="3328" width="9.140625" style="140"/>
    <col min="3329" max="3329" width="2.7109375" style="140" customWidth="1"/>
    <col min="3330" max="3330" width="9.140625" style="140"/>
    <col min="3331" max="3331" width="40.28515625" style="140" bestFit="1" customWidth="1"/>
    <col min="3332" max="3332" width="10" style="140" customWidth="1"/>
    <col min="3333" max="3333" width="10.140625" style="140" customWidth="1"/>
    <col min="3334" max="3334" width="12.28515625" style="140" customWidth="1"/>
    <col min="3335" max="3335" width="16.28515625" style="140" customWidth="1"/>
    <col min="3336" max="3336" width="12.85546875" style="140" customWidth="1"/>
    <col min="3337" max="3337" width="12.7109375" style="140" customWidth="1"/>
    <col min="3338" max="3338" width="14.42578125" style="140" customWidth="1"/>
    <col min="3339" max="3339" width="13.5703125" style="140" customWidth="1"/>
    <col min="3340" max="3584" width="9.140625" style="140"/>
    <col min="3585" max="3585" width="2.7109375" style="140" customWidth="1"/>
    <col min="3586" max="3586" width="9.140625" style="140"/>
    <col min="3587" max="3587" width="40.28515625" style="140" bestFit="1" customWidth="1"/>
    <col min="3588" max="3588" width="10" style="140" customWidth="1"/>
    <col min="3589" max="3589" width="10.140625" style="140" customWidth="1"/>
    <col min="3590" max="3590" width="12.28515625" style="140" customWidth="1"/>
    <col min="3591" max="3591" width="16.28515625" style="140" customWidth="1"/>
    <col min="3592" max="3592" width="12.85546875" style="140" customWidth="1"/>
    <col min="3593" max="3593" width="12.7109375" style="140" customWidth="1"/>
    <col min="3594" max="3594" width="14.42578125" style="140" customWidth="1"/>
    <col min="3595" max="3595" width="13.5703125" style="140" customWidth="1"/>
    <col min="3596" max="3840" width="9.140625" style="140"/>
    <col min="3841" max="3841" width="2.7109375" style="140" customWidth="1"/>
    <col min="3842" max="3842" width="9.140625" style="140"/>
    <col min="3843" max="3843" width="40.28515625" style="140" bestFit="1" customWidth="1"/>
    <col min="3844" max="3844" width="10" style="140" customWidth="1"/>
    <col min="3845" max="3845" width="10.140625" style="140" customWidth="1"/>
    <col min="3846" max="3846" width="12.28515625" style="140" customWidth="1"/>
    <col min="3847" max="3847" width="16.28515625" style="140" customWidth="1"/>
    <col min="3848" max="3848" width="12.85546875" style="140" customWidth="1"/>
    <col min="3849" max="3849" width="12.7109375" style="140" customWidth="1"/>
    <col min="3850" max="3850" width="14.42578125" style="140" customWidth="1"/>
    <col min="3851" max="3851" width="13.5703125" style="140" customWidth="1"/>
    <col min="3852" max="4096" width="9.140625" style="140"/>
    <col min="4097" max="4097" width="2.7109375" style="140" customWidth="1"/>
    <col min="4098" max="4098" width="9.140625" style="140"/>
    <col min="4099" max="4099" width="40.28515625" style="140" bestFit="1" customWidth="1"/>
    <col min="4100" max="4100" width="10" style="140" customWidth="1"/>
    <col min="4101" max="4101" width="10.140625" style="140" customWidth="1"/>
    <col min="4102" max="4102" width="12.28515625" style="140" customWidth="1"/>
    <col min="4103" max="4103" width="16.28515625" style="140" customWidth="1"/>
    <col min="4104" max="4104" width="12.85546875" style="140" customWidth="1"/>
    <col min="4105" max="4105" width="12.7109375" style="140" customWidth="1"/>
    <col min="4106" max="4106" width="14.42578125" style="140" customWidth="1"/>
    <col min="4107" max="4107" width="13.5703125" style="140" customWidth="1"/>
    <col min="4108" max="4352" width="9.140625" style="140"/>
    <col min="4353" max="4353" width="2.7109375" style="140" customWidth="1"/>
    <col min="4354" max="4354" width="9.140625" style="140"/>
    <col min="4355" max="4355" width="40.28515625" style="140" bestFit="1" customWidth="1"/>
    <col min="4356" max="4356" width="10" style="140" customWidth="1"/>
    <col min="4357" max="4357" width="10.140625" style="140" customWidth="1"/>
    <col min="4358" max="4358" width="12.28515625" style="140" customWidth="1"/>
    <col min="4359" max="4359" width="16.28515625" style="140" customWidth="1"/>
    <col min="4360" max="4360" width="12.85546875" style="140" customWidth="1"/>
    <col min="4361" max="4361" width="12.7109375" style="140" customWidth="1"/>
    <col min="4362" max="4362" width="14.42578125" style="140" customWidth="1"/>
    <col min="4363" max="4363" width="13.5703125" style="140" customWidth="1"/>
    <col min="4364" max="4608" width="9.140625" style="140"/>
    <col min="4609" max="4609" width="2.7109375" style="140" customWidth="1"/>
    <col min="4610" max="4610" width="9.140625" style="140"/>
    <col min="4611" max="4611" width="40.28515625" style="140" bestFit="1" customWidth="1"/>
    <col min="4612" max="4612" width="10" style="140" customWidth="1"/>
    <col min="4613" max="4613" width="10.140625" style="140" customWidth="1"/>
    <col min="4614" max="4614" width="12.28515625" style="140" customWidth="1"/>
    <col min="4615" max="4615" width="16.28515625" style="140" customWidth="1"/>
    <col min="4616" max="4616" width="12.85546875" style="140" customWidth="1"/>
    <col min="4617" max="4617" width="12.7109375" style="140" customWidth="1"/>
    <col min="4618" max="4618" width="14.42578125" style="140" customWidth="1"/>
    <col min="4619" max="4619" width="13.5703125" style="140" customWidth="1"/>
    <col min="4620" max="4864" width="9.140625" style="140"/>
    <col min="4865" max="4865" width="2.7109375" style="140" customWidth="1"/>
    <col min="4866" max="4866" width="9.140625" style="140"/>
    <col min="4867" max="4867" width="40.28515625" style="140" bestFit="1" customWidth="1"/>
    <col min="4868" max="4868" width="10" style="140" customWidth="1"/>
    <col min="4869" max="4869" width="10.140625" style="140" customWidth="1"/>
    <col min="4870" max="4870" width="12.28515625" style="140" customWidth="1"/>
    <col min="4871" max="4871" width="16.28515625" style="140" customWidth="1"/>
    <col min="4872" max="4872" width="12.85546875" style="140" customWidth="1"/>
    <col min="4873" max="4873" width="12.7109375" style="140" customWidth="1"/>
    <col min="4874" max="4874" width="14.42578125" style="140" customWidth="1"/>
    <col min="4875" max="4875" width="13.5703125" style="140" customWidth="1"/>
    <col min="4876" max="5120" width="9.140625" style="140"/>
    <col min="5121" max="5121" width="2.7109375" style="140" customWidth="1"/>
    <col min="5122" max="5122" width="9.140625" style="140"/>
    <col min="5123" max="5123" width="40.28515625" style="140" bestFit="1" customWidth="1"/>
    <col min="5124" max="5124" width="10" style="140" customWidth="1"/>
    <col min="5125" max="5125" width="10.140625" style="140" customWidth="1"/>
    <col min="5126" max="5126" width="12.28515625" style="140" customWidth="1"/>
    <col min="5127" max="5127" width="16.28515625" style="140" customWidth="1"/>
    <col min="5128" max="5128" width="12.85546875" style="140" customWidth="1"/>
    <col min="5129" max="5129" width="12.7109375" style="140" customWidth="1"/>
    <col min="5130" max="5130" width="14.42578125" style="140" customWidth="1"/>
    <col min="5131" max="5131" width="13.5703125" style="140" customWidth="1"/>
    <col min="5132" max="5376" width="9.140625" style="140"/>
    <col min="5377" max="5377" width="2.7109375" style="140" customWidth="1"/>
    <col min="5378" max="5378" width="9.140625" style="140"/>
    <col min="5379" max="5379" width="40.28515625" style="140" bestFit="1" customWidth="1"/>
    <col min="5380" max="5380" width="10" style="140" customWidth="1"/>
    <col min="5381" max="5381" width="10.140625" style="140" customWidth="1"/>
    <col min="5382" max="5382" width="12.28515625" style="140" customWidth="1"/>
    <col min="5383" max="5383" width="16.28515625" style="140" customWidth="1"/>
    <col min="5384" max="5384" width="12.85546875" style="140" customWidth="1"/>
    <col min="5385" max="5385" width="12.7109375" style="140" customWidth="1"/>
    <col min="5386" max="5386" width="14.42578125" style="140" customWidth="1"/>
    <col min="5387" max="5387" width="13.5703125" style="140" customWidth="1"/>
    <col min="5388" max="5632" width="9.140625" style="140"/>
    <col min="5633" max="5633" width="2.7109375" style="140" customWidth="1"/>
    <col min="5634" max="5634" width="9.140625" style="140"/>
    <col min="5635" max="5635" width="40.28515625" style="140" bestFit="1" customWidth="1"/>
    <col min="5636" max="5636" width="10" style="140" customWidth="1"/>
    <col min="5637" max="5637" width="10.140625" style="140" customWidth="1"/>
    <col min="5638" max="5638" width="12.28515625" style="140" customWidth="1"/>
    <col min="5639" max="5639" width="16.28515625" style="140" customWidth="1"/>
    <col min="5640" max="5640" width="12.85546875" style="140" customWidth="1"/>
    <col min="5641" max="5641" width="12.7109375" style="140" customWidth="1"/>
    <col min="5642" max="5642" width="14.42578125" style="140" customWidth="1"/>
    <col min="5643" max="5643" width="13.5703125" style="140" customWidth="1"/>
    <col min="5644" max="5888" width="9.140625" style="140"/>
    <col min="5889" max="5889" width="2.7109375" style="140" customWidth="1"/>
    <col min="5890" max="5890" width="9.140625" style="140"/>
    <col min="5891" max="5891" width="40.28515625" style="140" bestFit="1" customWidth="1"/>
    <col min="5892" max="5892" width="10" style="140" customWidth="1"/>
    <col min="5893" max="5893" width="10.140625" style="140" customWidth="1"/>
    <col min="5894" max="5894" width="12.28515625" style="140" customWidth="1"/>
    <col min="5895" max="5895" width="16.28515625" style="140" customWidth="1"/>
    <col min="5896" max="5896" width="12.85546875" style="140" customWidth="1"/>
    <col min="5897" max="5897" width="12.7109375" style="140" customWidth="1"/>
    <col min="5898" max="5898" width="14.42578125" style="140" customWidth="1"/>
    <col min="5899" max="5899" width="13.5703125" style="140" customWidth="1"/>
    <col min="5900" max="6144" width="9.140625" style="140"/>
    <col min="6145" max="6145" width="2.7109375" style="140" customWidth="1"/>
    <col min="6146" max="6146" width="9.140625" style="140"/>
    <col min="6147" max="6147" width="40.28515625" style="140" bestFit="1" customWidth="1"/>
    <col min="6148" max="6148" width="10" style="140" customWidth="1"/>
    <col min="6149" max="6149" width="10.140625" style="140" customWidth="1"/>
    <col min="6150" max="6150" width="12.28515625" style="140" customWidth="1"/>
    <col min="6151" max="6151" width="16.28515625" style="140" customWidth="1"/>
    <col min="6152" max="6152" width="12.85546875" style="140" customWidth="1"/>
    <col min="6153" max="6153" width="12.7109375" style="140" customWidth="1"/>
    <col min="6154" max="6154" width="14.42578125" style="140" customWidth="1"/>
    <col min="6155" max="6155" width="13.5703125" style="140" customWidth="1"/>
    <col min="6156" max="6400" width="9.140625" style="140"/>
    <col min="6401" max="6401" width="2.7109375" style="140" customWidth="1"/>
    <col min="6402" max="6402" width="9.140625" style="140"/>
    <col min="6403" max="6403" width="40.28515625" style="140" bestFit="1" customWidth="1"/>
    <col min="6404" max="6404" width="10" style="140" customWidth="1"/>
    <col min="6405" max="6405" width="10.140625" style="140" customWidth="1"/>
    <col min="6406" max="6406" width="12.28515625" style="140" customWidth="1"/>
    <col min="6407" max="6407" width="16.28515625" style="140" customWidth="1"/>
    <col min="6408" max="6408" width="12.85546875" style="140" customWidth="1"/>
    <col min="6409" max="6409" width="12.7109375" style="140" customWidth="1"/>
    <col min="6410" max="6410" width="14.42578125" style="140" customWidth="1"/>
    <col min="6411" max="6411" width="13.5703125" style="140" customWidth="1"/>
    <col min="6412" max="6656" width="9.140625" style="140"/>
    <col min="6657" max="6657" width="2.7109375" style="140" customWidth="1"/>
    <col min="6658" max="6658" width="9.140625" style="140"/>
    <col min="6659" max="6659" width="40.28515625" style="140" bestFit="1" customWidth="1"/>
    <col min="6660" max="6660" width="10" style="140" customWidth="1"/>
    <col min="6661" max="6661" width="10.140625" style="140" customWidth="1"/>
    <col min="6662" max="6662" width="12.28515625" style="140" customWidth="1"/>
    <col min="6663" max="6663" width="16.28515625" style="140" customWidth="1"/>
    <col min="6664" max="6664" width="12.85546875" style="140" customWidth="1"/>
    <col min="6665" max="6665" width="12.7109375" style="140" customWidth="1"/>
    <col min="6666" max="6666" width="14.42578125" style="140" customWidth="1"/>
    <col min="6667" max="6667" width="13.5703125" style="140" customWidth="1"/>
    <col min="6668" max="6912" width="9.140625" style="140"/>
    <col min="6913" max="6913" width="2.7109375" style="140" customWidth="1"/>
    <col min="6914" max="6914" width="9.140625" style="140"/>
    <col min="6915" max="6915" width="40.28515625" style="140" bestFit="1" customWidth="1"/>
    <col min="6916" max="6916" width="10" style="140" customWidth="1"/>
    <col min="6917" max="6917" width="10.140625" style="140" customWidth="1"/>
    <col min="6918" max="6918" width="12.28515625" style="140" customWidth="1"/>
    <col min="6919" max="6919" width="16.28515625" style="140" customWidth="1"/>
    <col min="6920" max="6920" width="12.85546875" style="140" customWidth="1"/>
    <col min="6921" max="6921" width="12.7109375" style="140" customWidth="1"/>
    <col min="6922" max="6922" width="14.42578125" style="140" customWidth="1"/>
    <col min="6923" max="6923" width="13.5703125" style="140" customWidth="1"/>
    <col min="6924" max="7168" width="9.140625" style="140"/>
    <col min="7169" max="7169" width="2.7109375" style="140" customWidth="1"/>
    <col min="7170" max="7170" width="9.140625" style="140"/>
    <col min="7171" max="7171" width="40.28515625" style="140" bestFit="1" customWidth="1"/>
    <col min="7172" max="7172" width="10" style="140" customWidth="1"/>
    <col min="7173" max="7173" width="10.140625" style="140" customWidth="1"/>
    <col min="7174" max="7174" width="12.28515625" style="140" customWidth="1"/>
    <col min="7175" max="7175" width="16.28515625" style="140" customWidth="1"/>
    <col min="7176" max="7176" width="12.85546875" style="140" customWidth="1"/>
    <col min="7177" max="7177" width="12.7109375" style="140" customWidth="1"/>
    <col min="7178" max="7178" width="14.42578125" style="140" customWidth="1"/>
    <col min="7179" max="7179" width="13.5703125" style="140" customWidth="1"/>
    <col min="7180" max="7424" width="9.140625" style="140"/>
    <col min="7425" max="7425" width="2.7109375" style="140" customWidth="1"/>
    <col min="7426" max="7426" width="9.140625" style="140"/>
    <col min="7427" max="7427" width="40.28515625" style="140" bestFit="1" customWidth="1"/>
    <col min="7428" max="7428" width="10" style="140" customWidth="1"/>
    <col min="7429" max="7429" width="10.140625" style="140" customWidth="1"/>
    <col min="7430" max="7430" width="12.28515625" style="140" customWidth="1"/>
    <col min="7431" max="7431" width="16.28515625" style="140" customWidth="1"/>
    <col min="7432" max="7432" width="12.85546875" style="140" customWidth="1"/>
    <col min="7433" max="7433" width="12.7109375" style="140" customWidth="1"/>
    <col min="7434" max="7434" width="14.42578125" style="140" customWidth="1"/>
    <col min="7435" max="7435" width="13.5703125" style="140" customWidth="1"/>
    <col min="7436" max="7680" width="9.140625" style="140"/>
    <col min="7681" max="7681" width="2.7109375" style="140" customWidth="1"/>
    <col min="7682" max="7682" width="9.140625" style="140"/>
    <col min="7683" max="7683" width="40.28515625" style="140" bestFit="1" customWidth="1"/>
    <col min="7684" max="7684" width="10" style="140" customWidth="1"/>
    <col min="7685" max="7685" width="10.140625" style="140" customWidth="1"/>
    <col min="7686" max="7686" width="12.28515625" style="140" customWidth="1"/>
    <col min="7687" max="7687" width="16.28515625" style="140" customWidth="1"/>
    <col min="7688" max="7688" width="12.85546875" style="140" customWidth="1"/>
    <col min="7689" max="7689" width="12.7109375" style="140" customWidth="1"/>
    <col min="7690" max="7690" width="14.42578125" style="140" customWidth="1"/>
    <col min="7691" max="7691" width="13.5703125" style="140" customWidth="1"/>
    <col min="7692" max="7936" width="9.140625" style="140"/>
    <col min="7937" max="7937" width="2.7109375" style="140" customWidth="1"/>
    <col min="7938" max="7938" width="9.140625" style="140"/>
    <col min="7939" max="7939" width="40.28515625" style="140" bestFit="1" customWidth="1"/>
    <col min="7940" max="7940" width="10" style="140" customWidth="1"/>
    <col min="7941" max="7941" width="10.140625" style="140" customWidth="1"/>
    <col min="7942" max="7942" width="12.28515625" style="140" customWidth="1"/>
    <col min="7943" max="7943" width="16.28515625" style="140" customWidth="1"/>
    <col min="7944" max="7944" width="12.85546875" style="140" customWidth="1"/>
    <col min="7945" max="7945" width="12.7109375" style="140" customWidth="1"/>
    <col min="7946" max="7946" width="14.42578125" style="140" customWidth="1"/>
    <col min="7947" max="7947" width="13.5703125" style="140" customWidth="1"/>
    <col min="7948" max="8192" width="9.140625" style="140"/>
    <col min="8193" max="8193" width="2.7109375" style="140" customWidth="1"/>
    <col min="8194" max="8194" width="9.140625" style="140"/>
    <col min="8195" max="8195" width="40.28515625" style="140" bestFit="1" customWidth="1"/>
    <col min="8196" max="8196" width="10" style="140" customWidth="1"/>
    <col min="8197" max="8197" width="10.140625" style="140" customWidth="1"/>
    <col min="8198" max="8198" width="12.28515625" style="140" customWidth="1"/>
    <col min="8199" max="8199" width="16.28515625" style="140" customWidth="1"/>
    <col min="8200" max="8200" width="12.85546875" style="140" customWidth="1"/>
    <col min="8201" max="8201" width="12.7109375" style="140" customWidth="1"/>
    <col min="8202" max="8202" width="14.42578125" style="140" customWidth="1"/>
    <col min="8203" max="8203" width="13.5703125" style="140" customWidth="1"/>
    <col min="8204" max="8448" width="9.140625" style="140"/>
    <col min="8449" max="8449" width="2.7109375" style="140" customWidth="1"/>
    <col min="8450" max="8450" width="9.140625" style="140"/>
    <col min="8451" max="8451" width="40.28515625" style="140" bestFit="1" customWidth="1"/>
    <col min="8452" max="8452" width="10" style="140" customWidth="1"/>
    <col min="8453" max="8453" width="10.140625" style="140" customWidth="1"/>
    <col min="8454" max="8454" width="12.28515625" style="140" customWidth="1"/>
    <col min="8455" max="8455" width="16.28515625" style="140" customWidth="1"/>
    <col min="8456" max="8456" width="12.85546875" style="140" customWidth="1"/>
    <col min="8457" max="8457" width="12.7109375" style="140" customWidth="1"/>
    <col min="8458" max="8458" width="14.42578125" style="140" customWidth="1"/>
    <col min="8459" max="8459" width="13.5703125" style="140" customWidth="1"/>
    <col min="8460" max="8704" width="9.140625" style="140"/>
    <col min="8705" max="8705" width="2.7109375" style="140" customWidth="1"/>
    <col min="8706" max="8706" width="9.140625" style="140"/>
    <col min="8707" max="8707" width="40.28515625" style="140" bestFit="1" customWidth="1"/>
    <col min="8708" max="8708" width="10" style="140" customWidth="1"/>
    <col min="8709" max="8709" width="10.140625" style="140" customWidth="1"/>
    <col min="8710" max="8710" width="12.28515625" style="140" customWidth="1"/>
    <col min="8711" max="8711" width="16.28515625" style="140" customWidth="1"/>
    <col min="8712" max="8712" width="12.85546875" style="140" customWidth="1"/>
    <col min="8713" max="8713" width="12.7109375" style="140" customWidth="1"/>
    <col min="8714" max="8714" width="14.42578125" style="140" customWidth="1"/>
    <col min="8715" max="8715" width="13.5703125" style="140" customWidth="1"/>
    <col min="8716" max="8960" width="9.140625" style="140"/>
    <col min="8961" max="8961" width="2.7109375" style="140" customWidth="1"/>
    <col min="8962" max="8962" width="9.140625" style="140"/>
    <col min="8963" max="8963" width="40.28515625" style="140" bestFit="1" customWidth="1"/>
    <col min="8964" max="8964" width="10" style="140" customWidth="1"/>
    <col min="8965" max="8965" width="10.140625" style="140" customWidth="1"/>
    <col min="8966" max="8966" width="12.28515625" style="140" customWidth="1"/>
    <col min="8967" max="8967" width="16.28515625" style="140" customWidth="1"/>
    <col min="8968" max="8968" width="12.85546875" style="140" customWidth="1"/>
    <col min="8969" max="8969" width="12.7109375" style="140" customWidth="1"/>
    <col min="8970" max="8970" width="14.42578125" style="140" customWidth="1"/>
    <col min="8971" max="8971" width="13.5703125" style="140" customWidth="1"/>
    <col min="8972" max="9216" width="9.140625" style="140"/>
    <col min="9217" max="9217" width="2.7109375" style="140" customWidth="1"/>
    <col min="9218" max="9218" width="9.140625" style="140"/>
    <col min="9219" max="9219" width="40.28515625" style="140" bestFit="1" customWidth="1"/>
    <col min="9220" max="9220" width="10" style="140" customWidth="1"/>
    <col min="9221" max="9221" width="10.140625" style="140" customWidth="1"/>
    <col min="9222" max="9222" width="12.28515625" style="140" customWidth="1"/>
    <col min="9223" max="9223" width="16.28515625" style="140" customWidth="1"/>
    <col min="9224" max="9224" width="12.85546875" style="140" customWidth="1"/>
    <col min="9225" max="9225" width="12.7109375" style="140" customWidth="1"/>
    <col min="9226" max="9226" width="14.42578125" style="140" customWidth="1"/>
    <col min="9227" max="9227" width="13.5703125" style="140" customWidth="1"/>
    <col min="9228" max="9472" width="9.140625" style="140"/>
    <col min="9473" max="9473" width="2.7109375" style="140" customWidth="1"/>
    <col min="9474" max="9474" width="9.140625" style="140"/>
    <col min="9475" max="9475" width="40.28515625" style="140" bestFit="1" customWidth="1"/>
    <col min="9476" max="9476" width="10" style="140" customWidth="1"/>
    <col min="9477" max="9477" width="10.140625" style="140" customWidth="1"/>
    <col min="9478" max="9478" width="12.28515625" style="140" customWidth="1"/>
    <col min="9479" max="9479" width="16.28515625" style="140" customWidth="1"/>
    <col min="9480" max="9480" width="12.85546875" style="140" customWidth="1"/>
    <col min="9481" max="9481" width="12.7109375" style="140" customWidth="1"/>
    <col min="9482" max="9482" width="14.42578125" style="140" customWidth="1"/>
    <col min="9483" max="9483" width="13.5703125" style="140" customWidth="1"/>
    <col min="9484" max="9728" width="9.140625" style="140"/>
    <col min="9729" max="9729" width="2.7109375" style="140" customWidth="1"/>
    <col min="9730" max="9730" width="9.140625" style="140"/>
    <col min="9731" max="9731" width="40.28515625" style="140" bestFit="1" customWidth="1"/>
    <col min="9732" max="9732" width="10" style="140" customWidth="1"/>
    <col min="9733" max="9733" width="10.140625" style="140" customWidth="1"/>
    <col min="9734" max="9734" width="12.28515625" style="140" customWidth="1"/>
    <col min="9735" max="9735" width="16.28515625" style="140" customWidth="1"/>
    <col min="9736" max="9736" width="12.85546875" style="140" customWidth="1"/>
    <col min="9737" max="9737" width="12.7109375" style="140" customWidth="1"/>
    <col min="9738" max="9738" width="14.42578125" style="140" customWidth="1"/>
    <col min="9739" max="9739" width="13.5703125" style="140" customWidth="1"/>
    <col min="9740" max="9984" width="9.140625" style="140"/>
    <col min="9985" max="9985" width="2.7109375" style="140" customWidth="1"/>
    <col min="9986" max="9986" width="9.140625" style="140"/>
    <col min="9987" max="9987" width="40.28515625" style="140" bestFit="1" customWidth="1"/>
    <col min="9988" max="9988" width="10" style="140" customWidth="1"/>
    <col min="9989" max="9989" width="10.140625" style="140" customWidth="1"/>
    <col min="9990" max="9990" width="12.28515625" style="140" customWidth="1"/>
    <col min="9991" max="9991" width="16.28515625" style="140" customWidth="1"/>
    <col min="9992" max="9992" width="12.85546875" style="140" customWidth="1"/>
    <col min="9993" max="9993" width="12.7109375" style="140" customWidth="1"/>
    <col min="9994" max="9994" width="14.42578125" style="140" customWidth="1"/>
    <col min="9995" max="9995" width="13.5703125" style="140" customWidth="1"/>
    <col min="9996" max="10240" width="9.140625" style="140"/>
    <col min="10241" max="10241" width="2.7109375" style="140" customWidth="1"/>
    <col min="10242" max="10242" width="9.140625" style="140"/>
    <col min="10243" max="10243" width="40.28515625" style="140" bestFit="1" customWidth="1"/>
    <col min="10244" max="10244" width="10" style="140" customWidth="1"/>
    <col min="10245" max="10245" width="10.140625" style="140" customWidth="1"/>
    <col min="10246" max="10246" width="12.28515625" style="140" customWidth="1"/>
    <col min="10247" max="10247" width="16.28515625" style="140" customWidth="1"/>
    <col min="10248" max="10248" width="12.85546875" style="140" customWidth="1"/>
    <col min="10249" max="10249" width="12.7109375" style="140" customWidth="1"/>
    <col min="10250" max="10250" width="14.42578125" style="140" customWidth="1"/>
    <col min="10251" max="10251" width="13.5703125" style="140" customWidth="1"/>
    <col min="10252" max="10496" width="9.140625" style="140"/>
    <col min="10497" max="10497" width="2.7109375" style="140" customWidth="1"/>
    <col min="10498" max="10498" width="9.140625" style="140"/>
    <col min="10499" max="10499" width="40.28515625" style="140" bestFit="1" customWidth="1"/>
    <col min="10500" max="10500" width="10" style="140" customWidth="1"/>
    <col min="10501" max="10501" width="10.140625" style="140" customWidth="1"/>
    <col min="10502" max="10502" width="12.28515625" style="140" customWidth="1"/>
    <col min="10503" max="10503" width="16.28515625" style="140" customWidth="1"/>
    <col min="10504" max="10504" width="12.85546875" style="140" customWidth="1"/>
    <col min="10505" max="10505" width="12.7109375" style="140" customWidth="1"/>
    <col min="10506" max="10506" width="14.42578125" style="140" customWidth="1"/>
    <col min="10507" max="10507" width="13.5703125" style="140" customWidth="1"/>
    <col min="10508" max="10752" width="9.140625" style="140"/>
    <col min="10753" max="10753" width="2.7109375" style="140" customWidth="1"/>
    <col min="10754" max="10754" width="9.140625" style="140"/>
    <col min="10755" max="10755" width="40.28515625" style="140" bestFit="1" customWidth="1"/>
    <col min="10756" max="10756" width="10" style="140" customWidth="1"/>
    <col min="10757" max="10757" width="10.140625" style="140" customWidth="1"/>
    <col min="10758" max="10758" width="12.28515625" style="140" customWidth="1"/>
    <col min="10759" max="10759" width="16.28515625" style="140" customWidth="1"/>
    <col min="10760" max="10760" width="12.85546875" style="140" customWidth="1"/>
    <col min="10761" max="10761" width="12.7109375" style="140" customWidth="1"/>
    <col min="10762" max="10762" width="14.42578125" style="140" customWidth="1"/>
    <col min="10763" max="10763" width="13.5703125" style="140" customWidth="1"/>
    <col min="10764" max="11008" width="9.140625" style="140"/>
    <col min="11009" max="11009" width="2.7109375" style="140" customWidth="1"/>
    <col min="11010" max="11010" width="9.140625" style="140"/>
    <col min="11011" max="11011" width="40.28515625" style="140" bestFit="1" customWidth="1"/>
    <col min="11012" max="11012" width="10" style="140" customWidth="1"/>
    <col min="11013" max="11013" width="10.140625" style="140" customWidth="1"/>
    <col min="11014" max="11014" width="12.28515625" style="140" customWidth="1"/>
    <col min="11015" max="11015" width="16.28515625" style="140" customWidth="1"/>
    <col min="11016" max="11016" width="12.85546875" style="140" customWidth="1"/>
    <col min="11017" max="11017" width="12.7109375" style="140" customWidth="1"/>
    <col min="11018" max="11018" width="14.42578125" style="140" customWidth="1"/>
    <col min="11019" max="11019" width="13.5703125" style="140" customWidth="1"/>
    <col min="11020" max="11264" width="9.140625" style="140"/>
    <col min="11265" max="11265" width="2.7109375" style="140" customWidth="1"/>
    <col min="11266" max="11266" width="9.140625" style="140"/>
    <col min="11267" max="11267" width="40.28515625" style="140" bestFit="1" customWidth="1"/>
    <col min="11268" max="11268" width="10" style="140" customWidth="1"/>
    <col min="11269" max="11269" width="10.140625" style="140" customWidth="1"/>
    <col min="11270" max="11270" width="12.28515625" style="140" customWidth="1"/>
    <col min="11271" max="11271" width="16.28515625" style="140" customWidth="1"/>
    <col min="11272" max="11272" width="12.85546875" style="140" customWidth="1"/>
    <col min="11273" max="11273" width="12.7109375" style="140" customWidth="1"/>
    <col min="11274" max="11274" width="14.42578125" style="140" customWidth="1"/>
    <col min="11275" max="11275" width="13.5703125" style="140" customWidth="1"/>
    <col min="11276" max="11520" width="9.140625" style="140"/>
    <col min="11521" max="11521" width="2.7109375" style="140" customWidth="1"/>
    <col min="11522" max="11522" width="9.140625" style="140"/>
    <col min="11523" max="11523" width="40.28515625" style="140" bestFit="1" customWidth="1"/>
    <col min="11524" max="11524" width="10" style="140" customWidth="1"/>
    <col min="11525" max="11525" width="10.140625" style="140" customWidth="1"/>
    <col min="11526" max="11526" width="12.28515625" style="140" customWidth="1"/>
    <col min="11527" max="11527" width="16.28515625" style="140" customWidth="1"/>
    <col min="11528" max="11528" width="12.85546875" style="140" customWidth="1"/>
    <col min="11529" max="11529" width="12.7109375" style="140" customWidth="1"/>
    <col min="11530" max="11530" width="14.42578125" style="140" customWidth="1"/>
    <col min="11531" max="11531" width="13.5703125" style="140" customWidth="1"/>
    <col min="11532" max="11776" width="9.140625" style="140"/>
    <col min="11777" max="11777" width="2.7109375" style="140" customWidth="1"/>
    <col min="11778" max="11778" width="9.140625" style="140"/>
    <col min="11779" max="11779" width="40.28515625" style="140" bestFit="1" customWidth="1"/>
    <col min="11780" max="11780" width="10" style="140" customWidth="1"/>
    <col min="11781" max="11781" width="10.140625" style="140" customWidth="1"/>
    <col min="11782" max="11782" width="12.28515625" style="140" customWidth="1"/>
    <col min="11783" max="11783" width="16.28515625" style="140" customWidth="1"/>
    <col min="11784" max="11784" width="12.85546875" style="140" customWidth="1"/>
    <col min="11785" max="11785" width="12.7109375" style="140" customWidth="1"/>
    <col min="11786" max="11786" width="14.42578125" style="140" customWidth="1"/>
    <col min="11787" max="11787" width="13.5703125" style="140" customWidth="1"/>
    <col min="11788" max="12032" width="9.140625" style="140"/>
    <col min="12033" max="12033" width="2.7109375" style="140" customWidth="1"/>
    <col min="12034" max="12034" width="9.140625" style="140"/>
    <col min="12035" max="12035" width="40.28515625" style="140" bestFit="1" customWidth="1"/>
    <col min="12036" max="12036" width="10" style="140" customWidth="1"/>
    <col min="12037" max="12037" width="10.140625" style="140" customWidth="1"/>
    <col min="12038" max="12038" width="12.28515625" style="140" customWidth="1"/>
    <col min="12039" max="12039" width="16.28515625" style="140" customWidth="1"/>
    <col min="12040" max="12040" width="12.85546875" style="140" customWidth="1"/>
    <col min="12041" max="12041" width="12.7109375" style="140" customWidth="1"/>
    <col min="12042" max="12042" width="14.42578125" style="140" customWidth="1"/>
    <col min="12043" max="12043" width="13.5703125" style="140" customWidth="1"/>
    <col min="12044" max="12288" width="9.140625" style="140"/>
    <col min="12289" max="12289" width="2.7109375" style="140" customWidth="1"/>
    <col min="12290" max="12290" width="9.140625" style="140"/>
    <col min="12291" max="12291" width="40.28515625" style="140" bestFit="1" customWidth="1"/>
    <col min="12292" max="12292" width="10" style="140" customWidth="1"/>
    <col min="12293" max="12293" width="10.140625" style="140" customWidth="1"/>
    <col min="12294" max="12294" width="12.28515625" style="140" customWidth="1"/>
    <col min="12295" max="12295" width="16.28515625" style="140" customWidth="1"/>
    <col min="12296" max="12296" width="12.85546875" style="140" customWidth="1"/>
    <col min="12297" max="12297" width="12.7109375" style="140" customWidth="1"/>
    <col min="12298" max="12298" width="14.42578125" style="140" customWidth="1"/>
    <col min="12299" max="12299" width="13.5703125" style="140" customWidth="1"/>
    <col min="12300" max="12544" width="9.140625" style="140"/>
    <col min="12545" max="12545" width="2.7109375" style="140" customWidth="1"/>
    <col min="12546" max="12546" width="9.140625" style="140"/>
    <col min="12547" max="12547" width="40.28515625" style="140" bestFit="1" customWidth="1"/>
    <col min="12548" max="12548" width="10" style="140" customWidth="1"/>
    <col min="12549" max="12549" width="10.140625" style="140" customWidth="1"/>
    <col min="12550" max="12550" width="12.28515625" style="140" customWidth="1"/>
    <col min="12551" max="12551" width="16.28515625" style="140" customWidth="1"/>
    <col min="12552" max="12552" width="12.85546875" style="140" customWidth="1"/>
    <col min="12553" max="12553" width="12.7109375" style="140" customWidth="1"/>
    <col min="12554" max="12554" width="14.42578125" style="140" customWidth="1"/>
    <col min="12555" max="12555" width="13.5703125" style="140" customWidth="1"/>
    <col min="12556" max="12800" width="9.140625" style="140"/>
    <col min="12801" max="12801" width="2.7109375" style="140" customWidth="1"/>
    <col min="12802" max="12802" width="9.140625" style="140"/>
    <col min="12803" max="12803" width="40.28515625" style="140" bestFit="1" customWidth="1"/>
    <col min="12804" max="12804" width="10" style="140" customWidth="1"/>
    <col min="12805" max="12805" width="10.140625" style="140" customWidth="1"/>
    <col min="12806" max="12806" width="12.28515625" style="140" customWidth="1"/>
    <col min="12807" max="12807" width="16.28515625" style="140" customWidth="1"/>
    <col min="12808" max="12808" width="12.85546875" style="140" customWidth="1"/>
    <col min="12809" max="12809" width="12.7109375" style="140" customWidth="1"/>
    <col min="12810" max="12810" width="14.42578125" style="140" customWidth="1"/>
    <col min="12811" max="12811" width="13.5703125" style="140" customWidth="1"/>
    <col min="12812" max="13056" width="9.140625" style="140"/>
    <col min="13057" max="13057" width="2.7109375" style="140" customWidth="1"/>
    <col min="13058" max="13058" width="9.140625" style="140"/>
    <col min="13059" max="13059" width="40.28515625" style="140" bestFit="1" customWidth="1"/>
    <col min="13060" max="13060" width="10" style="140" customWidth="1"/>
    <col min="13061" max="13061" width="10.140625" style="140" customWidth="1"/>
    <col min="13062" max="13062" width="12.28515625" style="140" customWidth="1"/>
    <col min="13063" max="13063" width="16.28515625" style="140" customWidth="1"/>
    <col min="13064" max="13064" width="12.85546875" style="140" customWidth="1"/>
    <col min="13065" max="13065" width="12.7109375" style="140" customWidth="1"/>
    <col min="13066" max="13066" width="14.42578125" style="140" customWidth="1"/>
    <col min="13067" max="13067" width="13.5703125" style="140" customWidth="1"/>
    <col min="13068" max="13312" width="9.140625" style="140"/>
    <col min="13313" max="13313" width="2.7109375" style="140" customWidth="1"/>
    <col min="13314" max="13314" width="9.140625" style="140"/>
    <col min="13315" max="13315" width="40.28515625" style="140" bestFit="1" customWidth="1"/>
    <col min="13316" max="13316" width="10" style="140" customWidth="1"/>
    <col min="13317" max="13317" width="10.140625" style="140" customWidth="1"/>
    <col min="13318" max="13318" width="12.28515625" style="140" customWidth="1"/>
    <col min="13319" max="13319" width="16.28515625" style="140" customWidth="1"/>
    <col min="13320" max="13320" width="12.85546875" style="140" customWidth="1"/>
    <col min="13321" max="13321" width="12.7109375" style="140" customWidth="1"/>
    <col min="13322" max="13322" width="14.42578125" style="140" customWidth="1"/>
    <col min="13323" max="13323" width="13.5703125" style="140" customWidth="1"/>
    <col min="13324" max="13568" width="9.140625" style="140"/>
    <col min="13569" max="13569" width="2.7109375" style="140" customWidth="1"/>
    <col min="13570" max="13570" width="9.140625" style="140"/>
    <col min="13571" max="13571" width="40.28515625" style="140" bestFit="1" customWidth="1"/>
    <col min="13572" max="13572" width="10" style="140" customWidth="1"/>
    <col min="13573" max="13573" width="10.140625" style="140" customWidth="1"/>
    <col min="13574" max="13574" width="12.28515625" style="140" customWidth="1"/>
    <col min="13575" max="13575" width="16.28515625" style="140" customWidth="1"/>
    <col min="13576" max="13576" width="12.85546875" style="140" customWidth="1"/>
    <col min="13577" max="13577" width="12.7109375" style="140" customWidth="1"/>
    <col min="13578" max="13578" width="14.42578125" style="140" customWidth="1"/>
    <col min="13579" max="13579" width="13.5703125" style="140" customWidth="1"/>
    <col min="13580" max="13824" width="9.140625" style="140"/>
    <col min="13825" max="13825" width="2.7109375" style="140" customWidth="1"/>
    <col min="13826" max="13826" width="9.140625" style="140"/>
    <col min="13827" max="13827" width="40.28515625" style="140" bestFit="1" customWidth="1"/>
    <col min="13828" max="13828" width="10" style="140" customWidth="1"/>
    <col min="13829" max="13829" width="10.140625" style="140" customWidth="1"/>
    <col min="13830" max="13830" width="12.28515625" style="140" customWidth="1"/>
    <col min="13831" max="13831" width="16.28515625" style="140" customWidth="1"/>
    <col min="13832" max="13832" width="12.85546875" style="140" customWidth="1"/>
    <col min="13833" max="13833" width="12.7109375" style="140" customWidth="1"/>
    <col min="13834" max="13834" width="14.42578125" style="140" customWidth="1"/>
    <col min="13835" max="13835" width="13.5703125" style="140" customWidth="1"/>
    <col min="13836" max="14080" width="9.140625" style="140"/>
    <col min="14081" max="14081" width="2.7109375" style="140" customWidth="1"/>
    <col min="14082" max="14082" width="9.140625" style="140"/>
    <col min="14083" max="14083" width="40.28515625" style="140" bestFit="1" customWidth="1"/>
    <col min="14084" max="14084" width="10" style="140" customWidth="1"/>
    <col min="14085" max="14085" width="10.140625" style="140" customWidth="1"/>
    <col min="14086" max="14086" width="12.28515625" style="140" customWidth="1"/>
    <col min="14087" max="14087" width="16.28515625" style="140" customWidth="1"/>
    <col min="14088" max="14088" width="12.85546875" style="140" customWidth="1"/>
    <col min="14089" max="14089" width="12.7109375" style="140" customWidth="1"/>
    <col min="14090" max="14090" width="14.42578125" style="140" customWidth="1"/>
    <col min="14091" max="14091" width="13.5703125" style="140" customWidth="1"/>
    <col min="14092" max="14336" width="9.140625" style="140"/>
    <col min="14337" max="14337" width="2.7109375" style="140" customWidth="1"/>
    <col min="14338" max="14338" width="9.140625" style="140"/>
    <col min="14339" max="14339" width="40.28515625" style="140" bestFit="1" customWidth="1"/>
    <col min="14340" max="14340" width="10" style="140" customWidth="1"/>
    <col min="14341" max="14341" width="10.140625" style="140" customWidth="1"/>
    <col min="14342" max="14342" width="12.28515625" style="140" customWidth="1"/>
    <col min="14343" max="14343" width="16.28515625" style="140" customWidth="1"/>
    <col min="14344" max="14344" width="12.85546875" style="140" customWidth="1"/>
    <col min="14345" max="14345" width="12.7109375" style="140" customWidth="1"/>
    <col min="14346" max="14346" width="14.42578125" style="140" customWidth="1"/>
    <col min="14347" max="14347" width="13.5703125" style="140" customWidth="1"/>
    <col min="14348" max="14592" width="9.140625" style="140"/>
    <col min="14593" max="14593" width="2.7109375" style="140" customWidth="1"/>
    <col min="14594" max="14594" width="9.140625" style="140"/>
    <col min="14595" max="14595" width="40.28515625" style="140" bestFit="1" customWidth="1"/>
    <col min="14596" max="14596" width="10" style="140" customWidth="1"/>
    <col min="14597" max="14597" width="10.140625" style="140" customWidth="1"/>
    <col min="14598" max="14598" width="12.28515625" style="140" customWidth="1"/>
    <col min="14599" max="14599" width="16.28515625" style="140" customWidth="1"/>
    <col min="14600" max="14600" width="12.85546875" style="140" customWidth="1"/>
    <col min="14601" max="14601" width="12.7109375" style="140" customWidth="1"/>
    <col min="14602" max="14602" width="14.42578125" style="140" customWidth="1"/>
    <col min="14603" max="14603" width="13.5703125" style="140" customWidth="1"/>
    <col min="14604" max="14848" width="9.140625" style="140"/>
    <col min="14849" max="14849" width="2.7109375" style="140" customWidth="1"/>
    <col min="14850" max="14850" width="9.140625" style="140"/>
    <col min="14851" max="14851" width="40.28515625" style="140" bestFit="1" customWidth="1"/>
    <col min="14852" max="14852" width="10" style="140" customWidth="1"/>
    <col min="14853" max="14853" width="10.140625" style="140" customWidth="1"/>
    <col min="14854" max="14854" width="12.28515625" style="140" customWidth="1"/>
    <col min="14855" max="14855" width="16.28515625" style="140" customWidth="1"/>
    <col min="14856" max="14856" width="12.85546875" style="140" customWidth="1"/>
    <col min="14857" max="14857" width="12.7109375" style="140" customWidth="1"/>
    <col min="14858" max="14858" width="14.42578125" style="140" customWidth="1"/>
    <col min="14859" max="14859" width="13.5703125" style="140" customWidth="1"/>
    <col min="14860" max="15104" width="9.140625" style="140"/>
    <col min="15105" max="15105" width="2.7109375" style="140" customWidth="1"/>
    <col min="15106" max="15106" width="9.140625" style="140"/>
    <col min="15107" max="15107" width="40.28515625" style="140" bestFit="1" customWidth="1"/>
    <col min="15108" max="15108" width="10" style="140" customWidth="1"/>
    <col min="15109" max="15109" width="10.140625" style="140" customWidth="1"/>
    <col min="15110" max="15110" width="12.28515625" style="140" customWidth="1"/>
    <col min="15111" max="15111" width="16.28515625" style="140" customWidth="1"/>
    <col min="15112" max="15112" width="12.85546875" style="140" customWidth="1"/>
    <col min="15113" max="15113" width="12.7109375" style="140" customWidth="1"/>
    <col min="15114" max="15114" width="14.42578125" style="140" customWidth="1"/>
    <col min="15115" max="15115" width="13.5703125" style="140" customWidth="1"/>
    <col min="15116" max="15360" width="9.140625" style="140"/>
    <col min="15361" max="15361" width="2.7109375" style="140" customWidth="1"/>
    <col min="15362" max="15362" width="9.140625" style="140"/>
    <col min="15363" max="15363" width="40.28515625" style="140" bestFit="1" customWidth="1"/>
    <col min="15364" max="15364" width="10" style="140" customWidth="1"/>
    <col min="15365" max="15365" width="10.140625" style="140" customWidth="1"/>
    <col min="15366" max="15366" width="12.28515625" style="140" customWidth="1"/>
    <col min="15367" max="15367" width="16.28515625" style="140" customWidth="1"/>
    <col min="15368" max="15368" width="12.85546875" style="140" customWidth="1"/>
    <col min="15369" max="15369" width="12.7109375" style="140" customWidth="1"/>
    <col min="15370" max="15370" width="14.42578125" style="140" customWidth="1"/>
    <col min="15371" max="15371" width="13.5703125" style="140" customWidth="1"/>
    <col min="15372" max="15616" width="9.140625" style="140"/>
    <col min="15617" max="15617" width="2.7109375" style="140" customWidth="1"/>
    <col min="15618" max="15618" width="9.140625" style="140"/>
    <col min="15619" max="15619" width="40.28515625" style="140" bestFit="1" customWidth="1"/>
    <col min="15620" max="15620" width="10" style="140" customWidth="1"/>
    <col min="15621" max="15621" width="10.140625" style="140" customWidth="1"/>
    <col min="15622" max="15622" width="12.28515625" style="140" customWidth="1"/>
    <col min="15623" max="15623" width="16.28515625" style="140" customWidth="1"/>
    <col min="15624" max="15624" width="12.85546875" style="140" customWidth="1"/>
    <col min="15625" max="15625" width="12.7109375" style="140" customWidth="1"/>
    <col min="15626" max="15626" width="14.42578125" style="140" customWidth="1"/>
    <col min="15627" max="15627" width="13.5703125" style="140" customWidth="1"/>
    <col min="15628" max="15872" width="9.140625" style="140"/>
    <col min="15873" max="15873" width="2.7109375" style="140" customWidth="1"/>
    <col min="15874" max="15874" width="9.140625" style="140"/>
    <col min="15875" max="15875" width="40.28515625" style="140" bestFit="1" customWidth="1"/>
    <col min="15876" max="15876" width="10" style="140" customWidth="1"/>
    <col min="15877" max="15877" width="10.140625" style="140" customWidth="1"/>
    <col min="15878" max="15878" width="12.28515625" style="140" customWidth="1"/>
    <col min="15879" max="15879" width="16.28515625" style="140" customWidth="1"/>
    <col min="15880" max="15880" width="12.85546875" style="140" customWidth="1"/>
    <col min="15881" max="15881" width="12.7109375" style="140" customWidth="1"/>
    <col min="15882" max="15882" width="14.42578125" style="140" customWidth="1"/>
    <col min="15883" max="15883" width="13.5703125" style="140" customWidth="1"/>
    <col min="15884" max="16128" width="9.140625" style="140"/>
    <col min="16129" max="16129" width="2.7109375" style="140" customWidth="1"/>
    <col min="16130" max="16130" width="9.140625" style="140"/>
    <col min="16131" max="16131" width="40.28515625" style="140" bestFit="1" customWidth="1"/>
    <col min="16132" max="16132" width="10" style="140" customWidth="1"/>
    <col min="16133" max="16133" width="10.140625" style="140" customWidth="1"/>
    <col min="16134" max="16134" width="12.28515625" style="140" customWidth="1"/>
    <col min="16135" max="16135" width="16.28515625" style="140" customWidth="1"/>
    <col min="16136" max="16136" width="12.85546875" style="140" customWidth="1"/>
    <col min="16137" max="16137" width="12.7109375" style="140" customWidth="1"/>
    <col min="16138" max="16138" width="14.42578125" style="140" customWidth="1"/>
    <col min="16139" max="16139" width="13.5703125" style="140" customWidth="1"/>
    <col min="16140" max="16384" width="9.140625" style="140"/>
  </cols>
  <sheetData>
    <row r="1" spans="1:15" x14ac:dyDescent="0.2">
      <c r="D1" s="336"/>
      <c r="E1" s="337"/>
      <c r="F1" s="337"/>
      <c r="G1" s="337"/>
      <c r="H1" s="337"/>
      <c r="J1" s="334" t="s">
        <v>394</v>
      </c>
      <c r="K1" s="1513" t="str">
        <f>EBNUMBER</f>
        <v>EB-2015-0089</v>
      </c>
      <c r="L1" s="337"/>
    </row>
    <row r="2" spans="1:15" x14ac:dyDescent="0.2">
      <c r="D2" s="336"/>
      <c r="E2" s="337"/>
      <c r="F2" s="337"/>
      <c r="G2" s="337"/>
      <c r="H2" s="337"/>
      <c r="J2" s="334" t="s">
        <v>395</v>
      </c>
      <c r="K2" s="136"/>
      <c r="L2" s="337"/>
    </row>
    <row r="3" spans="1:15" x14ac:dyDescent="0.2">
      <c r="D3" s="336"/>
      <c r="E3" s="337"/>
      <c r="F3" s="337"/>
      <c r="G3" s="337"/>
      <c r="H3" s="337"/>
      <c r="J3" s="334" t="s">
        <v>396</v>
      </c>
      <c r="K3" s="136"/>
      <c r="L3" s="337"/>
    </row>
    <row r="4" spans="1:15" x14ac:dyDescent="0.2">
      <c r="D4" s="336"/>
      <c r="E4" s="337"/>
      <c r="F4" s="337"/>
      <c r="G4" s="337"/>
      <c r="H4" s="337"/>
      <c r="J4" s="334" t="s">
        <v>397</v>
      </c>
      <c r="K4" s="136"/>
      <c r="L4" s="337"/>
    </row>
    <row r="5" spans="1:15" x14ac:dyDescent="0.2">
      <c r="D5" s="336"/>
      <c r="E5" s="337"/>
      <c r="F5" s="337"/>
      <c r="G5" s="337"/>
      <c r="H5" s="337"/>
      <c r="J5" s="334" t="s">
        <v>398</v>
      </c>
      <c r="K5" s="1514"/>
      <c r="L5" s="337"/>
    </row>
    <row r="6" spans="1:15" x14ac:dyDescent="0.2">
      <c r="D6" s="336"/>
      <c r="E6" s="337"/>
      <c r="F6" s="337"/>
      <c r="G6" s="337"/>
      <c r="H6" s="337"/>
      <c r="J6" s="334"/>
      <c r="K6" s="1513"/>
      <c r="L6" s="337"/>
    </row>
    <row r="7" spans="1:15" x14ac:dyDescent="0.2">
      <c r="D7" s="336"/>
      <c r="E7" s="337"/>
      <c r="F7" s="337"/>
      <c r="G7" s="337"/>
      <c r="H7" s="394"/>
      <c r="J7" s="334" t="s">
        <v>399</v>
      </c>
      <c r="K7" s="1514"/>
      <c r="L7" s="394"/>
    </row>
    <row r="9" spans="1:15" ht="18" x14ac:dyDescent="0.2">
      <c r="A9" s="1997" t="s">
        <v>527</v>
      </c>
      <c r="B9" s="1997"/>
      <c r="C9" s="1997"/>
      <c r="D9" s="1997"/>
      <c r="E9" s="1997"/>
      <c r="F9" s="1997"/>
      <c r="G9" s="1997"/>
      <c r="H9" s="1997"/>
      <c r="I9" s="1997"/>
      <c r="J9" s="1997"/>
      <c r="K9" s="1997"/>
    </row>
    <row r="10" spans="1:15" ht="18" x14ac:dyDescent="0.2">
      <c r="A10" s="1997" t="s">
        <v>3</v>
      </c>
      <c r="B10" s="1997"/>
      <c r="C10" s="1997"/>
      <c r="D10" s="1997"/>
      <c r="E10" s="1997"/>
      <c r="F10" s="1997"/>
      <c r="G10" s="1997"/>
      <c r="H10" s="1997"/>
      <c r="I10" s="1997"/>
      <c r="J10" s="1997"/>
      <c r="K10" s="1997"/>
    </row>
    <row r="11" spans="1:15" ht="24" customHeight="1" x14ac:dyDescent="0.2">
      <c r="A11" s="2076" t="s">
        <v>1854</v>
      </c>
      <c r="B11" s="2076"/>
      <c r="C11" s="2076"/>
      <c r="D11" s="2076"/>
      <c r="E11" s="2076"/>
      <c r="F11" s="2076"/>
      <c r="G11" s="2076"/>
      <c r="H11" s="2076"/>
      <c r="I11" s="2076"/>
      <c r="J11" s="2076"/>
      <c r="K11" s="2076"/>
      <c r="L11" s="456"/>
      <c r="M11" s="456"/>
      <c r="N11" s="456"/>
      <c r="O11" s="456"/>
    </row>
    <row r="12" spans="1:15" ht="24" customHeight="1" x14ac:dyDescent="0.2">
      <c r="A12" s="1479"/>
      <c r="B12" s="1479"/>
      <c r="C12" s="1479"/>
      <c r="D12" s="1479"/>
      <c r="E12" s="1479"/>
      <c r="F12" s="1479"/>
      <c r="G12" s="1479"/>
      <c r="H12" s="1479"/>
      <c r="I12" s="1479"/>
      <c r="J12" s="1479"/>
      <c r="K12" s="1479"/>
      <c r="L12" s="1479"/>
      <c r="M12" s="1479"/>
      <c r="N12" s="1479"/>
      <c r="O12" s="1479"/>
    </row>
    <row r="13" spans="1:15" ht="13.5" customHeight="1" x14ac:dyDescent="0.25">
      <c r="A13" s="1467"/>
      <c r="B13" s="1467"/>
      <c r="C13" s="435">
        <v>2013</v>
      </c>
      <c r="D13" s="436" t="s">
        <v>1607</v>
      </c>
      <c r="E13" s="1467"/>
      <c r="F13" s="1467"/>
      <c r="G13" s="1467"/>
      <c r="H13" s="1467"/>
    </row>
    <row r="14" spans="1:15" ht="13.5" thickBot="1" x14ac:dyDescent="0.25"/>
    <row r="15" spans="1:15" ht="52.5" customHeight="1" x14ac:dyDescent="0.2">
      <c r="A15" s="2070" t="s">
        <v>4</v>
      </c>
      <c r="B15" s="2072" t="s">
        <v>324</v>
      </c>
      <c r="C15" s="404" t="s">
        <v>326</v>
      </c>
      <c r="D15" s="404" t="s">
        <v>489</v>
      </c>
      <c r="E15" s="404" t="s">
        <v>479</v>
      </c>
      <c r="F15" s="438" t="s">
        <v>492</v>
      </c>
      <c r="G15" s="2079" t="s">
        <v>1604</v>
      </c>
      <c r="H15" s="438" t="s">
        <v>482</v>
      </c>
      <c r="I15" s="438" t="s">
        <v>659</v>
      </c>
      <c r="J15" s="2079" t="s">
        <v>616</v>
      </c>
      <c r="K15" s="438" t="s">
        <v>660</v>
      </c>
    </row>
    <row r="16" spans="1:15" ht="54" customHeight="1" thickBot="1" x14ac:dyDescent="0.25">
      <c r="A16" s="2077"/>
      <c r="B16" s="2078"/>
      <c r="C16" s="439" t="s">
        <v>6</v>
      </c>
      <c r="D16" s="439" t="s">
        <v>8</v>
      </c>
      <c r="E16" s="439" t="s">
        <v>9</v>
      </c>
      <c r="F16" s="457" t="s">
        <v>661</v>
      </c>
      <c r="G16" s="2080"/>
      <c r="H16" s="442" t="s">
        <v>476</v>
      </c>
      <c r="I16" s="442" t="s">
        <v>491</v>
      </c>
      <c r="J16" s="2081"/>
      <c r="K16" s="458" t="s">
        <v>662</v>
      </c>
    </row>
    <row r="17" spans="1:11" ht="25.5" x14ac:dyDescent="0.2">
      <c r="A17" s="1473">
        <v>1611</v>
      </c>
      <c r="B17" s="355" t="s">
        <v>475</v>
      </c>
      <c r="C17" s="356"/>
      <c r="D17" s="459"/>
      <c r="E17" s="460">
        <f t="shared" ref="E17:E54" si="0">IF(D17=0,0,1/D17)</f>
        <v>0</v>
      </c>
      <c r="F17" s="374">
        <f>IF(D17=0,+'App.2-CB_NewCGAAP_DepExp_2012'!O17,+'App.2-CB_NewCGAAP_DepExp_2012'!O17+((C17*0.5)/D17))</f>
        <v>0</v>
      </c>
      <c r="G17" s="356"/>
      <c r="H17" s="374">
        <f t="shared" ref="H17:H54" si="1">IF(ISERROR(+F17-G17), 0, +F17-G17)</f>
        <v>0</v>
      </c>
      <c r="I17" s="374">
        <f t="shared" ref="I17:I54" si="2">IF(D17=0,0,+(C17)/D17)</f>
        <v>0</v>
      </c>
      <c r="J17" s="356"/>
      <c r="K17" s="374">
        <f>IF(ISERROR(+I17+'App.2-CB_NewCGAAP_DepExp_2012'!O17-J17), 0, +I17+'App.2-CB_NewCGAAP_DepExp_2012'!O17-J17)</f>
        <v>0</v>
      </c>
    </row>
    <row r="18" spans="1:11" ht="25.5" x14ac:dyDescent="0.2">
      <c r="A18" s="1473">
        <v>1612</v>
      </c>
      <c r="B18" s="355" t="s">
        <v>563</v>
      </c>
      <c r="C18" s="356"/>
      <c r="D18" s="411"/>
      <c r="E18" s="412">
        <f t="shared" si="0"/>
        <v>0</v>
      </c>
      <c r="F18" s="374">
        <f>IF(D18=0,+'App.2-CB_NewCGAAP_DepExp_2012'!O18,+'App.2-CB_NewCGAAP_DepExp_2012'!O18+((C18*0.5)/D18))</f>
        <v>0</v>
      </c>
      <c r="G18" s="356"/>
      <c r="H18" s="374">
        <f t="shared" si="1"/>
        <v>0</v>
      </c>
      <c r="I18" s="374">
        <f t="shared" si="2"/>
        <v>0</v>
      </c>
      <c r="J18" s="356"/>
      <c r="K18" s="374">
        <f>IF(ISERROR(+I18+'App.2-CB_NewCGAAP_DepExp_2012'!O18-J18), 0, +I18+'App.2-CB_NewCGAAP_DepExp_2012'!O18-J18)</f>
        <v>0</v>
      </c>
    </row>
    <row r="19" spans="1:11" x14ac:dyDescent="0.2">
      <c r="A19" s="361">
        <v>1805</v>
      </c>
      <c r="B19" s="362" t="s">
        <v>358</v>
      </c>
      <c r="C19" s="356"/>
      <c r="D19" s="411"/>
      <c r="E19" s="412">
        <f t="shared" si="0"/>
        <v>0</v>
      </c>
      <c r="F19" s="374">
        <f>IF(D19=0,+'App.2-CB_NewCGAAP_DepExp_2012'!O19,+'App.2-CB_NewCGAAP_DepExp_2012'!O19+((C19*0.5)/D19))</f>
        <v>0</v>
      </c>
      <c r="G19" s="356"/>
      <c r="H19" s="374">
        <f t="shared" si="1"/>
        <v>0</v>
      </c>
      <c r="I19" s="374">
        <f t="shared" si="2"/>
        <v>0</v>
      </c>
      <c r="J19" s="356"/>
      <c r="K19" s="374">
        <f>IF(ISERROR(+I19+'App.2-CB_NewCGAAP_DepExp_2012'!O19-J19), 0, +I19+'App.2-CB_NewCGAAP_DepExp_2012'!O19-J19)</f>
        <v>0</v>
      </c>
    </row>
    <row r="20" spans="1:11" x14ac:dyDescent="0.2">
      <c r="A20" s="1473">
        <v>1808</v>
      </c>
      <c r="B20" s="363" t="s">
        <v>359</v>
      </c>
      <c r="C20" s="356"/>
      <c r="D20" s="411"/>
      <c r="E20" s="412">
        <f t="shared" si="0"/>
        <v>0</v>
      </c>
      <c r="F20" s="374">
        <f>IF(D20=0,+'App.2-CB_NewCGAAP_DepExp_2012'!O20,+'App.2-CB_NewCGAAP_DepExp_2012'!O20+((C20*0.5)/D20))</f>
        <v>0</v>
      </c>
      <c r="G20" s="356"/>
      <c r="H20" s="374">
        <f t="shared" si="1"/>
        <v>0</v>
      </c>
      <c r="I20" s="374">
        <f t="shared" si="2"/>
        <v>0</v>
      </c>
      <c r="J20" s="356"/>
      <c r="K20" s="374">
        <f>IF(ISERROR(+I20+'App.2-CB_NewCGAAP_DepExp_2012'!O20-J20), 0, +I20+'App.2-CB_NewCGAAP_DepExp_2012'!O20-J20)</f>
        <v>0</v>
      </c>
    </row>
    <row r="21" spans="1:11" x14ac:dyDescent="0.2">
      <c r="A21" s="1473">
        <v>1810</v>
      </c>
      <c r="B21" s="363" t="s">
        <v>392</v>
      </c>
      <c r="C21" s="356"/>
      <c r="D21" s="411"/>
      <c r="E21" s="412">
        <f t="shared" si="0"/>
        <v>0</v>
      </c>
      <c r="F21" s="374">
        <f>IF(D21=0,+'App.2-CB_NewCGAAP_DepExp_2012'!O21,+'App.2-CB_NewCGAAP_DepExp_2012'!O21+((C21*0.5)/D21))</f>
        <v>0</v>
      </c>
      <c r="G21" s="356"/>
      <c r="H21" s="374">
        <f t="shared" si="1"/>
        <v>0</v>
      </c>
      <c r="I21" s="374">
        <f t="shared" si="2"/>
        <v>0</v>
      </c>
      <c r="J21" s="356"/>
      <c r="K21" s="374">
        <f>IF(ISERROR(+I21+'App.2-CB_NewCGAAP_DepExp_2012'!O21-J21), 0, +I21+'App.2-CB_NewCGAAP_DepExp_2012'!O21-J21)</f>
        <v>0</v>
      </c>
    </row>
    <row r="22" spans="1:11" x14ac:dyDescent="0.2">
      <c r="A22" s="1473">
        <v>1815</v>
      </c>
      <c r="B22" s="363" t="s">
        <v>360</v>
      </c>
      <c r="C22" s="356"/>
      <c r="D22" s="411"/>
      <c r="E22" s="412">
        <f t="shared" si="0"/>
        <v>0</v>
      </c>
      <c r="F22" s="374">
        <f>IF(D22=0,+'App.2-CB_NewCGAAP_DepExp_2012'!O22,+'App.2-CB_NewCGAAP_DepExp_2012'!O22+((C22*0.5)/D22))</f>
        <v>0</v>
      </c>
      <c r="G22" s="356"/>
      <c r="H22" s="374">
        <f t="shared" si="1"/>
        <v>0</v>
      </c>
      <c r="I22" s="374">
        <f t="shared" si="2"/>
        <v>0</v>
      </c>
      <c r="J22" s="356"/>
      <c r="K22" s="374">
        <f>IF(ISERROR(+I22+'App.2-CB_NewCGAAP_DepExp_2012'!O22-J22), 0, +I22+'App.2-CB_NewCGAAP_DepExp_2012'!O22-J22)</f>
        <v>0</v>
      </c>
    </row>
    <row r="23" spans="1:11" x14ac:dyDescent="0.2">
      <c r="A23" s="1473">
        <v>1820</v>
      </c>
      <c r="B23" s="355" t="s">
        <v>287</v>
      </c>
      <c r="C23" s="356"/>
      <c r="D23" s="411"/>
      <c r="E23" s="412">
        <f t="shared" si="0"/>
        <v>0</v>
      </c>
      <c r="F23" s="374">
        <f>IF(D23=0,+'App.2-CB_NewCGAAP_DepExp_2012'!O23,+'App.2-CB_NewCGAAP_DepExp_2012'!O23+((C23*0.5)/D23))</f>
        <v>0</v>
      </c>
      <c r="G23" s="356"/>
      <c r="H23" s="374">
        <f t="shared" si="1"/>
        <v>0</v>
      </c>
      <c r="I23" s="374">
        <f t="shared" si="2"/>
        <v>0</v>
      </c>
      <c r="J23" s="356"/>
      <c r="K23" s="374">
        <f>IF(ISERROR(+I23+'App.2-CB_NewCGAAP_DepExp_2012'!O23-J23), 0, +I23+'App.2-CB_NewCGAAP_DepExp_2012'!O23-J23)</f>
        <v>0</v>
      </c>
    </row>
    <row r="24" spans="1:11" x14ac:dyDescent="0.2">
      <c r="A24" s="1473">
        <v>1825</v>
      </c>
      <c r="B24" s="363" t="s">
        <v>361</v>
      </c>
      <c r="C24" s="356"/>
      <c r="D24" s="411"/>
      <c r="E24" s="412">
        <f t="shared" si="0"/>
        <v>0</v>
      </c>
      <c r="F24" s="374">
        <f>IF(D24=0,+'App.2-CB_NewCGAAP_DepExp_2012'!O24,+'App.2-CB_NewCGAAP_DepExp_2012'!O24+((C24*0.5)/D24))</f>
        <v>0</v>
      </c>
      <c r="G24" s="356"/>
      <c r="H24" s="374">
        <f t="shared" si="1"/>
        <v>0</v>
      </c>
      <c r="I24" s="374">
        <f t="shared" si="2"/>
        <v>0</v>
      </c>
      <c r="J24" s="356"/>
      <c r="K24" s="374">
        <f>IF(ISERROR(+I24+'App.2-CB_NewCGAAP_DepExp_2012'!O24-J24), 0, +I24+'App.2-CB_NewCGAAP_DepExp_2012'!O24-J24)</f>
        <v>0</v>
      </c>
    </row>
    <row r="25" spans="1:11" x14ac:dyDescent="0.2">
      <c r="A25" s="1473">
        <v>1830</v>
      </c>
      <c r="B25" s="363" t="s">
        <v>362</v>
      </c>
      <c r="C25" s="356"/>
      <c r="D25" s="411"/>
      <c r="E25" s="412">
        <f t="shared" si="0"/>
        <v>0</v>
      </c>
      <c r="F25" s="374">
        <f>IF(D25=0,+'App.2-CB_NewCGAAP_DepExp_2012'!O25,+'App.2-CB_NewCGAAP_DepExp_2012'!O25+((C25*0.5)/D25))</f>
        <v>0</v>
      </c>
      <c r="G25" s="356"/>
      <c r="H25" s="374">
        <f t="shared" si="1"/>
        <v>0</v>
      </c>
      <c r="I25" s="374">
        <f t="shared" si="2"/>
        <v>0</v>
      </c>
      <c r="J25" s="356"/>
      <c r="K25" s="374">
        <f>IF(ISERROR(+I25+'App.2-CB_NewCGAAP_DepExp_2012'!O25-J25), 0, +I25+'App.2-CB_NewCGAAP_DepExp_2012'!O25-J25)</f>
        <v>0</v>
      </c>
    </row>
    <row r="26" spans="1:11" x14ac:dyDescent="0.2">
      <c r="A26" s="1473">
        <v>1835</v>
      </c>
      <c r="B26" s="363" t="s">
        <v>288</v>
      </c>
      <c r="C26" s="356"/>
      <c r="D26" s="411"/>
      <c r="E26" s="412">
        <f t="shared" si="0"/>
        <v>0</v>
      </c>
      <c r="F26" s="374">
        <f>IF(D26=0,+'App.2-CB_NewCGAAP_DepExp_2012'!O26,+'App.2-CB_NewCGAAP_DepExp_2012'!O26+((C26*0.5)/D26))</f>
        <v>0</v>
      </c>
      <c r="G26" s="356"/>
      <c r="H26" s="374">
        <f t="shared" si="1"/>
        <v>0</v>
      </c>
      <c r="I26" s="374">
        <f t="shared" si="2"/>
        <v>0</v>
      </c>
      <c r="J26" s="356"/>
      <c r="K26" s="374">
        <f>IF(ISERROR(+I26+'App.2-CB_NewCGAAP_DepExp_2012'!O26-J26), 0, +I26+'App.2-CB_NewCGAAP_DepExp_2012'!O26-J26)</f>
        <v>0</v>
      </c>
    </row>
    <row r="27" spans="1:11" x14ac:dyDescent="0.2">
      <c r="A27" s="1473">
        <v>1840</v>
      </c>
      <c r="B27" s="363" t="s">
        <v>289</v>
      </c>
      <c r="C27" s="356"/>
      <c r="D27" s="411"/>
      <c r="E27" s="412">
        <f t="shared" si="0"/>
        <v>0</v>
      </c>
      <c r="F27" s="374">
        <f>IF(D27=0,+'App.2-CB_NewCGAAP_DepExp_2012'!O27,+'App.2-CB_NewCGAAP_DepExp_2012'!O27+((C27*0.5)/D27))</f>
        <v>0</v>
      </c>
      <c r="G27" s="356"/>
      <c r="H27" s="374">
        <f t="shared" si="1"/>
        <v>0</v>
      </c>
      <c r="I27" s="374">
        <f t="shared" si="2"/>
        <v>0</v>
      </c>
      <c r="J27" s="356"/>
      <c r="K27" s="374">
        <f>IF(ISERROR(+I27+'App.2-CB_NewCGAAP_DepExp_2012'!O27-J27), 0, +I27+'App.2-CB_NewCGAAP_DepExp_2012'!O27-J27)</f>
        <v>0</v>
      </c>
    </row>
    <row r="28" spans="1:11" x14ac:dyDescent="0.2">
      <c r="A28" s="1473">
        <v>1845</v>
      </c>
      <c r="B28" s="363" t="s">
        <v>290</v>
      </c>
      <c r="C28" s="356"/>
      <c r="D28" s="411"/>
      <c r="E28" s="412">
        <f t="shared" si="0"/>
        <v>0</v>
      </c>
      <c r="F28" s="374">
        <f>IF(D28=0,+'App.2-CB_NewCGAAP_DepExp_2012'!O28,+'App.2-CB_NewCGAAP_DepExp_2012'!O28+((C28*0.5)/D28))</f>
        <v>0</v>
      </c>
      <c r="G28" s="356"/>
      <c r="H28" s="374">
        <f t="shared" si="1"/>
        <v>0</v>
      </c>
      <c r="I28" s="374">
        <f t="shared" si="2"/>
        <v>0</v>
      </c>
      <c r="J28" s="356"/>
      <c r="K28" s="374">
        <f>IF(ISERROR(+I28+'App.2-CB_NewCGAAP_DepExp_2012'!O28-J28), 0, +I28+'App.2-CB_NewCGAAP_DepExp_2012'!O28-J28)</f>
        <v>0</v>
      </c>
    </row>
    <row r="29" spans="1:11" x14ac:dyDescent="0.2">
      <c r="A29" s="1473">
        <v>1850</v>
      </c>
      <c r="B29" s="363" t="s">
        <v>363</v>
      </c>
      <c r="C29" s="356"/>
      <c r="D29" s="411"/>
      <c r="E29" s="412">
        <f t="shared" si="0"/>
        <v>0</v>
      </c>
      <c r="F29" s="374">
        <f>IF(D29=0,+'App.2-CB_NewCGAAP_DepExp_2012'!O29,+'App.2-CB_NewCGAAP_DepExp_2012'!O29+((C29*0.5)/D29))</f>
        <v>0</v>
      </c>
      <c r="G29" s="356"/>
      <c r="H29" s="374">
        <f t="shared" si="1"/>
        <v>0</v>
      </c>
      <c r="I29" s="374">
        <f t="shared" si="2"/>
        <v>0</v>
      </c>
      <c r="J29" s="356"/>
      <c r="K29" s="374">
        <f>IF(ISERROR(+I29+'App.2-CB_NewCGAAP_DepExp_2012'!O29-J29), 0, +I29+'App.2-CB_NewCGAAP_DepExp_2012'!O29-J29)</f>
        <v>0</v>
      </c>
    </row>
    <row r="30" spans="1:11" x14ac:dyDescent="0.2">
      <c r="A30" s="1473">
        <v>1855</v>
      </c>
      <c r="B30" s="363" t="s">
        <v>291</v>
      </c>
      <c r="C30" s="356"/>
      <c r="D30" s="411"/>
      <c r="E30" s="412">
        <f t="shared" si="0"/>
        <v>0</v>
      </c>
      <c r="F30" s="374">
        <f>IF(D30=0,+'App.2-CB_NewCGAAP_DepExp_2012'!O30,+'App.2-CB_NewCGAAP_DepExp_2012'!O30+((C30*0.5)/D30))</f>
        <v>0</v>
      </c>
      <c r="G30" s="356"/>
      <c r="H30" s="374">
        <f t="shared" si="1"/>
        <v>0</v>
      </c>
      <c r="I30" s="374">
        <f t="shared" si="2"/>
        <v>0</v>
      </c>
      <c r="J30" s="356"/>
      <c r="K30" s="374">
        <f>IF(ISERROR(+I30+'App.2-CB_NewCGAAP_DepExp_2012'!O30-J30), 0, +I30+'App.2-CB_NewCGAAP_DepExp_2012'!O30-J30)</f>
        <v>0</v>
      </c>
    </row>
    <row r="31" spans="1:11" x14ac:dyDescent="0.2">
      <c r="A31" s="1473">
        <v>1860</v>
      </c>
      <c r="B31" s="363" t="s">
        <v>364</v>
      </c>
      <c r="C31" s="356"/>
      <c r="D31" s="411"/>
      <c r="E31" s="412">
        <f t="shared" si="0"/>
        <v>0</v>
      </c>
      <c r="F31" s="374">
        <f>IF(D31=0,+'App.2-CB_NewCGAAP_DepExp_2012'!O31,+'App.2-CB_NewCGAAP_DepExp_2012'!O31+((C31*0.5)/D31))</f>
        <v>0</v>
      </c>
      <c r="G31" s="356"/>
      <c r="H31" s="374">
        <f t="shared" si="1"/>
        <v>0</v>
      </c>
      <c r="I31" s="374">
        <f t="shared" si="2"/>
        <v>0</v>
      </c>
      <c r="J31" s="356"/>
      <c r="K31" s="374">
        <f>IF(ISERROR(+I31+'App.2-CB_NewCGAAP_DepExp_2012'!O31-J31), 0, +I31+'App.2-CB_NewCGAAP_DepExp_2012'!O31-J31)</f>
        <v>0</v>
      </c>
    </row>
    <row r="32" spans="1:11" x14ac:dyDescent="0.2">
      <c r="A32" s="361">
        <v>1860</v>
      </c>
      <c r="B32" s="362" t="s">
        <v>292</v>
      </c>
      <c r="C32" s="356"/>
      <c r="D32" s="411"/>
      <c r="E32" s="412">
        <f t="shared" si="0"/>
        <v>0</v>
      </c>
      <c r="F32" s="374">
        <f>IF(D32=0,+'App.2-CB_NewCGAAP_DepExp_2012'!O32,+'App.2-CB_NewCGAAP_DepExp_2012'!O32+((C32*0.5)/D32))</f>
        <v>0</v>
      </c>
      <c r="G32" s="356"/>
      <c r="H32" s="374">
        <f t="shared" si="1"/>
        <v>0</v>
      </c>
      <c r="I32" s="374">
        <f t="shared" si="2"/>
        <v>0</v>
      </c>
      <c r="J32" s="356"/>
      <c r="K32" s="374">
        <f>IF(ISERROR(+I32+'App.2-CB_NewCGAAP_DepExp_2012'!O32-J32), 0, +I32+'App.2-CB_NewCGAAP_DepExp_2012'!O32-J32)</f>
        <v>0</v>
      </c>
    </row>
    <row r="33" spans="1:11" x14ac:dyDescent="0.2">
      <c r="A33" s="361">
        <v>1905</v>
      </c>
      <c r="B33" s="362" t="s">
        <v>358</v>
      </c>
      <c r="C33" s="356"/>
      <c r="D33" s="411"/>
      <c r="E33" s="412">
        <f t="shared" si="0"/>
        <v>0</v>
      </c>
      <c r="F33" s="374">
        <f>IF(D33=0,+'App.2-CB_NewCGAAP_DepExp_2012'!O33,+'App.2-CB_NewCGAAP_DepExp_2012'!O33+((C33*0.5)/D33))</f>
        <v>0</v>
      </c>
      <c r="G33" s="356"/>
      <c r="H33" s="374">
        <f t="shared" si="1"/>
        <v>0</v>
      </c>
      <c r="I33" s="374">
        <f t="shared" si="2"/>
        <v>0</v>
      </c>
      <c r="J33" s="356"/>
      <c r="K33" s="374">
        <f>IF(ISERROR(+I33+'App.2-CB_NewCGAAP_DepExp_2012'!O33-J33), 0, +I33+'App.2-CB_NewCGAAP_DepExp_2012'!O33-J33)</f>
        <v>0</v>
      </c>
    </row>
    <row r="34" spans="1:11" x14ac:dyDescent="0.2">
      <c r="A34" s="1473">
        <v>1908</v>
      </c>
      <c r="B34" s="363" t="s">
        <v>366</v>
      </c>
      <c r="C34" s="356"/>
      <c r="D34" s="411"/>
      <c r="E34" s="412">
        <f t="shared" si="0"/>
        <v>0</v>
      </c>
      <c r="F34" s="374">
        <f>IF(D34=0,+'App.2-CB_NewCGAAP_DepExp_2012'!O34,+'App.2-CB_NewCGAAP_DepExp_2012'!O34+((C34*0.5)/D34))</f>
        <v>0</v>
      </c>
      <c r="G34" s="356"/>
      <c r="H34" s="374">
        <f t="shared" si="1"/>
        <v>0</v>
      </c>
      <c r="I34" s="374">
        <f t="shared" si="2"/>
        <v>0</v>
      </c>
      <c r="J34" s="356"/>
      <c r="K34" s="374">
        <f>IF(ISERROR(+I34+'App.2-CB_NewCGAAP_DepExp_2012'!O34-J34), 0, +I34+'App.2-CB_NewCGAAP_DepExp_2012'!O34-J34)</f>
        <v>0</v>
      </c>
    </row>
    <row r="35" spans="1:11" x14ac:dyDescent="0.2">
      <c r="A35" s="1473">
        <v>1910</v>
      </c>
      <c r="B35" s="363" t="s">
        <v>392</v>
      </c>
      <c r="C35" s="356"/>
      <c r="D35" s="411"/>
      <c r="E35" s="412">
        <f t="shared" si="0"/>
        <v>0</v>
      </c>
      <c r="F35" s="374">
        <f>IF(D35=0,+'App.2-CB_NewCGAAP_DepExp_2012'!O35,+'App.2-CB_NewCGAAP_DepExp_2012'!O35+((C35*0.5)/D35))</f>
        <v>0</v>
      </c>
      <c r="G35" s="356"/>
      <c r="H35" s="374">
        <f t="shared" si="1"/>
        <v>0</v>
      </c>
      <c r="I35" s="374">
        <f t="shared" si="2"/>
        <v>0</v>
      </c>
      <c r="J35" s="356"/>
      <c r="K35" s="374">
        <f>IF(ISERROR(+I35+'App.2-CB_NewCGAAP_DepExp_2012'!O35-J35), 0, +I35+'App.2-CB_NewCGAAP_DepExp_2012'!O35-J35)</f>
        <v>0</v>
      </c>
    </row>
    <row r="36" spans="1:11" x14ac:dyDescent="0.2">
      <c r="A36" s="1473">
        <v>1915</v>
      </c>
      <c r="B36" s="363" t="s">
        <v>293</v>
      </c>
      <c r="C36" s="356"/>
      <c r="D36" s="411"/>
      <c r="E36" s="412">
        <f t="shared" si="0"/>
        <v>0</v>
      </c>
      <c r="F36" s="374">
        <f>IF(D36=0,+'App.2-CB_NewCGAAP_DepExp_2012'!O36,+'App.2-CB_NewCGAAP_DepExp_2012'!O36+((C36*0.5)/D36))</f>
        <v>0</v>
      </c>
      <c r="G36" s="356"/>
      <c r="H36" s="374">
        <f t="shared" si="1"/>
        <v>0</v>
      </c>
      <c r="I36" s="374">
        <f t="shared" si="2"/>
        <v>0</v>
      </c>
      <c r="J36" s="356"/>
      <c r="K36" s="374">
        <f>IF(ISERROR(+I36+'App.2-CB_NewCGAAP_DepExp_2012'!O36-J36), 0, +I36+'App.2-CB_NewCGAAP_DepExp_2012'!O36-J36)</f>
        <v>0</v>
      </c>
    </row>
    <row r="37" spans="1:11" x14ac:dyDescent="0.2">
      <c r="A37" s="1473">
        <v>1915</v>
      </c>
      <c r="B37" s="363" t="s">
        <v>294</v>
      </c>
      <c r="C37" s="356"/>
      <c r="D37" s="411"/>
      <c r="E37" s="412">
        <f t="shared" si="0"/>
        <v>0</v>
      </c>
      <c r="F37" s="374">
        <f>IF(D37=0,+'App.2-CB_NewCGAAP_DepExp_2012'!O37,+'App.2-CB_NewCGAAP_DepExp_2012'!O37+((C37*0.5)/D37))</f>
        <v>0</v>
      </c>
      <c r="G37" s="356"/>
      <c r="H37" s="374">
        <f t="shared" si="1"/>
        <v>0</v>
      </c>
      <c r="I37" s="374">
        <f t="shared" si="2"/>
        <v>0</v>
      </c>
      <c r="J37" s="356"/>
      <c r="K37" s="374">
        <f>IF(ISERROR(+I37+'App.2-CB_NewCGAAP_DepExp_2012'!O37-J37), 0, +I37+'App.2-CB_NewCGAAP_DepExp_2012'!O37-J37)</f>
        <v>0</v>
      </c>
    </row>
    <row r="38" spans="1:11" x14ac:dyDescent="0.2">
      <c r="A38" s="1473">
        <v>1920</v>
      </c>
      <c r="B38" s="363" t="s">
        <v>295</v>
      </c>
      <c r="C38" s="356"/>
      <c r="D38" s="411"/>
      <c r="E38" s="412">
        <f t="shared" si="0"/>
        <v>0</v>
      </c>
      <c r="F38" s="374">
        <f>IF(D38=0,+'App.2-CB_NewCGAAP_DepExp_2012'!O38,+'App.2-CB_NewCGAAP_DepExp_2012'!O38+((C38*0.5)/D38))</f>
        <v>0</v>
      </c>
      <c r="G38" s="356"/>
      <c r="H38" s="374">
        <f t="shared" si="1"/>
        <v>0</v>
      </c>
      <c r="I38" s="374">
        <f t="shared" si="2"/>
        <v>0</v>
      </c>
      <c r="J38" s="356"/>
      <c r="K38" s="374">
        <f>IF(ISERROR(+I38+'App.2-CB_NewCGAAP_DepExp_2012'!O38-J38), 0, +I38+'App.2-CB_NewCGAAP_DepExp_2012'!O38-J38)</f>
        <v>0</v>
      </c>
    </row>
    <row r="39" spans="1:11" x14ac:dyDescent="0.2">
      <c r="A39" s="368">
        <v>1920</v>
      </c>
      <c r="B39" s="355" t="s">
        <v>297</v>
      </c>
      <c r="C39" s="356"/>
      <c r="D39" s="411"/>
      <c r="E39" s="412">
        <f t="shared" si="0"/>
        <v>0</v>
      </c>
      <c r="F39" s="374">
        <f>IF(D39=0,+'App.2-CB_NewCGAAP_DepExp_2012'!O39,+'App.2-CB_NewCGAAP_DepExp_2012'!O39+((C39*0.5)/D39))</f>
        <v>0</v>
      </c>
      <c r="G39" s="356"/>
      <c r="H39" s="374">
        <f t="shared" si="1"/>
        <v>0</v>
      </c>
      <c r="I39" s="374">
        <f t="shared" si="2"/>
        <v>0</v>
      </c>
      <c r="J39" s="356"/>
      <c r="K39" s="374">
        <f>IF(ISERROR(+I39+'App.2-CB_NewCGAAP_DepExp_2012'!O39-J39), 0, +I39+'App.2-CB_NewCGAAP_DepExp_2012'!O39-J39)</f>
        <v>0</v>
      </c>
    </row>
    <row r="40" spans="1:11" x14ac:dyDescent="0.2">
      <c r="A40" s="368">
        <v>1920</v>
      </c>
      <c r="B40" s="355" t="s">
        <v>296</v>
      </c>
      <c r="C40" s="356"/>
      <c r="D40" s="411"/>
      <c r="E40" s="412">
        <f t="shared" si="0"/>
        <v>0</v>
      </c>
      <c r="F40" s="374">
        <f>IF(D40=0,+'App.2-CB_NewCGAAP_DepExp_2012'!O40,+'App.2-CB_NewCGAAP_DepExp_2012'!O40+((C40*0.5)/D40))</f>
        <v>0</v>
      </c>
      <c r="G40" s="356"/>
      <c r="H40" s="374">
        <f t="shared" si="1"/>
        <v>0</v>
      </c>
      <c r="I40" s="374">
        <f t="shared" si="2"/>
        <v>0</v>
      </c>
      <c r="J40" s="356"/>
      <c r="K40" s="374">
        <f>IF(ISERROR(+I40+'App.2-CB_NewCGAAP_DepExp_2012'!O40-J40), 0, +I40+'App.2-CB_NewCGAAP_DepExp_2012'!O40-J40)</f>
        <v>0</v>
      </c>
    </row>
    <row r="41" spans="1:11" x14ac:dyDescent="0.2">
      <c r="A41" s="1473">
        <v>1930</v>
      </c>
      <c r="B41" s="363" t="s">
        <v>379</v>
      </c>
      <c r="C41" s="356"/>
      <c r="D41" s="411"/>
      <c r="E41" s="412">
        <f t="shared" si="0"/>
        <v>0</v>
      </c>
      <c r="F41" s="374">
        <f>IF(D41=0,+'App.2-CB_NewCGAAP_DepExp_2012'!O41,+'App.2-CB_NewCGAAP_DepExp_2012'!O41+((C41*0.5)/D41))</f>
        <v>0</v>
      </c>
      <c r="G41" s="356"/>
      <c r="H41" s="374">
        <f t="shared" si="1"/>
        <v>0</v>
      </c>
      <c r="I41" s="374">
        <f t="shared" si="2"/>
        <v>0</v>
      </c>
      <c r="J41" s="356"/>
      <c r="K41" s="374">
        <f>IF(ISERROR(+I41+'App.2-CB_NewCGAAP_DepExp_2012'!O41-J41), 0, +I41+'App.2-CB_NewCGAAP_DepExp_2012'!O41-J41)</f>
        <v>0</v>
      </c>
    </row>
    <row r="42" spans="1:11" x14ac:dyDescent="0.2">
      <c r="A42" s="1473">
        <v>1935</v>
      </c>
      <c r="B42" s="363" t="s">
        <v>380</v>
      </c>
      <c r="C42" s="356"/>
      <c r="D42" s="411"/>
      <c r="E42" s="412">
        <f t="shared" si="0"/>
        <v>0</v>
      </c>
      <c r="F42" s="374">
        <f>IF(D42=0,+'App.2-CB_NewCGAAP_DepExp_2012'!O42,+'App.2-CB_NewCGAAP_DepExp_2012'!O42+((C42*0.5)/D42))</f>
        <v>0</v>
      </c>
      <c r="G42" s="356"/>
      <c r="H42" s="374">
        <f t="shared" si="1"/>
        <v>0</v>
      </c>
      <c r="I42" s="374">
        <f t="shared" si="2"/>
        <v>0</v>
      </c>
      <c r="J42" s="356"/>
      <c r="K42" s="374">
        <f>IF(ISERROR(+I42+'App.2-CB_NewCGAAP_DepExp_2012'!O42-J42), 0, +I42+'App.2-CB_NewCGAAP_DepExp_2012'!O42-J42)</f>
        <v>0</v>
      </c>
    </row>
    <row r="43" spans="1:11" x14ac:dyDescent="0.2">
      <c r="A43" s="1473">
        <v>1940</v>
      </c>
      <c r="B43" s="363" t="s">
        <v>381</v>
      </c>
      <c r="C43" s="356"/>
      <c r="D43" s="411"/>
      <c r="E43" s="412">
        <f t="shared" si="0"/>
        <v>0</v>
      </c>
      <c r="F43" s="374">
        <f>IF(D43=0,+'App.2-CB_NewCGAAP_DepExp_2012'!O43,+'App.2-CB_NewCGAAP_DepExp_2012'!O43+((C43*0.5)/D43))</f>
        <v>0</v>
      </c>
      <c r="G43" s="356"/>
      <c r="H43" s="374">
        <f t="shared" si="1"/>
        <v>0</v>
      </c>
      <c r="I43" s="374">
        <f t="shared" si="2"/>
        <v>0</v>
      </c>
      <c r="J43" s="356"/>
      <c r="K43" s="374">
        <f>IF(ISERROR(+I43+'App.2-CB_NewCGAAP_DepExp_2012'!O43-J43), 0, +I43+'App.2-CB_NewCGAAP_DepExp_2012'!O43-J43)</f>
        <v>0</v>
      </c>
    </row>
    <row r="44" spans="1:11" x14ac:dyDescent="0.2">
      <c r="A44" s="1473">
        <v>1945</v>
      </c>
      <c r="B44" s="363" t="s">
        <v>382</v>
      </c>
      <c r="C44" s="356"/>
      <c r="D44" s="411"/>
      <c r="E44" s="412">
        <f t="shared" si="0"/>
        <v>0</v>
      </c>
      <c r="F44" s="374">
        <f>IF(D44=0,+'App.2-CB_NewCGAAP_DepExp_2012'!O44,+'App.2-CB_NewCGAAP_DepExp_2012'!O44+((C44*0.5)/D44))</f>
        <v>0</v>
      </c>
      <c r="G44" s="356"/>
      <c r="H44" s="374">
        <f t="shared" si="1"/>
        <v>0</v>
      </c>
      <c r="I44" s="374">
        <f t="shared" si="2"/>
        <v>0</v>
      </c>
      <c r="J44" s="356"/>
      <c r="K44" s="374">
        <f>IF(ISERROR(+I44+'App.2-CB_NewCGAAP_DepExp_2012'!O44-J44), 0, +I44+'App.2-CB_NewCGAAP_DepExp_2012'!O44-J44)</f>
        <v>0</v>
      </c>
    </row>
    <row r="45" spans="1:11" x14ac:dyDescent="0.2">
      <c r="A45" s="1473">
        <v>1950</v>
      </c>
      <c r="B45" s="363" t="s">
        <v>298</v>
      </c>
      <c r="C45" s="356"/>
      <c r="D45" s="411"/>
      <c r="E45" s="412">
        <f t="shared" si="0"/>
        <v>0</v>
      </c>
      <c r="F45" s="374">
        <f>IF(D45=0,+'App.2-CB_NewCGAAP_DepExp_2012'!O45,+'App.2-CB_NewCGAAP_DepExp_2012'!O45+((C45*0.5)/D45))</f>
        <v>0</v>
      </c>
      <c r="G45" s="356"/>
      <c r="H45" s="374">
        <f t="shared" si="1"/>
        <v>0</v>
      </c>
      <c r="I45" s="374">
        <f t="shared" si="2"/>
        <v>0</v>
      </c>
      <c r="J45" s="356"/>
      <c r="K45" s="374">
        <f>IF(ISERROR(+I45+'App.2-CB_NewCGAAP_DepExp_2012'!O45-J45), 0, +I45+'App.2-CB_NewCGAAP_DepExp_2012'!O45-J45)</f>
        <v>0</v>
      </c>
    </row>
    <row r="46" spans="1:11" x14ac:dyDescent="0.2">
      <c r="A46" s="1473">
        <v>1955</v>
      </c>
      <c r="B46" s="363" t="s">
        <v>383</v>
      </c>
      <c r="C46" s="356"/>
      <c r="D46" s="411"/>
      <c r="E46" s="412">
        <f t="shared" si="0"/>
        <v>0</v>
      </c>
      <c r="F46" s="374">
        <f>IF(D46=0,+'App.2-CB_NewCGAAP_DepExp_2012'!O46,+'App.2-CB_NewCGAAP_DepExp_2012'!O46+((C46*0.5)/D46))</f>
        <v>0</v>
      </c>
      <c r="G46" s="356"/>
      <c r="H46" s="374">
        <f t="shared" si="1"/>
        <v>0</v>
      </c>
      <c r="I46" s="374">
        <f t="shared" si="2"/>
        <v>0</v>
      </c>
      <c r="J46" s="356"/>
      <c r="K46" s="374">
        <f>IF(ISERROR(+I46+'App.2-CB_NewCGAAP_DepExp_2012'!O46-J46), 0, +I46+'App.2-CB_NewCGAAP_DepExp_2012'!O46-J46)</f>
        <v>0</v>
      </c>
    </row>
    <row r="47" spans="1:11" x14ac:dyDescent="0.2">
      <c r="A47" s="364">
        <v>1955</v>
      </c>
      <c r="B47" s="367" t="s">
        <v>299</v>
      </c>
      <c r="C47" s="356"/>
      <c r="D47" s="411"/>
      <c r="E47" s="412">
        <f t="shared" si="0"/>
        <v>0</v>
      </c>
      <c r="F47" s="374">
        <f>IF(D47=0,+'App.2-CB_NewCGAAP_DepExp_2012'!O47,+'App.2-CB_NewCGAAP_DepExp_2012'!O47+((C47*0.5)/D47))</f>
        <v>0</v>
      </c>
      <c r="G47" s="356"/>
      <c r="H47" s="374">
        <f t="shared" si="1"/>
        <v>0</v>
      </c>
      <c r="I47" s="374">
        <f t="shared" si="2"/>
        <v>0</v>
      </c>
      <c r="J47" s="356"/>
      <c r="K47" s="374">
        <f>IF(ISERROR(+I47+'App.2-CB_NewCGAAP_DepExp_2012'!O47-J47), 0, +I47+'App.2-CB_NewCGAAP_DepExp_2012'!O47-J47)</f>
        <v>0</v>
      </c>
    </row>
    <row r="48" spans="1:11" x14ac:dyDescent="0.2">
      <c r="A48" s="368">
        <v>1960</v>
      </c>
      <c r="B48" s="355" t="s">
        <v>300</v>
      </c>
      <c r="C48" s="356"/>
      <c r="D48" s="411"/>
      <c r="E48" s="412">
        <f t="shared" si="0"/>
        <v>0</v>
      </c>
      <c r="F48" s="374">
        <f>IF(D48=0,+'App.2-CB_NewCGAAP_DepExp_2012'!O48,+'App.2-CB_NewCGAAP_DepExp_2012'!O48+((C48*0.5)/D48))</f>
        <v>0</v>
      </c>
      <c r="G48" s="356"/>
      <c r="H48" s="374">
        <f t="shared" si="1"/>
        <v>0</v>
      </c>
      <c r="I48" s="374">
        <f t="shared" si="2"/>
        <v>0</v>
      </c>
      <c r="J48" s="356"/>
      <c r="K48" s="374">
        <f>IF(ISERROR(+I48+'App.2-CB_NewCGAAP_DepExp_2012'!O48-J48), 0, +I48+'App.2-CB_NewCGAAP_DepExp_2012'!O48-J48)</f>
        <v>0</v>
      </c>
    </row>
    <row r="49" spans="1:15" x14ac:dyDescent="0.2">
      <c r="A49" s="364">
        <v>1970</v>
      </c>
      <c r="B49" s="417" t="s">
        <v>649</v>
      </c>
      <c r="C49" s="356"/>
      <c r="D49" s="411"/>
      <c r="E49" s="412">
        <f t="shared" si="0"/>
        <v>0</v>
      </c>
      <c r="F49" s="374">
        <f>IF(D49=0,+'App.2-CB_NewCGAAP_DepExp_2012'!O49,+'App.2-CB_NewCGAAP_DepExp_2012'!O49+((C49*0.5)/D49))</f>
        <v>0</v>
      </c>
      <c r="G49" s="356"/>
      <c r="H49" s="374">
        <f t="shared" si="1"/>
        <v>0</v>
      </c>
      <c r="I49" s="374">
        <f t="shared" si="2"/>
        <v>0</v>
      </c>
      <c r="J49" s="356"/>
      <c r="K49" s="374">
        <f>IF(ISERROR(+I49+'App.2-CB_NewCGAAP_DepExp_2012'!O49-J49), 0, +I49+'App.2-CB_NewCGAAP_DepExp_2012'!O49-J49)</f>
        <v>0</v>
      </c>
    </row>
    <row r="50" spans="1:15" x14ac:dyDescent="0.2">
      <c r="A50" s="1473">
        <v>1975</v>
      </c>
      <c r="B50" s="363" t="s">
        <v>384</v>
      </c>
      <c r="C50" s="356"/>
      <c r="D50" s="411"/>
      <c r="E50" s="412">
        <f t="shared" si="0"/>
        <v>0</v>
      </c>
      <c r="F50" s="374">
        <f>IF(D50=0,+'App.2-CB_NewCGAAP_DepExp_2012'!O50,+'App.2-CB_NewCGAAP_DepExp_2012'!O50+((C50*0.5)/D50))</f>
        <v>0</v>
      </c>
      <c r="G50" s="356"/>
      <c r="H50" s="374">
        <f t="shared" si="1"/>
        <v>0</v>
      </c>
      <c r="I50" s="374">
        <f t="shared" si="2"/>
        <v>0</v>
      </c>
      <c r="J50" s="356"/>
      <c r="K50" s="374">
        <f>IF(ISERROR(+I50+'App.2-CB_NewCGAAP_DepExp_2012'!O50-J50), 0, +I50+'App.2-CB_NewCGAAP_DepExp_2012'!O50-J50)</f>
        <v>0</v>
      </c>
    </row>
    <row r="51" spans="1:15" x14ac:dyDescent="0.2">
      <c r="A51" s="1473">
        <v>1980</v>
      </c>
      <c r="B51" s="363" t="s">
        <v>385</v>
      </c>
      <c r="C51" s="356"/>
      <c r="D51" s="411"/>
      <c r="E51" s="412">
        <f t="shared" si="0"/>
        <v>0</v>
      </c>
      <c r="F51" s="374">
        <f>IF(D51=0,+'App.2-CB_NewCGAAP_DepExp_2012'!O51,+'App.2-CB_NewCGAAP_DepExp_2012'!O51+((C51*0.5)/D51))</f>
        <v>0</v>
      </c>
      <c r="G51" s="356"/>
      <c r="H51" s="374">
        <f t="shared" si="1"/>
        <v>0</v>
      </c>
      <c r="I51" s="374">
        <f t="shared" si="2"/>
        <v>0</v>
      </c>
      <c r="J51" s="356"/>
      <c r="K51" s="374">
        <f>IF(ISERROR(+I51+'App.2-CB_NewCGAAP_DepExp_2012'!O51-J51), 0, +I51+'App.2-CB_NewCGAAP_DepExp_2012'!O51-J51)</f>
        <v>0</v>
      </c>
    </row>
    <row r="52" spans="1:15" x14ac:dyDescent="0.2">
      <c r="A52" s="1473">
        <v>1985</v>
      </c>
      <c r="B52" s="363" t="s">
        <v>386</v>
      </c>
      <c r="C52" s="356"/>
      <c r="D52" s="411"/>
      <c r="E52" s="412">
        <f t="shared" si="0"/>
        <v>0</v>
      </c>
      <c r="F52" s="374">
        <f>IF(D52=0,+'App.2-CB_NewCGAAP_DepExp_2012'!O52,+'App.2-CB_NewCGAAP_DepExp_2012'!O52+((C52*0.5)/D52))</f>
        <v>0</v>
      </c>
      <c r="G52" s="356"/>
      <c r="H52" s="374">
        <f t="shared" si="1"/>
        <v>0</v>
      </c>
      <c r="I52" s="374">
        <f t="shared" si="2"/>
        <v>0</v>
      </c>
      <c r="J52" s="356"/>
      <c r="K52" s="374">
        <f>IF(ISERROR(+I52+'App.2-CB_NewCGAAP_DepExp_2012'!O52-J52), 0, +I52+'App.2-CB_NewCGAAP_DepExp_2012'!O52-J52)</f>
        <v>0</v>
      </c>
    </row>
    <row r="53" spans="1:15" x14ac:dyDescent="0.2">
      <c r="A53" s="1473">
        <v>1990</v>
      </c>
      <c r="B53" s="1475" t="s">
        <v>650</v>
      </c>
      <c r="C53" s="356"/>
      <c r="D53" s="411"/>
      <c r="E53" s="412">
        <f t="shared" si="0"/>
        <v>0</v>
      </c>
      <c r="F53" s="374">
        <f>IF(D53=0,+'App.2-CB_NewCGAAP_DepExp_2012'!O53,+'App.2-CB_NewCGAAP_DepExp_2012'!O53+((C53*0.5)/D53))</f>
        <v>0</v>
      </c>
      <c r="G53" s="356"/>
      <c r="H53" s="374">
        <f t="shared" si="1"/>
        <v>0</v>
      </c>
      <c r="I53" s="374">
        <f t="shared" si="2"/>
        <v>0</v>
      </c>
      <c r="J53" s="356"/>
      <c r="K53" s="374">
        <f>IF(ISERROR(+I53+'App.2-CB_NewCGAAP_DepExp_2012'!O53-J53), 0, +I53+'App.2-CB_NewCGAAP_DepExp_2012'!O53-J53)</f>
        <v>0</v>
      </c>
    </row>
    <row r="54" spans="1:15" ht="13.5" thickBot="1" x14ac:dyDescent="0.25">
      <c r="A54" s="1473">
        <v>1995</v>
      </c>
      <c r="B54" s="363" t="s">
        <v>387</v>
      </c>
      <c r="C54" s="356"/>
      <c r="D54" s="411"/>
      <c r="E54" s="412">
        <f t="shared" si="0"/>
        <v>0</v>
      </c>
      <c r="F54" s="374">
        <f>IF(D54=0,+'App.2-CB_NewCGAAP_DepExp_2012'!O54,+'App.2-CB_NewCGAAP_DepExp_2012'!O54+((C54*0.5)/D54))</f>
        <v>0</v>
      </c>
      <c r="G54" s="356"/>
      <c r="H54" s="374">
        <f t="shared" si="1"/>
        <v>0</v>
      </c>
      <c r="I54" s="374">
        <f t="shared" si="2"/>
        <v>0</v>
      </c>
      <c r="J54" s="356"/>
      <c r="K54" s="374">
        <f>IF(ISERROR(+I54+'App.2-CB_NewCGAAP_DepExp_2012'!O54-J54), 0, +I54+'App.2-CB_NewCGAAP_DepExp_2012'!O54-J54)</f>
        <v>0</v>
      </c>
    </row>
    <row r="55" spans="1:15" ht="14.25" thickTop="1" thickBot="1" x14ac:dyDescent="0.25">
      <c r="A55" s="461"/>
      <c r="B55" s="462" t="s">
        <v>388</v>
      </c>
      <c r="C55" s="463">
        <f>SUM(C17:C54)</f>
        <v>0</v>
      </c>
      <c r="D55" s="448"/>
      <c r="E55" s="464"/>
      <c r="F55" s="374">
        <f t="shared" ref="F55:K55" si="3">SUM(F17:F54)</f>
        <v>0</v>
      </c>
      <c r="G55" s="374">
        <f t="shared" si="3"/>
        <v>0</v>
      </c>
      <c r="H55" s="374">
        <f t="shared" si="3"/>
        <v>0</v>
      </c>
      <c r="I55" s="374">
        <f t="shared" si="3"/>
        <v>0</v>
      </c>
      <c r="J55" s="374">
        <f t="shared" si="3"/>
        <v>0</v>
      </c>
      <c r="K55" s="374">
        <f t="shared" si="3"/>
        <v>0</v>
      </c>
    </row>
    <row r="56" spans="1:15" x14ac:dyDescent="0.2">
      <c r="A56" s="450"/>
      <c r="B56" s="451"/>
      <c r="C56" s="452"/>
      <c r="D56" s="453"/>
      <c r="E56" s="465"/>
      <c r="F56" s="452"/>
      <c r="G56" s="452"/>
      <c r="H56" s="452"/>
      <c r="I56" s="452"/>
      <c r="J56" s="452"/>
      <c r="K56" s="452"/>
    </row>
    <row r="57" spans="1:15" x14ac:dyDescent="0.2">
      <c r="A57" s="334" t="s">
        <v>13</v>
      </c>
      <c r="H57" s="158"/>
    </row>
    <row r="58" spans="1:15" ht="27" customHeight="1" x14ac:dyDescent="0.2">
      <c r="A58" s="466">
        <v>1</v>
      </c>
      <c r="B58" s="1984" t="s">
        <v>524</v>
      </c>
      <c r="C58" s="1984"/>
      <c r="D58" s="1984"/>
      <c r="E58" s="1984"/>
      <c r="F58" s="1984"/>
      <c r="G58" s="1984"/>
      <c r="H58" s="1984"/>
      <c r="I58" s="1984"/>
      <c r="J58" s="1984"/>
      <c r="K58" s="1984"/>
    </row>
    <row r="59" spans="1:15" x14ac:dyDescent="0.2">
      <c r="A59" s="466">
        <v>2</v>
      </c>
      <c r="B59" s="1984" t="s">
        <v>1498</v>
      </c>
      <c r="C59" s="1984"/>
      <c r="D59" s="1984"/>
      <c r="E59" s="1984"/>
      <c r="F59" s="1984"/>
      <c r="G59" s="1984"/>
      <c r="H59" s="1984"/>
      <c r="I59" s="1984"/>
      <c r="J59" s="1984"/>
      <c r="K59" s="1984"/>
    </row>
    <row r="60" spans="1:15" ht="27.75" customHeight="1" x14ac:dyDescent="0.2">
      <c r="A60" s="431">
        <v>3</v>
      </c>
      <c r="B60" s="2001" t="s">
        <v>614</v>
      </c>
      <c r="C60" s="2001"/>
      <c r="D60" s="2001"/>
      <c r="E60" s="2001"/>
      <c r="F60" s="2001"/>
      <c r="G60" s="2001"/>
      <c r="H60" s="2001"/>
      <c r="I60" s="2001"/>
      <c r="J60" s="2001"/>
      <c r="K60" s="2001"/>
      <c r="L60" s="1478"/>
      <c r="M60" s="1478"/>
      <c r="N60" s="1478"/>
      <c r="O60" s="1478"/>
    </row>
    <row r="61" spans="1:15" ht="13.5" customHeight="1" x14ac:dyDescent="0.2">
      <c r="A61" s="431"/>
      <c r="B61" s="1472"/>
      <c r="C61" s="1472"/>
      <c r="D61" s="1472"/>
      <c r="E61" s="1472"/>
      <c r="F61" s="1472"/>
      <c r="G61" s="1472"/>
      <c r="H61" s="1472"/>
      <c r="I61" s="1472"/>
      <c r="J61" s="1472"/>
      <c r="K61" s="1472"/>
      <c r="L61" s="1478"/>
      <c r="M61" s="1478"/>
      <c r="N61" s="1478"/>
      <c r="O61" s="1478"/>
    </row>
    <row r="62" spans="1:15" x14ac:dyDescent="0.2">
      <c r="A62" s="334" t="s">
        <v>306</v>
      </c>
      <c r="B62" s="2069" t="s">
        <v>257</v>
      </c>
      <c r="C62" s="2069"/>
      <c r="D62" s="2069"/>
      <c r="E62" s="2069"/>
      <c r="F62" s="2069"/>
      <c r="G62" s="2069"/>
      <c r="H62" s="2069"/>
      <c r="I62" s="2069"/>
      <c r="J62" s="2069"/>
      <c r="K62" s="2069"/>
    </row>
    <row r="63" spans="1:15" ht="12.75" customHeight="1" x14ac:dyDescent="0.2">
      <c r="B63" s="2069"/>
      <c r="C63" s="2069"/>
      <c r="D63" s="2069"/>
      <c r="E63" s="2069"/>
      <c r="F63" s="2069"/>
      <c r="G63" s="2069"/>
      <c r="H63" s="2069"/>
      <c r="I63" s="2069"/>
      <c r="J63" s="2069"/>
      <c r="K63" s="2069"/>
      <c r="L63" s="432"/>
      <c r="M63" s="432"/>
    </row>
    <row r="64" spans="1:15" x14ac:dyDescent="0.2">
      <c r="L64" s="432"/>
      <c r="M64" s="432"/>
    </row>
    <row r="65" spans="5:13" x14ac:dyDescent="0.2">
      <c r="L65" s="432"/>
      <c r="M65" s="432"/>
    </row>
    <row r="71" spans="5:13" x14ac:dyDescent="0.2">
      <c r="L71" s="1480"/>
    </row>
    <row r="72" spans="5:13" x14ac:dyDescent="0.2">
      <c r="E72" s="158"/>
      <c r="F72" s="158"/>
      <c r="G72" s="158"/>
      <c r="H72" s="158"/>
      <c r="I72" s="158"/>
      <c r="J72" s="158"/>
      <c r="K72" s="158"/>
      <c r="L72" s="158"/>
      <c r="M72" s="158"/>
    </row>
    <row r="73" spans="5:13" x14ac:dyDescent="0.2">
      <c r="K73" s="158"/>
      <c r="L73" s="158"/>
      <c r="M73" s="158"/>
    </row>
    <row r="74" spans="5:13" x14ac:dyDescent="0.2">
      <c r="K74" s="158"/>
      <c r="L74" s="158"/>
      <c r="M74" s="158"/>
    </row>
    <row r="75" spans="5:13" x14ac:dyDescent="0.2">
      <c r="K75" s="158"/>
      <c r="L75" s="158"/>
      <c r="M75" s="158"/>
    </row>
    <row r="77" spans="5:13" x14ac:dyDescent="0.2">
      <c r="E77" s="158"/>
    </row>
    <row r="78" spans="5:13" x14ac:dyDescent="0.2">
      <c r="E78" s="158"/>
    </row>
  </sheetData>
  <mergeCells count="11">
    <mergeCell ref="B58:K58"/>
    <mergeCell ref="B59:K59"/>
    <mergeCell ref="B60:K60"/>
    <mergeCell ref="B62:K63"/>
    <mergeCell ref="A9:K9"/>
    <mergeCell ref="A10:K10"/>
    <mergeCell ref="A11:K11"/>
    <mergeCell ref="A15:A16"/>
    <mergeCell ref="B15:B16"/>
    <mergeCell ref="G15:G16"/>
    <mergeCell ref="J15:J16"/>
  </mergeCells>
  <dataValidations count="1">
    <dataValidation allowBlank="1" showInputMessage="1" showErrorMessage="1" promptTitle="Date Format" prompt="E.g:  &quot;August 1, 2011&quot;" sqref="H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H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H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H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H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H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H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H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H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H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H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H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H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H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H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H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dataValidations>
  <printOptions horizontalCentered="1"/>
  <pageMargins left="0.74803149606299213" right="0.74803149606299213" top="0.70866141732283472" bottom="0.39370078740157483" header="0.39370078740157483" footer="0.27559055118110237"/>
  <pageSetup scale="56"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O80"/>
  <sheetViews>
    <sheetView showGridLines="0" zoomScaleNormal="100" workbookViewId="0"/>
  </sheetViews>
  <sheetFormatPr defaultRowHeight="12.75" x14ac:dyDescent="0.2"/>
  <cols>
    <col min="1" max="1" width="9.140625" style="140"/>
    <col min="2" max="2" width="40.28515625" style="140" bestFit="1" customWidth="1"/>
    <col min="3" max="3" width="10" style="140" customWidth="1"/>
    <col min="4" max="4" width="10.140625" style="140" customWidth="1"/>
    <col min="5" max="5" width="12.28515625" style="140" customWidth="1"/>
    <col min="6" max="6" width="16.28515625" style="140" customWidth="1"/>
    <col min="7" max="7" width="16.140625" style="140" customWidth="1"/>
    <col min="8" max="8" width="12.7109375" style="140" customWidth="1"/>
    <col min="9" max="10" width="14.42578125" style="140" customWidth="1"/>
    <col min="11" max="11" width="13.5703125" style="140" customWidth="1"/>
    <col min="12" max="12" width="9.140625" style="140"/>
    <col min="13" max="13" width="18.5703125" style="140" customWidth="1"/>
    <col min="14" max="256" width="9.140625" style="140"/>
    <col min="257" max="257" width="2.7109375" style="140" customWidth="1"/>
    <col min="258" max="258" width="9.140625" style="140"/>
    <col min="259" max="259" width="40.28515625" style="140" bestFit="1" customWidth="1"/>
    <col min="260" max="260" width="10" style="140" customWidth="1"/>
    <col min="261" max="261" width="10.140625" style="140" customWidth="1"/>
    <col min="262" max="262" width="12.28515625" style="140" customWidth="1"/>
    <col min="263" max="263" width="16.28515625" style="140" customWidth="1"/>
    <col min="264" max="264" width="12.85546875" style="140" customWidth="1"/>
    <col min="265" max="265" width="12.7109375" style="140" customWidth="1"/>
    <col min="266" max="266" width="14.42578125" style="140" customWidth="1"/>
    <col min="267" max="267" width="13.5703125" style="140" customWidth="1"/>
    <col min="268" max="512" width="9.140625" style="140"/>
    <col min="513" max="513" width="2.7109375" style="140" customWidth="1"/>
    <col min="514" max="514" width="9.140625" style="140"/>
    <col min="515" max="515" width="40.28515625" style="140" bestFit="1" customWidth="1"/>
    <col min="516" max="516" width="10" style="140" customWidth="1"/>
    <col min="517" max="517" width="10.140625" style="140" customWidth="1"/>
    <col min="518" max="518" width="12.28515625" style="140" customWidth="1"/>
    <col min="519" max="519" width="16.28515625" style="140" customWidth="1"/>
    <col min="520" max="520" width="12.85546875" style="140" customWidth="1"/>
    <col min="521" max="521" width="12.7109375" style="140" customWidth="1"/>
    <col min="522" max="522" width="14.42578125" style="140" customWidth="1"/>
    <col min="523" max="523" width="13.5703125" style="140" customWidth="1"/>
    <col min="524" max="768" width="9.140625" style="140"/>
    <col min="769" max="769" width="2.7109375" style="140" customWidth="1"/>
    <col min="770" max="770" width="9.140625" style="140"/>
    <col min="771" max="771" width="40.28515625" style="140" bestFit="1" customWidth="1"/>
    <col min="772" max="772" width="10" style="140" customWidth="1"/>
    <col min="773" max="773" width="10.140625" style="140" customWidth="1"/>
    <col min="774" max="774" width="12.28515625" style="140" customWidth="1"/>
    <col min="775" max="775" width="16.28515625" style="140" customWidth="1"/>
    <col min="776" max="776" width="12.85546875" style="140" customWidth="1"/>
    <col min="777" max="777" width="12.7109375" style="140" customWidth="1"/>
    <col min="778" max="778" width="14.42578125" style="140" customWidth="1"/>
    <col min="779" max="779" width="13.5703125" style="140" customWidth="1"/>
    <col min="780" max="1024" width="9.140625" style="140"/>
    <col min="1025" max="1025" width="2.7109375" style="140" customWidth="1"/>
    <col min="1026" max="1026" width="9.140625" style="140"/>
    <col min="1027" max="1027" width="40.28515625" style="140" bestFit="1" customWidth="1"/>
    <col min="1028" max="1028" width="10" style="140" customWidth="1"/>
    <col min="1029" max="1029" width="10.140625" style="140" customWidth="1"/>
    <col min="1030" max="1030" width="12.28515625" style="140" customWidth="1"/>
    <col min="1031" max="1031" width="16.28515625" style="140" customWidth="1"/>
    <col min="1032" max="1032" width="12.85546875" style="140" customWidth="1"/>
    <col min="1033" max="1033" width="12.7109375" style="140" customWidth="1"/>
    <col min="1034" max="1034" width="14.42578125" style="140" customWidth="1"/>
    <col min="1035" max="1035" width="13.5703125" style="140" customWidth="1"/>
    <col min="1036" max="1280" width="9.140625" style="140"/>
    <col min="1281" max="1281" width="2.7109375" style="140" customWidth="1"/>
    <col min="1282" max="1282" width="9.140625" style="140"/>
    <col min="1283" max="1283" width="40.28515625" style="140" bestFit="1" customWidth="1"/>
    <col min="1284" max="1284" width="10" style="140" customWidth="1"/>
    <col min="1285" max="1285" width="10.140625" style="140" customWidth="1"/>
    <col min="1286" max="1286" width="12.28515625" style="140" customWidth="1"/>
    <col min="1287" max="1287" width="16.28515625" style="140" customWidth="1"/>
    <col min="1288" max="1288" width="12.85546875" style="140" customWidth="1"/>
    <col min="1289" max="1289" width="12.7109375" style="140" customWidth="1"/>
    <col min="1290" max="1290" width="14.42578125" style="140" customWidth="1"/>
    <col min="1291" max="1291" width="13.5703125" style="140" customWidth="1"/>
    <col min="1292" max="1536" width="9.140625" style="140"/>
    <col min="1537" max="1537" width="2.7109375" style="140" customWidth="1"/>
    <col min="1538" max="1538" width="9.140625" style="140"/>
    <col min="1539" max="1539" width="40.28515625" style="140" bestFit="1" customWidth="1"/>
    <col min="1540" max="1540" width="10" style="140" customWidth="1"/>
    <col min="1541" max="1541" width="10.140625" style="140" customWidth="1"/>
    <col min="1542" max="1542" width="12.28515625" style="140" customWidth="1"/>
    <col min="1543" max="1543" width="16.28515625" style="140" customWidth="1"/>
    <col min="1544" max="1544" width="12.85546875" style="140" customWidth="1"/>
    <col min="1545" max="1545" width="12.7109375" style="140" customWidth="1"/>
    <col min="1546" max="1546" width="14.42578125" style="140" customWidth="1"/>
    <col min="1547" max="1547" width="13.5703125" style="140" customWidth="1"/>
    <col min="1548" max="1792" width="9.140625" style="140"/>
    <col min="1793" max="1793" width="2.7109375" style="140" customWidth="1"/>
    <col min="1794" max="1794" width="9.140625" style="140"/>
    <col min="1795" max="1795" width="40.28515625" style="140" bestFit="1" customWidth="1"/>
    <col min="1796" max="1796" width="10" style="140" customWidth="1"/>
    <col min="1797" max="1797" width="10.140625" style="140" customWidth="1"/>
    <col min="1798" max="1798" width="12.28515625" style="140" customWidth="1"/>
    <col min="1799" max="1799" width="16.28515625" style="140" customWidth="1"/>
    <col min="1800" max="1800" width="12.85546875" style="140" customWidth="1"/>
    <col min="1801" max="1801" width="12.7109375" style="140" customWidth="1"/>
    <col min="1802" max="1802" width="14.42578125" style="140" customWidth="1"/>
    <col min="1803" max="1803" width="13.5703125" style="140" customWidth="1"/>
    <col min="1804" max="2048" width="9.140625" style="140"/>
    <col min="2049" max="2049" width="2.7109375" style="140" customWidth="1"/>
    <col min="2050" max="2050" width="9.140625" style="140"/>
    <col min="2051" max="2051" width="40.28515625" style="140" bestFit="1" customWidth="1"/>
    <col min="2052" max="2052" width="10" style="140" customWidth="1"/>
    <col min="2053" max="2053" width="10.140625" style="140" customWidth="1"/>
    <col min="2054" max="2054" width="12.28515625" style="140" customWidth="1"/>
    <col min="2055" max="2055" width="16.28515625" style="140" customWidth="1"/>
    <col min="2056" max="2056" width="12.85546875" style="140" customWidth="1"/>
    <col min="2057" max="2057" width="12.7109375" style="140" customWidth="1"/>
    <col min="2058" max="2058" width="14.42578125" style="140" customWidth="1"/>
    <col min="2059" max="2059" width="13.5703125" style="140" customWidth="1"/>
    <col min="2060" max="2304" width="9.140625" style="140"/>
    <col min="2305" max="2305" width="2.7109375" style="140" customWidth="1"/>
    <col min="2306" max="2306" width="9.140625" style="140"/>
    <col min="2307" max="2307" width="40.28515625" style="140" bestFit="1" customWidth="1"/>
    <col min="2308" max="2308" width="10" style="140" customWidth="1"/>
    <col min="2309" max="2309" width="10.140625" style="140" customWidth="1"/>
    <col min="2310" max="2310" width="12.28515625" style="140" customWidth="1"/>
    <col min="2311" max="2311" width="16.28515625" style="140" customWidth="1"/>
    <col min="2312" max="2312" width="12.85546875" style="140" customWidth="1"/>
    <col min="2313" max="2313" width="12.7109375" style="140" customWidth="1"/>
    <col min="2314" max="2314" width="14.42578125" style="140" customWidth="1"/>
    <col min="2315" max="2315" width="13.5703125" style="140" customWidth="1"/>
    <col min="2316" max="2560" width="9.140625" style="140"/>
    <col min="2561" max="2561" width="2.7109375" style="140" customWidth="1"/>
    <col min="2562" max="2562" width="9.140625" style="140"/>
    <col min="2563" max="2563" width="40.28515625" style="140" bestFit="1" customWidth="1"/>
    <col min="2564" max="2564" width="10" style="140" customWidth="1"/>
    <col min="2565" max="2565" width="10.140625" style="140" customWidth="1"/>
    <col min="2566" max="2566" width="12.28515625" style="140" customWidth="1"/>
    <col min="2567" max="2567" width="16.28515625" style="140" customWidth="1"/>
    <col min="2568" max="2568" width="12.85546875" style="140" customWidth="1"/>
    <col min="2569" max="2569" width="12.7109375" style="140" customWidth="1"/>
    <col min="2570" max="2570" width="14.42578125" style="140" customWidth="1"/>
    <col min="2571" max="2571" width="13.5703125" style="140" customWidth="1"/>
    <col min="2572" max="2816" width="9.140625" style="140"/>
    <col min="2817" max="2817" width="2.7109375" style="140" customWidth="1"/>
    <col min="2818" max="2818" width="9.140625" style="140"/>
    <col min="2819" max="2819" width="40.28515625" style="140" bestFit="1" customWidth="1"/>
    <col min="2820" max="2820" width="10" style="140" customWidth="1"/>
    <col min="2821" max="2821" width="10.140625" style="140" customWidth="1"/>
    <col min="2822" max="2822" width="12.28515625" style="140" customWidth="1"/>
    <col min="2823" max="2823" width="16.28515625" style="140" customWidth="1"/>
    <col min="2824" max="2824" width="12.85546875" style="140" customWidth="1"/>
    <col min="2825" max="2825" width="12.7109375" style="140" customWidth="1"/>
    <col min="2826" max="2826" width="14.42578125" style="140" customWidth="1"/>
    <col min="2827" max="2827" width="13.5703125" style="140" customWidth="1"/>
    <col min="2828" max="3072" width="9.140625" style="140"/>
    <col min="3073" max="3073" width="2.7109375" style="140" customWidth="1"/>
    <col min="3074" max="3074" width="9.140625" style="140"/>
    <col min="3075" max="3075" width="40.28515625" style="140" bestFit="1" customWidth="1"/>
    <col min="3076" max="3076" width="10" style="140" customWidth="1"/>
    <col min="3077" max="3077" width="10.140625" style="140" customWidth="1"/>
    <col min="3078" max="3078" width="12.28515625" style="140" customWidth="1"/>
    <col min="3079" max="3079" width="16.28515625" style="140" customWidth="1"/>
    <col min="3080" max="3080" width="12.85546875" style="140" customWidth="1"/>
    <col min="3081" max="3081" width="12.7109375" style="140" customWidth="1"/>
    <col min="3082" max="3082" width="14.42578125" style="140" customWidth="1"/>
    <col min="3083" max="3083" width="13.5703125" style="140" customWidth="1"/>
    <col min="3084" max="3328" width="9.140625" style="140"/>
    <col min="3329" max="3329" width="2.7109375" style="140" customWidth="1"/>
    <col min="3330" max="3330" width="9.140625" style="140"/>
    <col min="3331" max="3331" width="40.28515625" style="140" bestFit="1" customWidth="1"/>
    <col min="3332" max="3332" width="10" style="140" customWidth="1"/>
    <col min="3333" max="3333" width="10.140625" style="140" customWidth="1"/>
    <col min="3334" max="3334" width="12.28515625" style="140" customWidth="1"/>
    <col min="3335" max="3335" width="16.28515625" style="140" customWidth="1"/>
    <col min="3336" max="3336" width="12.85546875" style="140" customWidth="1"/>
    <col min="3337" max="3337" width="12.7109375" style="140" customWidth="1"/>
    <col min="3338" max="3338" width="14.42578125" style="140" customWidth="1"/>
    <col min="3339" max="3339" width="13.5703125" style="140" customWidth="1"/>
    <col min="3340" max="3584" width="9.140625" style="140"/>
    <col min="3585" max="3585" width="2.7109375" style="140" customWidth="1"/>
    <col min="3586" max="3586" width="9.140625" style="140"/>
    <col min="3587" max="3587" width="40.28515625" style="140" bestFit="1" customWidth="1"/>
    <col min="3588" max="3588" width="10" style="140" customWidth="1"/>
    <col min="3589" max="3589" width="10.140625" style="140" customWidth="1"/>
    <col min="3590" max="3590" width="12.28515625" style="140" customWidth="1"/>
    <col min="3591" max="3591" width="16.28515625" style="140" customWidth="1"/>
    <col min="3592" max="3592" width="12.85546875" style="140" customWidth="1"/>
    <col min="3593" max="3593" width="12.7109375" style="140" customWidth="1"/>
    <col min="3594" max="3594" width="14.42578125" style="140" customWidth="1"/>
    <col min="3595" max="3595" width="13.5703125" style="140" customWidth="1"/>
    <col min="3596" max="3840" width="9.140625" style="140"/>
    <col min="3841" max="3841" width="2.7109375" style="140" customWidth="1"/>
    <col min="3842" max="3842" width="9.140625" style="140"/>
    <col min="3843" max="3843" width="40.28515625" style="140" bestFit="1" customWidth="1"/>
    <col min="3844" max="3844" width="10" style="140" customWidth="1"/>
    <col min="3845" max="3845" width="10.140625" style="140" customWidth="1"/>
    <col min="3846" max="3846" width="12.28515625" style="140" customWidth="1"/>
    <col min="3847" max="3847" width="16.28515625" style="140" customWidth="1"/>
    <col min="3848" max="3848" width="12.85546875" style="140" customWidth="1"/>
    <col min="3849" max="3849" width="12.7109375" style="140" customWidth="1"/>
    <col min="3850" max="3850" width="14.42578125" style="140" customWidth="1"/>
    <col min="3851" max="3851" width="13.5703125" style="140" customWidth="1"/>
    <col min="3852" max="4096" width="9.140625" style="140"/>
    <col min="4097" max="4097" width="2.7109375" style="140" customWidth="1"/>
    <col min="4098" max="4098" width="9.140625" style="140"/>
    <col min="4099" max="4099" width="40.28515625" style="140" bestFit="1" customWidth="1"/>
    <col min="4100" max="4100" width="10" style="140" customWidth="1"/>
    <col min="4101" max="4101" width="10.140625" style="140" customWidth="1"/>
    <col min="4102" max="4102" width="12.28515625" style="140" customWidth="1"/>
    <col min="4103" max="4103" width="16.28515625" style="140" customWidth="1"/>
    <col min="4104" max="4104" width="12.85546875" style="140" customWidth="1"/>
    <col min="4105" max="4105" width="12.7109375" style="140" customWidth="1"/>
    <col min="4106" max="4106" width="14.42578125" style="140" customWidth="1"/>
    <col min="4107" max="4107" width="13.5703125" style="140" customWidth="1"/>
    <col min="4108" max="4352" width="9.140625" style="140"/>
    <col min="4353" max="4353" width="2.7109375" style="140" customWidth="1"/>
    <col min="4354" max="4354" width="9.140625" style="140"/>
    <col min="4355" max="4355" width="40.28515625" style="140" bestFit="1" customWidth="1"/>
    <col min="4356" max="4356" width="10" style="140" customWidth="1"/>
    <col min="4357" max="4357" width="10.140625" style="140" customWidth="1"/>
    <col min="4358" max="4358" width="12.28515625" style="140" customWidth="1"/>
    <col min="4359" max="4359" width="16.28515625" style="140" customWidth="1"/>
    <col min="4360" max="4360" width="12.85546875" style="140" customWidth="1"/>
    <col min="4361" max="4361" width="12.7109375" style="140" customWidth="1"/>
    <col min="4362" max="4362" width="14.42578125" style="140" customWidth="1"/>
    <col min="4363" max="4363" width="13.5703125" style="140" customWidth="1"/>
    <col min="4364" max="4608" width="9.140625" style="140"/>
    <col min="4609" max="4609" width="2.7109375" style="140" customWidth="1"/>
    <col min="4610" max="4610" width="9.140625" style="140"/>
    <col min="4611" max="4611" width="40.28515625" style="140" bestFit="1" customWidth="1"/>
    <col min="4612" max="4612" width="10" style="140" customWidth="1"/>
    <col min="4613" max="4613" width="10.140625" style="140" customWidth="1"/>
    <col min="4614" max="4614" width="12.28515625" style="140" customWidth="1"/>
    <col min="4615" max="4615" width="16.28515625" style="140" customWidth="1"/>
    <col min="4616" max="4616" width="12.85546875" style="140" customWidth="1"/>
    <col min="4617" max="4617" width="12.7109375" style="140" customWidth="1"/>
    <col min="4618" max="4618" width="14.42578125" style="140" customWidth="1"/>
    <col min="4619" max="4619" width="13.5703125" style="140" customWidth="1"/>
    <col min="4620" max="4864" width="9.140625" style="140"/>
    <col min="4865" max="4865" width="2.7109375" style="140" customWidth="1"/>
    <col min="4866" max="4866" width="9.140625" style="140"/>
    <col min="4867" max="4867" width="40.28515625" style="140" bestFit="1" customWidth="1"/>
    <col min="4868" max="4868" width="10" style="140" customWidth="1"/>
    <col min="4869" max="4869" width="10.140625" style="140" customWidth="1"/>
    <col min="4870" max="4870" width="12.28515625" style="140" customWidth="1"/>
    <col min="4871" max="4871" width="16.28515625" style="140" customWidth="1"/>
    <col min="4872" max="4872" width="12.85546875" style="140" customWidth="1"/>
    <col min="4873" max="4873" width="12.7109375" style="140" customWidth="1"/>
    <col min="4874" max="4874" width="14.42578125" style="140" customWidth="1"/>
    <col min="4875" max="4875" width="13.5703125" style="140" customWidth="1"/>
    <col min="4876" max="5120" width="9.140625" style="140"/>
    <col min="5121" max="5121" width="2.7109375" style="140" customWidth="1"/>
    <col min="5122" max="5122" width="9.140625" style="140"/>
    <col min="5123" max="5123" width="40.28515625" style="140" bestFit="1" customWidth="1"/>
    <col min="5124" max="5124" width="10" style="140" customWidth="1"/>
    <col min="5125" max="5125" width="10.140625" style="140" customWidth="1"/>
    <col min="5126" max="5126" width="12.28515625" style="140" customWidth="1"/>
    <col min="5127" max="5127" width="16.28515625" style="140" customWidth="1"/>
    <col min="5128" max="5128" width="12.85546875" style="140" customWidth="1"/>
    <col min="5129" max="5129" width="12.7109375" style="140" customWidth="1"/>
    <col min="5130" max="5130" width="14.42578125" style="140" customWidth="1"/>
    <col min="5131" max="5131" width="13.5703125" style="140" customWidth="1"/>
    <col min="5132" max="5376" width="9.140625" style="140"/>
    <col min="5377" max="5377" width="2.7109375" style="140" customWidth="1"/>
    <col min="5378" max="5378" width="9.140625" style="140"/>
    <col min="5379" max="5379" width="40.28515625" style="140" bestFit="1" customWidth="1"/>
    <col min="5380" max="5380" width="10" style="140" customWidth="1"/>
    <col min="5381" max="5381" width="10.140625" style="140" customWidth="1"/>
    <col min="5382" max="5382" width="12.28515625" style="140" customWidth="1"/>
    <col min="5383" max="5383" width="16.28515625" style="140" customWidth="1"/>
    <col min="5384" max="5384" width="12.85546875" style="140" customWidth="1"/>
    <col min="5385" max="5385" width="12.7109375" style="140" customWidth="1"/>
    <col min="5386" max="5386" width="14.42578125" style="140" customWidth="1"/>
    <col min="5387" max="5387" width="13.5703125" style="140" customWidth="1"/>
    <col min="5388" max="5632" width="9.140625" style="140"/>
    <col min="5633" max="5633" width="2.7109375" style="140" customWidth="1"/>
    <col min="5634" max="5634" width="9.140625" style="140"/>
    <col min="5635" max="5635" width="40.28515625" style="140" bestFit="1" customWidth="1"/>
    <col min="5636" max="5636" width="10" style="140" customWidth="1"/>
    <col min="5637" max="5637" width="10.140625" style="140" customWidth="1"/>
    <col min="5638" max="5638" width="12.28515625" style="140" customWidth="1"/>
    <col min="5639" max="5639" width="16.28515625" style="140" customWidth="1"/>
    <col min="5640" max="5640" width="12.85546875" style="140" customWidth="1"/>
    <col min="5641" max="5641" width="12.7109375" style="140" customWidth="1"/>
    <col min="5642" max="5642" width="14.42578125" style="140" customWidth="1"/>
    <col min="5643" max="5643" width="13.5703125" style="140" customWidth="1"/>
    <col min="5644" max="5888" width="9.140625" style="140"/>
    <col min="5889" max="5889" width="2.7109375" style="140" customWidth="1"/>
    <col min="5890" max="5890" width="9.140625" style="140"/>
    <col min="5891" max="5891" width="40.28515625" style="140" bestFit="1" customWidth="1"/>
    <col min="5892" max="5892" width="10" style="140" customWidth="1"/>
    <col min="5893" max="5893" width="10.140625" style="140" customWidth="1"/>
    <col min="5894" max="5894" width="12.28515625" style="140" customWidth="1"/>
    <col min="5895" max="5895" width="16.28515625" style="140" customWidth="1"/>
    <col min="5896" max="5896" width="12.85546875" style="140" customWidth="1"/>
    <col min="5897" max="5897" width="12.7109375" style="140" customWidth="1"/>
    <col min="5898" max="5898" width="14.42578125" style="140" customWidth="1"/>
    <col min="5899" max="5899" width="13.5703125" style="140" customWidth="1"/>
    <col min="5900" max="6144" width="9.140625" style="140"/>
    <col min="6145" max="6145" width="2.7109375" style="140" customWidth="1"/>
    <col min="6146" max="6146" width="9.140625" style="140"/>
    <col min="6147" max="6147" width="40.28515625" style="140" bestFit="1" customWidth="1"/>
    <col min="6148" max="6148" width="10" style="140" customWidth="1"/>
    <col min="6149" max="6149" width="10.140625" style="140" customWidth="1"/>
    <col min="6150" max="6150" width="12.28515625" style="140" customWidth="1"/>
    <col min="6151" max="6151" width="16.28515625" style="140" customWidth="1"/>
    <col min="6152" max="6152" width="12.85546875" style="140" customWidth="1"/>
    <col min="6153" max="6153" width="12.7109375" style="140" customWidth="1"/>
    <col min="6154" max="6154" width="14.42578125" style="140" customWidth="1"/>
    <col min="6155" max="6155" width="13.5703125" style="140" customWidth="1"/>
    <col min="6156" max="6400" width="9.140625" style="140"/>
    <col min="6401" max="6401" width="2.7109375" style="140" customWidth="1"/>
    <col min="6402" max="6402" width="9.140625" style="140"/>
    <col min="6403" max="6403" width="40.28515625" style="140" bestFit="1" customWidth="1"/>
    <col min="6404" max="6404" width="10" style="140" customWidth="1"/>
    <col min="6405" max="6405" width="10.140625" style="140" customWidth="1"/>
    <col min="6406" max="6406" width="12.28515625" style="140" customWidth="1"/>
    <col min="6407" max="6407" width="16.28515625" style="140" customWidth="1"/>
    <col min="6408" max="6408" width="12.85546875" style="140" customWidth="1"/>
    <col min="6409" max="6409" width="12.7109375" style="140" customWidth="1"/>
    <col min="6410" max="6410" width="14.42578125" style="140" customWidth="1"/>
    <col min="6411" max="6411" width="13.5703125" style="140" customWidth="1"/>
    <col min="6412" max="6656" width="9.140625" style="140"/>
    <col min="6657" max="6657" width="2.7109375" style="140" customWidth="1"/>
    <col min="6658" max="6658" width="9.140625" style="140"/>
    <col min="6659" max="6659" width="40.28515625" style="140" bestFit="1" customWidth="1"/>
    <col min="6660" max="6660" width="10" style="140" customWidth="1"/>
    <col min="6661" max="6661" width="10.140625" style="140" customWidth="1"/>
    <col min="6662" max="6662" width="12.28515625" style="140" customWidth="1"/>
    <col min="6663" max="6663" width="16.28515625" style="140" customWidth="1"/>
    <col min="6664" max="6664" width="12.85546875" style="140" customWidth="1"/>
    <col min="6665" max="6665" width="12.7109375" style="140" customWidth="1"/>
    <col min="6666" max="6666" width="14.42578125" style="140" customWidth="1"/>
    <col min="6667" max="6667" width="13.5703125" style="140" customWidth="1"/>
    <col min="6668" max="6912" width="9.140625" style="140"/>
    <col min="6913" max="6913" width="2.7109375" style="140" customWidth="1"/>
    <col min="6914" max="6914" width="9.140625" style="140"/>
    <col min="6915" max="6915" width="40.28515625" style="140" bestFit="1" customWidth="1"/>
    <col min="6916" max="6916" width="10" style="140" customWidth="1"/>
    <col min="6917" max="6917" width="10.140625" style="140" customWidth="1"/>
    <col min="6918" max="6918" width="12.28515625" style="140" customWidth="1"/>
    <col min="6919" max="6919" width="16.28515625" style="140" customWidth="1"/>
    <col min="6920" max="6920" width="12.85546875" style="140" customWidth="1"/>
    <col min="6921" max="6921" width="12.7109375" style="140" customWidth="1"/>
    <col min="6922" max="6922" width="14.42578125" style="140" customWidth="1"/>
    <col min="6923" max="6923" width="13.5703125" style="140" customWidth="1"/>
    <col min="6924" max="7168" width="9.140625" style="140"/>
    <col min="7169" max="7169" width="2.7109375" style="140" customWidth="1"/>
    <col min="7170" max="7170" width="9.140625" style="140"/>
    <col min="7171" max="7171" width="40.28515625" style="140" bestFit="1" customWidth="1"/>
    <col min="7172" max="7172" width="10" style="140" customWidth="1"/>
    <col min="7173" max="7173" width="10.140625" style="140" customWidth="1"/>
    <col min="7174" max="7174" width="12.28515625" style="140" customWidth="1"/>
    <col min="7175" max="7175" width="16.28515625" style="140" customWidth="1"/>
    <col min="7176" max="7176" width="12.85546875" style="140" customWidth="1"/>
    <col min="7177" max="7177" width="12.7109375" style="140" customWidth="1"/>
    <col min="7178" max="7178" width="14.42578125" style="140" customWidth="1"/>
    <col min="7179" max="7179" width="13.5703125" style="140" customWidth="1"/>
    <col min="7180" max="7424" width="9.140625" style="140"/>
    <col min="7425" max="7425" width="2.7109375" style="140" customWidth="1"/>
    <col min="7426" max="7426" width="9.140625" style="140"/>
    <col min="7427" max="7427" width="40.28515625" style="140" bestFit="1" customWidth="1"/>
    <col min="7428" max="7428" width="10" style="140" customWidth="1"/>
    <col min="7429" max="7429" width="10.140625" style="140" customWidth="1"/>
    <col min="7430" max="7430" width="12.28515625" style="140" customWidth="1"/>
    <col min="7431" max="7431" width="16.28515625" style="140" customWidth="1"/>
    <col min="7432" max="7432" width="12.85546875" style="140" customWidth="1"/>
    <col min="7433" max="7433" width="12.7109375" style="140" customWidth="1"/>
    <col min="7434" max="7434" width="14.42578125" style="140" customWidth="1"/>
    <col min="7435" max="7435" width="13.5703125" style="140" customWidth="1"/>
    <col min="7436" max="7680" width="9.140625" style="140"/>
    <col min="7681" max="7681" width="2.7109375" style="140" customWidth="1"/>
    <col min="7682" max="7682" width="9.140625" style="140"/>
    <col min="7683" max="7683" width="40.28515625" style="140" bestFit="1" customWidth="1"/>
    <col min="7684" max="7684" width="10" style="140" customWidth="1"/>
    <col min="7685" max="7685" width="10.140625" style="140" customWidth="1"/>
    <col min="7686" max="7686" width="12.28515625" style="140" customWidth="1"/>
    <col min="7687" max="7687" width="16.28515625" style="140" customWidth="1"/>
    <col min="7688" max="7688" width="12.85546875" style="140" customWidth="1"/>
    <col min="7689" max="7689" width="12.7109375" style="140" customWidth="1"/>
    <col min="7690" max="7690" width="14.42578125" style="140" customWidth="1"/>
    <col min="7691" max="7691" width="13.5703125" style="140" customWidth="1"/>
    <col min="7692" max="7936" width="9.140625" style="140"/>
    <col min="7937" max="7937" width="2.7109375" style="140" customWidth="1"/>
    <col min="7938" max="7938" width="9.140625" style="140"/>
    <col min="7939" max="7939" width="40.28515625" style="140" bestFit="1" customWidth="1"/>
    <col min="7940" max="7940" width="10" style="140" customWidth="1"/>
    <col min="7941" max="7941" width="10.140625" style="140" customWidth="1"/>
    <col min="7942" max="7942" width="12.28515625" style="140" customWidth="1"/>
    <col min="7943" max="7943" width="16.28515625" style="140" customWidth="1"/>
    <col min="7944" max="7944" width="12.85546875" style="140" customWidth="1"/>
    <col min="7945" max="7945" width="12.7109375" style="140" customWidth="1"/>
    <col min="7946" max="7946" width="14.42578125" style="140" customWidth="1"/>
    <col min="7947" max="7947" width="13.5703125" style="140" customWidth="1"/>
    <col min="7948" max="8192" width="9.140625" style="140"/>
    <col min="8193" max="8193" width="2.7109375" style="140" customWidth="1"/>
    <col min="8194" max="8194" width="9.140625" style="140"/>
    <col min="8195" max="8195" width="40.28515625" style="140" bestFit="1" customWidth="1"/>
    <col min="8196" max="8196" width="10" style="140" customWidth="1"/>
    <col min="8197" max="8197" width="10.140625" style="140" customWidth="1"/>
    <col min="8198" max="8198" width="12.28515625" style="140" customWidth="1"/>
    <col min="8199" max="8199" width="16.28515625" style="140" customWidth="1"/>
    <col min="8200" max="8200" width="12.85546875" style="140" customWidth="1"/>
    <col min="8201" max="8201" width="12.7109375" style="140" customWidth="1"/>
    <col min="8202" max="8202" width="14.42578125" style="140" customWidth="1"/>
    <col min="8203" max="8203" width="13.5703125" style="140" customWidth="1"/>
    <col min="8204" max="8448" width="9.140625" style="140"/>
    <col min="8449" max="8449" width="2.7109375" style="140" customWidth="1"/>
    <col min="8450" max="8450" width="9.140625" style="140"/>
    <col min="8451" max="8451" width="40.28515625" style="140" bestFit="1" customWidth="1"/>
    <col min="8452" max="8452" width="10" style="140" customWidth="1"/>
    <col min="8453" max="8453" width="10.140625" style="140" customWidth="1"/>
    <col min="8454" max="8454" width="12.28515625" style="140" customWidth="1"/>
    <col min="8455" max="8455" width="16.28515625" style="140" customWidth="1"/>
    <col min="8456" max="8456" width="12.85546875" style="140" customWidth="1"/>
    <col min="8457" max="8457" width="12.7109375" style="140" customWidth="1"/>
    <col min="8458" max="8458" width="14.42578125" style="140" customWidth="1"/>
    <col min="8459" max="8459" width="13.5703125" style="140" customWidth="1"/>
    <col min="8460" max="8704" width="9.140625" style="140"/>
    <col min="8705" max="8705" width="2.7109375" style="140" customWidth="1"/>
    <col min="8706" max="8706" width="9.140625" style="140"/>
    <col min="8707" max="8707" width="40.28515625" style="140" bestFit="1" customWidth="1"/>
    <col min="8708" max="8708" width="10" style="140" customWidth="1"/>
    <col min="8709" max="8709" width="10.140625" style="140" customWidth="1"/>
    <col min="8710" max="8710" width="12.28515625" style="140" customWidth="1"/>
    <col min="8711" max="8711" width="16.28515625" style="140" customWidth="1"/>
    <col min="8712" max="8712" width="12.85546875" style="140" customWidth="1"/>
    <col min="8713" max="8713" width="12.7109375" style="140" customWidth="1"/>
    <col min="8714" max="8714" width="14.42578125" style="140" customWidth="1"/>
    <col min="8715" max="8715" width="13.5703125" style="140" customWidth="1"/>
    <col min="8716" max="8960" width="9.140625" style="140"/>
    <col min="8961" max="8961" width="2.7109375" style="140" customWidth="1"/>
    <col min="8962" max="8962" width="9.140625" style="140"/>
    <col min="8963" max="8963" width="40.28515625" style="140" bestFit="1" customWidth="1"/>
    <col min="8964" max="8964" width="10" style="140" customWidth="1"/>
    <col min="8965" max="8965" width="10.140625" style="140" customWidth="1"/>
    <col min="8966" max="8966" width="12.28515625" style="140" customWidth="1"/>
    <col min="8967" max="8967" width="16.28515625" style="140" customWidth="1"/>
    <col min="8968" max="8968" width="12.85546875" style="140" customWidth="1"/>
    <col min="8969" max="8969" width="12.7109375" style="140" customWidth="1"/>
    <col min="8970" max="8970" width="14.42578125" style="140" customWidth="1"/>
    <col min="8971" max="8971" width="13.5703125" style="140" customWidth="1"/>
    <col min="8972" max="9216" width="9.140625" style="140"/>
    <col min="9217" max="9217" width="2.7109375" style="140" customWidth="1"/>
    <col min="9218" max="9218" width="9.140625" style="140"/>
    <col min="9219" max="9219" width="40.28515625" style="140" bestFit="1" customWidth="1"/>
    <col min="9220" max="9220" width="10" style="140" customWidth="1"/>
    <col min="9221" max="9221" width="10.140625" style="140" customWidth="1"/>
    <col min="9222" max="9222" width="12.28515625" style="140" customWidth="1"/>
    <col min="9223" max="9223" width="16.28515625" style="140" customWidth="1"/>
    <col min="9224" max="9224" width="12.85546875" style="140" customWidth="1"/>
    <col min="9225" max="9225" width="12.7109375" style="140" customWidth="1"/>
    <col min="9226" max="9226" width="14.42578125" style="140" customWidth="1"/>
    <col min="9227" max="9227" width="13.5703125" style="140" customWidth="1"/>
    <col min="9228" max="9472" width="9.140625" style="140"/>
    <col min="9473" max="9473" width="2.7109375" style="140" customWidth="1"/>
    <col min="9474" max="9474" width="9.140625" style="140"/>
    <col min="9475" max="9475" width="40.28515625" style="140" bestFit="1" customWidth="1"/>
    <col min="9476" max="9476" width="10" style="140" customWidth="1"/>
    <col min="9477" max="9477" width="10.140625" style="140" customWidth="1"/>
    <col min="9478" max="9478" width="12.28515625" style="140" customWidth="1"/>
    <col min="9479" max="9479" width="16.28515625" style="140" customWidth="1"/>
    <col min="9480" max="9480" width="12.85546875" style="140" customWidth="1"/>
    <col min="9481" max="9481" width="12.7109375" style="140" customWidth="1"/>
    <col min="9482" max="9482" width="14.42578125" style="140" customWidth="1"/>
    <col min="9483" max="9483" width="13.5703125" style="140" customWidth="1"/>
    <col min="9484" max="9728" width="9.140625" style="140"/>
    <col min="9729" max="9729" width="2.7109375" style="140" customWidth="1"/>
    <col min="9730" max="9730" width="9.140625" style="140"/>
    <col min="9731" max="9731" width="40.28515625" style="140" bestFit="1" customWidth="1"/>
    <col min="9732" max="9732" width="10" style="140" customWidth="1"/>
    <col min="9733" max="9733" width="10.140625" style="140" customWidth="1"/>
    <col min="9734" max="9734" width="12.28515625" style="140" customWidth="1"/>
    <col min="9735" max="9735" width="16.28515625" style="140" customWidth="1"/>
    <col min="9736" max="9736" width="12.85546875" style="140" customWidth="1"/>
    <col min="9737" max="9737" width="12.7109375" style="140" customWidth="1"/>
    <col min="9738" max="9738" width="14.42578125" style="140" customWidth="1"/>
    <col min="9739" max="9739" width="13.5703125" style="140" customWidth="1"/>
    <col min="9740" max="9984" width="9.140625" style="140"/>
    <col min="9985" max="9985" width="2.7109375" style="140" customWidth="1"/>
    <col min="9986" max="9986" width="9.140625" style="140"/>
    <col min="9987" max="9987" width="40.28515625" style="140" bestFit="1" customWidth="1"/>
    <col min="9988" max="9988" width="10" style="140" customWidth="1"/>
    <col min="9989" max="9989" width="10.140625" style="140" customWidth="1"/>
    <col min="9990" max="9990" width="12.28515625" style="140" customWidth="1"/>
    <col min="9991" max="9991" width="16.28515625" style="140" customWidth="1"/>
    <col min="9992" max="9992" width="12.85546875" style="140" customWidth="1"/>
    <col min="9993" max="9993" width="12.7109375" style="140" customWidth="1"/>
    <col min="9994" max="9994" width="14.42578125" style="140" customWidth="1"/>
    <col min="9995" max="9995" width="13.5703125" style="140" customWidth="1"/>
    <col min="9996" max="10240" width="9.140625" style="140"/>
    <col min="10241" max="10241" width="2.7109375" style="140" customWidth="1"/>
    <col min="10242" max="10242" width="9.140625" style="140"/>
    <col min="10243" max="10243" width="40.28515625" style="140" bestFit="1" customWidth="1"/>
    <col min="10244" max="10244" width="10" style="140" customWidth="1"/>
    <col min="10245" max="10245" width="10.140625" style="140" customWidth="1"/>
    <col min="10246" max="10246" width="12.28515625" style="140" customWidth="1"/>
    <col min="10247" max="10247" width="16.28515625" style="140" customWidth="1"/>
    <col min="10248" max="10248" width="12.85546875" style="140" customWidth="1"/>
    <col min="10249" max="10249" width="12.7109375" style="140" customWidth="1"/>
    <col min="10250" max="10250" width="14.42578125" style="140" customWidth="1"/>
    <col min="10251" max="10251" width="13.5703125" style="140" customWidth="1"/>
    <col min="10252" max="10496" width="9.140625" style="140"/>
    <col min="10497" max="10497" width="2.7109375" style="140" customWidth="1"/>
    <col min="10498" max="10498" width="9.140625" style="140"/>
    <col min="10499" max="10499" width="40.28515625" style="140" bestFit="1" customWidth="1"/>
    <col min="10500" max="10500" width="10" style="140" customWidth="1"/>
    <col min="10501" max="10501" width="10.140625" style="140" customWidth="1"/>
    <col min="10502" max="10502" width="12.28515625" style="140" customWidth="1"/>
    <col min="10503" max="10503" width="16.28515625" style="140" customWidth="1"/>
    <col min="10504" max="10504" width="12.85546875" style="140" customWidth="1"/>
    <col min="10505" max="10505" width="12.7109375" style="140" customWidth="1"/>
    <col min="10506" max="10506" width="14.42578125" style="140" customWidth="1"/>
    <col min="10507" max="10507" width="13.5703125" style="140" customWidth="1"/>
    <col min="10508" max="10752" width="9.140625" style="140"/>
    <col min="10753" max="10753" width="2.7109375" style="140" customWidth="1"/>
    <col min="10754" max="10754" width="9.140625" style="140"/>
    <col min="10755" max="10755" width="40.28515625" style="140" bestFit="1" customWidth="1"/>
    <col min="10756" max="10756" width="10" style="140" customWidth="1"/>
    <col min="10757" max="10757" width="10.140625" style="140" customWidth="1"/>
    <col min="10758" max="10758" width="12.28515625" style="140" customWidth="1"/>
    <col min="10759" max="10759" width="16.28515625" style="140" customWidth="1"/>
    <col min="10760" max="10760" width="12.85546875" style="140" customWidth="1"/>
    <col min="10761" max="10761" width="12.7109375" style="140" customWidth="1"/>
    <col min="10762" max="10762" width="14.42578125" style="140" customWidth="1"/>
    <col min="10763" max="10763" width="13.5703125" style="140" customWidth="1"/>
    <col min="10764" max="11008" width="9.140625" style="140"/>
    <col min="11009" max="11009" width="2.7109375" style="140" customWidth="1"/>
    <col min="11010" max="11010" width="9.140625" style="140"/>
    <col min="11011" max="11011" width="40.28515625" style="140" bestFit="1" customWidth="1"/>
    <col min="11012" max="11012" width="10" style="140" customWidth="1"/>
    <col min="11013" max="11013" width="10.140625" style="140" customWidth="1"/>
    <col min="11014" max="11014" width="12.28515625" style="140" customWidth="1"/>
    <col min="11015" max="11015" width="16.28515625" style="140" customWidth="1"/>
    <col min="11016" max="11016" width="12.85546875" style="140" customWidth="1"/>
    <col min="11017" max="11017" width="12.7109375" style="140" customWidth="1"/>
    <col min="11018" max="11018" width="14.42578125" style="140" customWidth="1"/>
    <col min="11019" max="11019" width="13.5703125" style="140" customWidth="1"/>
    <col min="11020" max="11264" width="9.140625" style="140"/>
    <col min="11265" max="11265" width="2.7109375" style="140" customWidth="1"/>
    <col min="11266" max="11266" width="9.140625" style="140"/>
    <col min="11267" max="11267" width="40.28515625" style="140" bestFit="1" customWidth="1"/>
    <col min="11268" max="11268" width="10" style="140" customWidth="1"/>
    <col min="11269" max="11269" width="10.140625" style="140" customWidth="1"/>
    <col min="11270" max="11270" width="12.28515625" style="140" customWidth="1"/>
    <col min="11271" max="11271" width="16.28515625" style="140" customWidth="1"/>
    <col min="11272" max="11272" width="12.85546875" style="140" customWidth="1"/>
    <col min="11273" max="11273" width="12.7109375" style="140" customWidth="1"/>
    <col min="11274" max="11274" width="14.42578125" style="140" customWidth="1"/>
    <col min="11275" max="11275" width="13.5703125" style="140" customWidth="1"/>
    <col min="11276" max="11520" width="9.140625" style="140"/>
    <col min="11521" max="11521" width="2.7109375" style="140" customWidth="1"/>
    <col min="11522" max="11522" width="9.140625" style="140"/>
    <col min="11523" max="11523" width="40.28515625" style="140" bestFit="1" customWidth="1"/>
    <col min="11524" max="11524" width="10" style="140" customWidth="1"/>
    <col min="11525" max="11525" width="10.140625" style="140" customWidth="1"/>
    <col min="11526" max="11526" width="12.28515625" style="140" customWidth="1"/>
    <col min="11527" max="11527" width="16.28515625" style="140" customWidth="1"/>
    <col min="11528" max="11528" width="12.85546875" style="140" customWidth="1"/>
    <col min="11529" max="11529" width="12.7109375" style="140" customWidth="1"/>
    <col min="11530" max="11530" width="14.42578125" style="140" customWidth="1"/>
    <col min="11531" max="11531" width="13.5703125" style="140" customWidth="1"/>
    <col min="11532" max="11776" width="9.140625" style="140"/>
    <col min="11777" max="11777" width="2.7109375" style="140" customWidth="1"/>
    <col min="11778" max="11778" width="9.140625" style="140"/>
    <col min="11779" max="11779" width="40.28515625" style="140" bestFit="1" customWidth="1"/>
    <col min="11780" max="11780" width="10" style="140" customWidth="1"/>
    <col min="11781" max="11781" width="10.140625" style="140" customWidth="1"/>
    <col min="11782" max="11782" width="12.28515625" style="140" customWidth="1"/>
    <col min="11783" max="11783" width="16.28515625" style="140" customWidth="1"/>
    <col min="11784" max="11784" width="12.85546875" style="140" customWidth="1"/>
    <col min="11785" max="11785" width="12.7109375" style="140" customWidth="1"/>
    <col min="11786" max="11786" width="14.42578125" style="140" customWidth="1"/>
    <col min="11787" max="11787" width="13.5703125" style="140" customWidth="1"/>
    <col min="11788" max="12032" width="9.140625" style="140"/>
    <col min="12033" max="12033" width="2.7109375" style="140" customWidth="1"/>
    <col min="12034" max="12034" width="9.140625" style="140"/>
    <col min="12035" max="12035" width="40.28515625" style="140" bestFit="1" customWidth="1"/>
    <col min="12036" max="12036" width="10" style="140" customWidth="1"/>
    <col min="12037" max="12037" width="10.140625" style="140" customWidth="1"/>
    <col min="12038" max="12038" width="12.28515625" style="140" customWidth="1"/>
    <col min="12039" max="12039" width="16.28515625" style="140" customWidth="1"/>
    <col min="12040" max="12040" width="12.85546875" style="140" customWidth="1"/>
    <col min="12041" max="12041" width="12.7109375" style="140" customWidth="1"/>
    <col min="12042" max="12042" width="14.42578125" style="140" customWidth="1"/>
    <col min="12043" max="12043" width="13.5703125" style="140" customWidth="1"/>
    <col min="12044" max="12288" width="9.140625" style="140"/>
    <col min="12289" max="12289" width="2.7109375" style="140" customWidth="1"/>
    <col min="12290" max="12290" width="9.140625" style="140"/>
    <col min="12291" max="12291" width="40.28515625" style="140" bestFit="1" customWidth="1"/>
    <col min="12292" max="12292" width="10" style="140" customWidth="1"/>
    <col min="12293" max="12293" width="10.140625" style="140" customWidth="1"/>
    <col min="12294" max="12294" width="12.28515625" style="140" customWidth="1"/>
    <col min="12295" max="12295" width="16.28515625" style="140" customWidth="1"/>
    <col min="12296" max="12296" width="12.85546875" style="140" customWidth="1"/>
    <col min="12297" max="12297" width="12.7109375" style="140" customWidth="1"/>
    <col min="12298" max="12298" width="14.42578125" style="140" customWidth="1"/>
    <col min="12299" max="12299" width="13.5703125" style="140" customWidth="1"/>
    <col min="12300" max="12544" width="9.140625" style="140"/>
    <col min="12545" max="12545" width="2.7109375" style="140" customWidth="1"/>
    <col min="12546" max="12546" width="9.140625" style="140"/>
    <col min="12547" max="12547" width="40.28515625" style="140" bestFit="1" customWidth="1"/>
    <col min="12548" max="12548" width="10" style="140" customWidth="1"/>
    <col min="12549" max="12549" width="10.140625" style="140" customWidth="1"/>
    <col min="12550" max="12550" width="12.28515625" style="140" customWidth="1"/>
    <col min="12551" max="12551" width="16.28515625" style="140" customWidth="1"/>
    <col min="12552" max="12552" width="12.85546875" style="140" customWidth="1"/>
    <col min="12553" max="12553" width="12.7109375" style="140" customWidth="1"/>
    <col min="12554" max="12554" width="14.42578125" style="140" customWidth="1"/>
    <col min="12555" max="12555" width="13.5703125" style="140" customWidth="1"/>
    <col min="12556" max="12800" width="9.140625" style="140"/>
    <col min="12801" max="12801" width="2.7109375" style="140" customWidth="1"/>
    <col min="12802" max="12802" width="9.140625" style="140"/>
    <col min="12803" max="12803" width="40.28515625" style="140" bestFit="1" customWidth="1"/>
    <col min="12804" max="12804" width="10" style="140" customWidth="1"/>
    <col min="12805" max="12805" width="10.140625" style="140" customWidth="1"/>
    <col min="12806" max="12806" width="12.28515625" style="140" customWidth="1"/>
    <col min="12807" max="12807" width="16.28515625" style="140" customWidth="1"/>
    <col min="12808" max="12808" width="12.85546875" style="140" customWidth="1"/>
    <col min="12809" max="12809" width="12.7109375" style="140" customWidth="1"/>
    <col min="12810" max="12810" width="14.42578125" style="140" customWidth="1"/>
    <col min="12811" max="12811" width="13.5703125" style="140" customWidth="1"/>
    <col min="12812" max="13056" width="9.140625" style="140"/>
    <col min="13057" max="13057" width="2.7109375" style="140" customWidth="1"/>
    <col min="13058" max="13058" width="9.140625" style="140"/>
    <col min="13059" max="13059" width="40.28515625" style="140" bestFit="1" customWidth="1"/>
    <col min="13060" max="13060" width="10" style="140" customWidth="1"/>
    <col min="13061" max="13061" width="10.140625" style="140" customWidth="1"/>
    <col min="13062" max="13062" width="12.28515625" style="140" customWidth="1"/>
    <col min="13063" max="13063" width="16.28515625" style="140" customWidth="1"/>
    <col min="13064" max="13064" width="12.85546875" style="140" customWidth="1"/>
    <col min="13065" max="13065" width="12.7109375" style="140" customWidth="1"/>
    <col min="13066" max="13066" width="14.42578125" style="140" customWidth="1"/>
    <col min="13067" max="13067" width="13.5703125" style="140" customWidth="1"/>
    <col min="13068" max="13312" width="9.140625" style="140"/>
    <col min="13313" max="13313" width="2.7109375" style="140" customWidth="1"/>
    <col min="13314" max="13314" width="9.140625" style="140"/>
    <col min="13315" max="13315" width="40.28515625" style="140" bestFit="1" customWidth="1"/>
    <col min="13316" max="13316" width="10" style="140" customWidth="1"/>
    <col min="13317" max="13317" width="10.140625" style="140" customWidth="1"/>
    <col min="13318" max="13318" width="12.28515625" style="140" customWidth="1"/>
    <col min="13319" max="13319" width="16.28515625" style="140" customWidth="1"/>
    <col min="13320" max="13320" width="12.85546875" style="140" customWidth="1"/>
    <col min="13321" max="13321" width="12.7109375" style="140" customWidth="1"/>
    <col min="13322" max="13322" width="14.42578125" style="140" customWidth="1"/>
    <col min="13323" max="13323" width="13.5703125" style="140" customWidth="1"/>
    <col min="13324" max="13568" width="9.140625" style="140"/>
    <col min="13569" max="13569" width="2.7109375" style="140" customWidth="1"/>
    <col min="13570" max="13570" width="9.140625" style="140"/>
    <col min="13571" max="13571" width="40.28515625" style="140" bestFit="1" customWidth="1"/>
    <col min="13572" max="13572" width="10" style="140" customWidth="1"/>
    <col min="13573" max="13573" width="10.140625" style="140" customWidth="1"/>
    <col min="13574" max="13574" width="12.28515625" style="140" customWidth="1"/>
    <col min="13575" max="13575" width="16.28515625" style="140" customWidth="1"/>
    <col min="13576" max="13576" width="12.85546875" style="140" customWidth="1"/>
    <col min="13577" max="13577" width="12.7109375" style="140" customWidth="1"/>
    <col min="13578" max="13578" width="14.42578125" style="140" customWidth="1"/>
    <col min="13579" max="13579" width="13.5703125" style="140" customWidth="1"/>
    <col min="13580" max="13824" width="9.140625" style="140"/>
    <col min="13825" max="13825" width="2.7109375" style="140" customWidth="1"/>
    <col min="13826" max="13826" width="9.140625" style="140"/>
    <col min="13827" max="13827" width="40.28515625" style="140" bestFit="1" customWidth="1"/>
    <col min="13828" max="13828" width="10" style="140" customWidth="1"/>
    <col min="13829" max="13829" width="10.140625" style="140" customWidth="1"/>
    <col min="13830" max="13830" width="12.28515625" style="140" customWidth="1"/>
    <col min="13831" max="13831" width="16.28515625" style="140" customWidth="1"/>
    <col min="13832" max="13832" width="12.85546875" style="140" customWidth="1"/>
    <col min="13833" max="13833" width="12.7109375" style="140" customWidth="1"/>
    <col min="13834" max="13834" width="14.42578125" style="140" customWidth="1"/>
    <col min="13835" max="13835" width="13.5703125" style="140" customWidth="1"/>
    <col min="13836" max="14080" width="9.140625" style="140"/>
    <col min="14081" max="14081" width="2.7109375" style="140" customWidth="1"/>
    <col min="14082" max="14082" width="9.140625" style="140"/>
    <col min="14083" max="14083" width="40.28515625" style="140" bestFit="1" customWidth="1"/>
    <col min="14084" max="14084" width="10" style="140" customWidth="1"/>
    <col min="14085" max="14085" width="10.140625" style="140" customWidth="1"/>
    <col min="14086" max="14086" width="12.28515625" style="140" customWidth="1"/>
    <col min="14087" max="14087" width="16.28515625" style="140" customWidth="1"/>
    <col min="14088" max="14088" width="12.85546875" style="140" customWidth="1"/>
    <col min="14089" max="14089" width="12.7109375" style="140" customWidth="1"/>
    <col min="14090" max="14090" width="14.42578125" style="140" customWidth="1"/>
    <col min="14091" max="14091" width="13.5703125" style="140" customWidth="1"/>
    <col min="14092" max="14336" width="9.140625" style="140"/>
    <col min="14337" max="14337" width="2.7109375" style="140" customWidth="1"/>
    <col min="14338" max="14338" width="9.140625" style="140"/>
    <col min="14339" max="14339" width="40.28515625" style="140" bestFit="1" customWidth="1"/>
    <col min="14340" max="14340" width="10" style="140" customWidth="1"/>
    <col min="14341" max="14341" width="10.140625" style="140" customWidth="1"/>
    <col min="14342" max="14342" width="12.28515625" style="140" customWidth="1"/>
    <col min="14343" max="14343" width="16.28515625" style="140" customWidth="1"/>
    <col min="14344" max="14344" width="12.85546875" style="140" customWidth="1"/>
    <col min="14345" max="14345" width="12.7109375" style="140" customWidth="1"/>
    <col min="14346" max="14346" width="14.42578125" style="140" customWidth="1"/>
    <col min="14347" max="14347" width="13.5703125" style="140" customWidth="1"/>
    <col min="14348" max="14592" width="9.140625" style="140"/>
    <col min="14593" max="14593" width="2.7109375" style="140" customWidth="1"/>
    <col min="14594" max="14594" width="9.140625" style="140"/>
    <col min="14595" max="14595" width="40.28515625" style="140" bestFit="1" customWidth="1"/>
    <col min="14596" max="14596" width="10" style="140" customWidth="1"/>
    <col min="14597" max="14597" width="10.140625" style="140" customWidth="1"/>
    <col min="14598" max="14598" width="12.28515625" style="140" customWidth="1"/>
    <col min="14599" max="14599" width="16.28515625" style="140" customWidth="1"/>
    <col min="14600" max="14600" width="12.85546875" style="140" customWidth="1"/>
    <col min="14601" max="14601" width="12.7109375" style="140" customWidth="1"/>
    <col min="14602" max="14602" width="14.42578125" style="140" customWidth="1"/>
    <col min="14603" max="14603" width="13.5703125" style="140" customWidth="1"/>
    <col min="14604" max="14848" width="9.140625" style="140"/>
    <col min="14849" max="14849" width="2.7109375" style="140" customWidth="1"/>
    <col min="14850" max="14850" width="9.140625" style="140"/>
    <col min="14851" max="14851" width="40.28515625" style="140" bestFit="1" customWidth="1"/>
    <col min="14852" max="14852" width="10" style="140" customWidth="1"/>
    <col min="14853" max="14853" width="10.140625" style="140" customWidth="1"/>
    <col min="14854" max="14854" width="12.28515625" style="140" customWidth="1"/>
    <col min="14855" max="14855" width="16.28515625" style="140" customWidth="1"/>
    <col min="14856" max="14856" width="12.85546875" style="140" customWidth="1"/>
    <col min="14857" max="14857" width="12.7109375" style="140" customWidth="1"/>
    <col min="14858" max="14858" width="14.42578125" style="140" customWidth="1"/>
    <col min="14859" max="14859" width="13.5703125" style="140" customWidth="1"/>
    <col min="14860" max="15104" width="9.140625" style="140"/>
    <col min="15105" max="15105" width="2.7109375" style="140" customWidth="1"/>
    <col min="15106" max="15106" width="9.140625" style="140"/>
    <col min="15107" max="15107" width="40.28515625" style="140" bestFit="1" customWidth="1"/>
    <col min="15108" max="15108" width="10" style="140" customWidth="1"/>
    <col min="15109" max="15109" width="10.140625" style="140" customWidth="1"/>
    <col min="15110" max="15110" width="12.28515625" style="140" customWidth="1"/>
    <col min="15111" max="15111" width="16.28515625" style="140" customWidth="1"/>
    <col min="15112" max="15112" width="12.85546875" style="140" customWidth="1"/>
    <col min="15113" max="15113" width="12.7109375" style="140" customWidth="1"/>
    <col min="15114" max="15114" width="14.42578125" style="140" customWidth="1"/>
    <col min="15115" max="15115" width="13.5703125" style="140" customWidth="1"/>
    <col min="15116" max="15360" width="9.140625" style="140"/>
    <col min="15361" max="15361" width="2.7109375" style="140" customWidth="1"/>
    <col min="15362" max="15362" width="9.140625" style="140"/>
    <col min="15363" max="15363" width="40.28515625" style="140" bestFit="1" customWidth="1"/>
    <col min="15364" max="15364" width="10" style="140" customWidth="1"/>
    <col min="15365" max="15365" width="10.140625" style="140" customWidth="1"/>
    <col min="15366" max="15366" width="12.28515625" style="140" customWidth="1"/>
    <col min="15367" max="15367" width="16.28515625" style="140" customWidth="1"/>
    <col min="15368" max="15368" width="12.85546875" style="140" customWidth="1"/>
    <col min="15369" max="15369" width="12.7109375" style="140" customWidth="1"/>
    <col min="15370" max="15370" width="14.42578125" style="140" customWidth="1"/>
    <col min="15371" max="15371" width="13.5703125" style="140" customWidth="1"/>
    <col min="15372" max="15616" width="9.140625" style="140"/>
    <col min="15617" max="15617" width="2.7109375" style="140" customWidth="1"/>
    <col min="15618" max="15618" width="9.140625" style="140"/>
    <col min="15619" max="15619" width="40.28515625" style="140" bestFit="1" customWidth="1"/>
    <col min="15620" max="15620" width="10" style="140" customWidth="1"/>
    <col min="15621" max="15621" width="10.140625" style="140" customWidth="1"/>
    <col min="15622" max="15622" width="12.28515625" style="140" customWidth="1"/>
    <col min="15623" max="15623" width="16.28515625" style="140" customWidth="1"/>
    <col min="15624" max="15624" width="12.85546875" style="140" customWidth="1"/>
    <col min="15625" max="15625" width="12.7109375" style="140" customWidth="1"/>
    <col min="15626" max="15626" width="14.42578125" style="140" customWidth="1"/>
    <col min="15627" max="15627" width="13.5703125" style="140" customWidth="1"/>
    <col min="15628" max="15872" width="9.140625" style="140"/>
    <col min="15873" max="15873" width="2.7109375" style="140" customWidth="1"/>
    <col min="15874" max="15874" width="9.140625" style="140"/>
    <col min="15875" max="15875" width="40.28515625" style="140" bestFit="1" customWidth="1"/>
    <col min="15876" max="15876" width="10" style="140" customWidth="1"/>
    <col min="15877" max="15877" width="10.140625" style="140" customWidth="1"/>
    <col min="15878" max="15878" width="12.28515625" style="140" customWidth="1"/>
    <col min="15879" max="15879" width="16.28515625" style="140" customWidth="1"/>
    <col min="15880" max="15880" width="12.85546875" style="140" customWidth="1"/>
    <col min="15881" max="15881" width="12.7109375" style="140" customWidth="1"/>
    <col min="15882" max="15882" width="14.42578125" style="140" customWidth="1"/>
    <col min="15883" max="15883" width="13.5703125" style="140" customWidth="1"/>
    <col min="15884" max="16128" width="9.140625" style="140"/>
    <col min="16129" max="16129" width="2.7109375" style="140" customWidth="1"/>
    <col min="16130" max="16130" width="9.140625" style="140"/>
    <col min="16131" max="16131" width="40.28515625" style="140" bestFit="1" customWidth="1"/>
    <col min="16132" max="16132" width="10" style="140" customWidth="1"/>
    <col min="16133" max="16133" width="10.140625" style="140" customWidth="1"/>
    <col min="16134" max="16134" width="12.28515625" style="140" customWidth="1"/>
    <col min="16135" max="16135" width="16.28515625" style="140" customWidth="1"/>
    <col min="16136" max="16136" width="12.85546875" style="140" customWidth="1"/>
    <col min="16137" max="16137" width="12.7109375" style="140" customWidth="1"/>
    <col min="16138" max="16138" width="14.42578125" style="140" customWidth="1"/>
    <col min="16139" max="16139" width="13.5703125" style="140" customWidth="1"/>
    <col min="16140" max="16384" width="9.140625" style="140"/>
  </cols>
  <sheetData>
    <row r="1" spans="1:12" x14ac:dyDescent="0.2">
      <c r="D1" s="336"/>
      <c r="E1" s="337"/>
      <c r="F1" s="337"/>
      <c r="G1" s="337"/>
      <c r="H1" s="337"/>
      <c r="J1" s="334" t="s">
        <v>394</v>
      </c>
      <c r="K1" s="1513" t="str">
        <f>EBNUMBER</f>
        <v>EB-2015-0089</v>
      </c>
      <c r="L1" s="337"/>
    </row>
    <row r="2" spans="1:12" x14ac:dyDescent="0.2">
      <c r="D2" s="336"/>
      <c r="E2" s="337"/>
      <c r="F2" s="337"/>
      <c r="G2" s="337"/>
      <c r="H2" s="337"/>
      <c r="J2" s="334" t="s">
        <v>395</v>
      </c>
      <c r="K2" s="136"/>
      <c r="L2" s="337"/>
    </row>
    <row r="3" spans="1:12" x14ac:dyDescent="0.2">
      <c r="D3" s="336"/>
      <c r="E3" s="337"/>
      <c r="F3" s="337"/>
      <c r="G3" s="337"/>
      <c r="H3" s="337"/>
      <c r="J3" s="334" t="s">
        <v>396</v>
      </c>
      <c r="K3" s="136"/>
      <c r="L3" s="337"/>
    </row>
    <row r="4" spans="1:12" x14ac:dyDescent="0.2">
      <c r="D4" s="336"/>
      <c r="E4" s="337"/>
      <c r="F4" s="337"/>
      <c r="G4" s="337"/>
      <c r="H4" s="337"/>
      <c r="J4" s="334" t="s">
        <v>397</v>
      </c>
      <c r="K4" s="136"/>
      <c r="L4" s="337"/>
    </row>
    <row r="5" spans="1:12" x14ac:dyDescent="0.2">
      <c r="D5" s="336"/>
      <c r="E5" s="337"/>
      <c r="F5" s="337"/>
      <c r="G5" s="337"/>
      <c r="H5" s="337"/>
      <c r="J5" s="334" t="s">
        <v>398</v>
      </c>
      <c r="K5" s="1514"/>
      <c r="L5" s="337"/>
    </row>
    <row r="6" spans="1:12" x14ac:dyDescent="0.2">
      <c r="D6" s="336"/>
      <c r="E6" s="337"/>
      <c r="F6" s="337"/>
      <c r="G6" s="337"/>
      <c r="H6" s="337"/>
      <c r="J6" s="334"/>
      <c r="K6" s="1513"/>
      <c r="L6" s="337"/>
    </row>
    <row r="7" spans="1:12" x14ac:dyDescent="0.2">
      <c r="D7" s="336"/>
      <c r="E7" s="337"/>
      <c r="F7" s="337"/>
      <c r="G7" s="337"/>
      <c r="H7" s="394"/>
      <c r="J7" s="334" t="s">
        <v>399</v>
      </c>
      <c r="K7" s="1514"/>
      <c r="L7" s="394"/>
    </row>
    <row r="9" spans="1:12" ht="18" x14ac:dyDescent="0.2">
      <c r="A9" s="1997" t="s">
        <v>528</v>
      </c>
      <c r="B9" s="1997"/>
      <c r="C9" s="1997"/>
      <c r="D9" s="1997"/>
      <c r="E9" s="1997"/>
      <c r="F9" s="1997"/>
      <c r="G9" s="1997"/>
      <c r="H9" s="1997"/>
      <c r="I9" s="1997"/>
      <c r="J9" s="1997"/>
      <c r="K9" s="1997"/>
    </row>
    <row r="10" spans="1:12" ht="18" x14ac:dyDescent="0.2">
      <c r="A10" s="1997" t="s">
        <v>3</v>
      </c>
      <c r="B10" s="1997"/>
      <c r="C10" s="1997"/>
      <c r="D10" s="1997"/>
      <c r="E10" s="1997"/>
      <c r="F10" s="1997"/>
      <c r="G10" s="1997"/>
      <c r="H10" s="1997"/>
      <c r="I10" s="1997"/>
      <c r="J10" s="1997"/>
      <c r="K10" s="1997"/>
    </row>
    <row r="11" spans="1:12" ht="24" customHeight="1" x14ac:dyDescent="0.2">
      <c r="A11" s="2076" t="s">
        <v>1854</v>
      </c>
      <c r="B11" s="2076"/>
      <c r="C11" s="2076"/>
      <c r="D11" s="2076"/>
      <c r="E11" s="2076"/>
      <c r="F11" s="2076"/>
      <c r="G11" s="2076"/>
      <c r="H11" s="2076"/>
      <c r="I11" s="2076"/>
      <c r="J11" s="2076"/>
      <c r="K11" s="2076"/>
    </row>
    <row r="12" spans="1:12" ht="24" customHeight="1" x14ac:dyDescent="0.2">
      <c r="A12" s="1479"/>
      <c r="B12" s="1479"/>
      <c r="C12" s="1479"/>
      <c r="D12" s="1479"/>
      <c r="E12" s="1479"/>
      <c r="F12" s="1479"/>
      <c r="G12" s="1479"/>
      <c r="H12" s="1479"/>
      <c r="I12" s="1479"/>
      <c r="J12" s="1479"/>
      <c r="K12" s="1479"/>
    </row>
    <row r="13" spans="1:12" ht="13.5" customHeight="1" x14ac:dyDescent="0.25">
      <c r="A13" s="1467"/>
      <c r="B13" s="1467"/>
      <c r="E13" s="435">
        <v>2014</v>
      </c>
      <c r="F13" s="436" t="s">
        <v>152</v>
      </c>
      <c r="G13" s="1467"/>
      <c r="H13" s="1467"/>
    </row>
    <row r="14" spans="1:12" ht="13.5" thickBot="1" x14ac:dyDescent="0.25"/>
    <row r="15" spans="1:12" ht="52.5" customHeight="1" x14ac:dyDescent="0.2">
      <c r="A15" s="2070" t="s">
        <v>4</v>
      </c>
      <c r="B15" s="2072" t="s">
        <v>324</v>
      </c>
      <c r="C15" s="404" t="s">
        <v>326</v>
      </c>
      <c r="D15" s="404" t="s">
        <v>489</v>
      </c>
      <c r="E15" s="404" t="s">
        <v>479</v>
      </c>
      <c r="F15" s="438" t="s">
        <v>663</v>
      </c>
      <c r="G15" s="2079" t="s">
        <v>1603</v>
      </c>
      <c r="H15" s="438" t="s">
        <v>482</v>
      </c>
      <c r="I15" s="438" t="s">
        <v>1527</v>
      </c>
      <c r="J15" s="2079" t="s">
        <v>616</v>
      </c>
      <c r="K15" s="438" t="s">
        <v>1528</v>
      </c>
    </row>
    <row r="16" spans="1:12" ht="54" customHeight="1" thickBot="1" x14ac:dyDescent="0.25">
      <c r="A16" s="2077"/>
      <c r="B16" s="2078"/>
      <c r="C16" s="439" t="s">
        <v>6</v>
      </c>
      <c r="D16" s="439" t="s">
        <v>8</v>
      </c>
      <c r="E16" s="439" t="s">
        <v>9</v>
      </c>
      <c r="F16" s="457" t="s">
        <v>1526</v>
      </c>
      <c r="G16" s="2080"/>
      <c r="H16" s="442" t="s">
        <v>476</v>
      </c>
      <c r="I16" s="442" t="s">
        <v>491</v>
      </c>
      <c r="J16" s="2081"/>
      <c r="K16" s="458" t="s">
        <v>1529</v>
      </c>
    </row>
    <row r="17" spans="1:11" ht="25.5" x14ac:dyDescent="0.2">
      <c r="A17" s="1473">
        <v>1611</v>
      </c>
      <c r="B17" s="355" t="s">
        <v>475</v>
      </c>
      <c r="C17" s="356"/>
      <c r="D17" s="459"/>
      <c r="E17" s="460">
        <f t="shared" ref="E17:E53" si="0">IF(D17=0,0,1/D17)</f>
        <v>0</v>
      </c>
      <c r="F17" s="374">
        <f>IF(D17=0,+'App.2-CC_NewCGAAP_DepExp_2013'!K17,+'App.2-CC_NewCGAAP_DepExp_2013'!K17+((C17*0.5)/D17))</f>
        <v>0</v>
      </c>
      <c r="G17" s="356"/>
      <c r="H17" s="374">
        <f t="shared" ref="H17:H54" si="1">IF(ISERROR(+F17-G17), 0, +F17-G17)</f>
        <v>0</v>
      </c>
      <c r="I17" s="374">
        <f>IF(D17=0,0,+(C17)/D17)</f>
        <v>0</v>
      </c>
      <c r="J17" s="356"/>
      <c r="K17" s="374">
        <f>IF(ISERROR(+I17+'App.2-CC_NewCGAAP_DepExp_2013'!K17-J17), 0, +I17+'App.2-CC_NewCGAAP_DepExp_2013'!K17-J17)</f>
        <v>0</v>
      </c>
    </row>
    <row r="18" spans="1:11" ht="25.5" x14ac:dyDescent="0.2">
      <c r="A18" s="1473">
        <v>1612</v>
      </c>
      <c r="B18" s="355" t="s">
        <v>563</v>
      </c>
      <c r="C18" s="356"/>
      <c r="D18" s="411"/>
      <c r="E18" s="412">
        <f t="shared" si="0"/>
        <v>0</v>
      </c>
      <c r="F18" s="374">
        <f>IF(D18=0,+'App.2-CC_NewCGAAP_DepExp_2013'!K18,+'App.2-CC_NewCGAAP_DepExp_2013'!K18+((C18*0.5)/D18))</f>
        <v>0</v>
      </c>
      <c r="G18" s="356"/>
      <c r="H18" s="374">
        <f t="shared" si="1"/>
        <v>0</v>
      </c>
      <c r="I18" s="374">
        <f t="shared" ref="I18:I54" si="2">IF(D18=0,0,+(C18)/D18)</f>
        <v>0</v>
      </c>
      <c r="J18" s="356"/>
      <c r="K18" s="374">
        <f>IF(ISERROR(+I18+'App.2-CC_NewCGAAP_DepExp_2013'!K18-J18), 0, +I18+'App.2-CC_NewCGAAP_DepExp_2013'!K18-J18)</f>
        <v>0</v>
      </c>
    </row>
    <row r="19" spans="1:11" x14ac:dyDescent="0.2">
      <c r="A19" s="361">
        <v>1805</v>
      </c>
      <c r="B19" s="362" t="s">
        <v>358</v>
      </c>
      <c r="C19" s="356"/>
      <c r="D19" s="411"/>
      <c r="E19" s="412">
        <f t="shared" si="0"/>
        <v>0</v>
      </c>
      <c r="F19" s="374">
        <f>IF(D19=0,+'App.2-CC_NewCGAAP_DepExp_2013'!K19,+'App.2-CC_NewCGAAP_DepExp_2013'!K19+((C19*0.5)/D19))</f>
        <v>0</v>
      </c>
      <c r="G19" s="356"/>
      <c r="H19" s="374">
        <f t="shared" si="1"/>
        <v>0</v>
      </c>
      <c r="I19" s="374">
        <f t="shared" si="2"/>
        <v>0</v>
      </c>
      <c r="J19" s="356"/>
      <c r="K19" s="374">
        <f>IF(ISERROR(+I19+'App.2-CC_NewCGAAP_DepExp_2013'!K19-J19), 0, +I19+'App.2-CC_NewCGAAP_DepExp_2013'!K19-J19)</f>
        <v>0</v>
      </c>
    </row>
    <row r="20" spans="1:11" x14ac:dyDescent="0.2">
      <c r="A20" s="1473">
        <v>1808</v>
      </c>
      <c r="B20" s="363" t="s">
        <v>359</v>
      </c>
      <c r="C20" s="356"/>
      <c r="D20" s="411"/>
      <c r="E20" s="412">
        <f t="shared" si="0"/>
        <v>0</v>
      </c>
      <c r="F20" s="374">
        <f>IF(D20=0,+'App.2-CC_NewCGAAP_DepExp_2013'!K20,+'App.2-CC_NewCGAAP_DepExp_2013'!K20+((C20*0.5)/D20))</f>
        <v>0</v>
      </c>
      <c r="G20" s="356"/>
      <c r="H20" s="374">
        <f t="shared" si="1"/>
        <v>0</v>
      </c>
      <c r="I20" s="374">
        <f t="shared" si="2"/>
        <v>0</v>
      </c>
      <c r="J20" s="356"/>
      <c r="K20" s="374">
        <f>IF(ISERROR(+I20+'App.2-CC_NewCGAAP_DepExp_2013'!K20-J20), 0, +I20+'App.2-CC_NewCGAAP_DepExp_2013'!K20-J20)</f>
        <v>0</v>
      </c>
    </row>
    <row r="21" spans="1:11" x14ac:dyDescent="0.2">
      <c r="A21" s="1473">
        <v>1810</v>
      </c>
      <c r="B21" s="363" t="s">
        <v>392</v>
      </c>
      <c r="C21" s="356"/>
      <c r="D21" s="411"/>
      <c r="E21" s="412">
        <f t="shared" si="0"/>
        <v>0</v>
      </c>
      <c r="F21" s="374">
        <f>IF(D21=0,+'App.2-CC_NewCGAAP_DepExp_2013'!K21,+'App.2-CC_NewCGAAP_DepExp_2013'!K21+((C21*0.5)/D21))</f>
        <v>0</v>
      </c>
      <c r="G21" s="356"/>
      <c r="H21" s="374">
        <f t="shared" si="1"/>
        <v>0</v>
      </c>
      <c r="I21" s="374">
        <f t="shared" si="2"/>
        <v>0</v>
      </c>
      <c r="J21" s="356"/>
      <c r="K21" s="374">
        <f>IF(ISERROR(+I21+'App.2-CC_NewCGAAP_DepExp_2013'!K21-J21), 0, +I21+'App.2-CC_NewCGAAP_DepExp_2013'!K21-J21)</f>
        <v>0</v>
      </c>
    </row>
    <row r="22" spans="1:11" x14ac:dyDescent="0.2">
      <c r="A22" s="1473">
        <v>1815</v>
      </c>
      <c r="B22" s="363" t="s">
        <v>360</v>
      </c>
      <c r="C22" s="356"/>
      <c r="D22" s="411"/>
      <c r="E22" s="412">
        <f t="shared" si="0"/>
        <v>0</v>
      </c>
      <c r="F22" s="374">
        <f>IF(D22=0,+'App.2-CC_NewCGAAP_DepExp_2013'!K22,+'App.2-CC_NewCGAAP_DepExp_2013'!K22+((C22*0.5)/D22))</f>
        <v>0</v>
      </c>
      <c r="G22" s="356"/>
      <c r="H22" s="374">
        <f t="shared" si="1"/>
        <v>0</v>
      </c>
      <c r="I22" s="374">
        <f t="shared" si="2"/>
        <v>0</v>
      </c>
      <c r="J22" s="356"/>
      <c r="K22" s="374">
        <f>IF(ISERROR(+I22+'App.2-CC_NewCGAAP_DepExp_2013'!K22-J22), 0, +I22+'App.2-CC_NewCGAAP_DepExp_2013'!K22-J22)</f>
        <v>0</v>
      </c>
    </row>
    <row r="23" spans="1:11" x14ac:dyDescent="0.2">
      <c r="A23" s="1473">
        <v>1820</v>
      </c>
      <c r="B23" s="355" t="s">
        <v>287</v>
      </c>
      <c r="C23" s="356"/>
      <c r="D23" s="411"/>
      <c r="E23" s="412">
        <f t="shared" si="0"/>
        <v>0</v>
      </c>
      <c r="F23" s="374">
        <f>IF(D23=0,+'App.2-CC_NewCGAAP_DepExp_2013'!K23,+'App.2-CC_NewCGAAP_DepExp_2013'!K23+((C23*0.5)/D23))</f>
        <v>0</v>
      </c>
      <c r="G23" s="356"/>
      <c r="H23" s="374">
        <f t="shared" si="1"/>
        <v>0</v>
      </c>
      <c r="I23" s="374">
        <f t="shared" si="2"/>
        <v>0</v>
      </c>
      <c r="J23" s="356"/>
      <c r="K23" s="374">
        <f>IF(ISERROR(+I23+'App.2-CC_NewCGAAP_DepExp_2013'!K23-J23), 0, +I23+'App.2-CC_NewCGAAP_DepExp_2013'!K23-J23)</f>
        <v>0</v>
      </c>
    </row>
    <row r="24" spans="1:11" x14ac:dyDescent="0.2">
      <c r="A24" s="1473">
        <v>1825</v>
      </c>
      <c r="B24" s="363" t="s">
        <v>361</v>
      </c>
      <c r="C24" s="356"/>
      <c r="D24" s="411"/>
      <c r="E24" s="412">
        <f t="shared" si="0"/>
        <v>0</v>
      </c>
      <c r="F24" s="374">
        <f>IF(D24=0,+'App.2-CC_NewCGAAP_DepExp_2013'!K24,+'App.2-CC_NewCGAAP_DepExp_2013'!K24+((C24*0.5)/D24))</f>
        <v>0</v>
      </c>
      <c r="G24" s="356"/>
      <c r="H24" s="374">
        <f t="shared" si="1"/>
        <v>0</v>
      </c>
      <c r="I24" s="374">
        <f t="shared" si="2"/>
        <v>0</v>
      </c>
      <c r="J24" s="356"/>
      <c r="K24" s="374">
        <f>IF(ISERROR(+I24+'App.2-CC_NewCGAAP_DepExp_2013'!K24-J24), 0, +I24+'App.2-CC_NewCGAAP_DepExp_2013'!K24-J24)</f>
        <v>0</v>
      </c>
    </row>
    <row r="25" spans="1:11" x14ac:dyDescent="0.2">
      <c r="A25" s="1473">
        <v>1830</v>
      </c>
      <c r="B25" s="363" t="s">
        <v>362</v>
      </c>
      <c r="C25" s="356"/>
      <c r="D25" s="411"/>
      <c r="E25" s="412">
        <f t="shared" si="0"/>
        <v>0</v>
      </c>
      <c r="F25" s="374">
        <f>IF(D25=0,+'App.2-CC_NewCGAAP_DepExp_2013'!K25,+'App.2-CC_NewCGAAP_DepExp_2013'!K25+((C25*0.5)/D25))</f>
        <v>0</v>
      </c>
      <c r="G25" s="356"/>
      <c r="H25" s="374">
        <f t="shared" si="1"/>
        <v>0</v>
      </c>
      <c r="I25" s="374">
        <f t="shared" si="2"/>
        <v>0</v>
      </c>
      <c r="J25" s="356"/>
      <c r="K25" s="374">
        <f>IF(ISERROR(+I25+'App.2-CC_NewCGAAP_DepExp_2013'!K25-J25), 0, +I25+'App.2-CC_NewCGAAP_DepExp_2013'!K25-J25)</f>
        <v>0</v>
      </c>
    </row>
    <row r="26" spans="1:11" x14ac:dyDescent="0.2">
      <c r="A26" s="1473">
        <v>1835</v>
      </c>
      <c r="B26" s="363" t="s">
        <v>288</v>
      </c>
      <c r="C26" s="356"/>
      <c r="D26" s="411"/>
      <c r="E26" s="412">
        <f t="shared" si="0"/>
        <v>0</v>
      </c>
      <c r="F26" s="374">
        <f>IF(D26=0,+'App.2-CC_NewCGAAP_DepExp_2013'!K26,+'App.2-CC_NewCGAAP_DepExp_2013'!K26+((C26*0.5)/D26))</f>
        <v>0</v>
      </c>
      <c r="G26" s="356"/>
      <c r="H26" s="374">
        <f t="shared" si="1"/>
        <v>0</v>
      </c>
      <c r="I26" s="374">
        <f t="shared" si="2"/>
        <v>0</v>
      </c>
      <c r="J26" s="356"/>
      <c r="K26" s="374">
        <f>IF(ISERROR(+I26+'App.2-CC_NewCGAAP_DepExp_2013'!K26-J26), 0, +I26+'App.2-CC_NewCGAAP_DepExp_2013'!K26-J26)</f>
        <v>0</v>
      </c>
    </row>
    <row r="27" spans="1:11" x14ac:dyDescent="0.2">
      <c r="A27" s="1473">
        <v>1840</v>
      </c>
      <c r="B27" s="363" t="s">
        <v>289</v>
      </c>
      <c r="C27" s="356"/>
      <c r="D27" s="411"/>
      <c r="E27" s="412">
        <f t="shared" si="0"/>
        <v>0</v>
      </c>
      <c r="F27" s="374">
        <f>IF(D27=0,+'App.2-CC_NewCGAAP_DepExp_2013'!K27,+'App.2-CC_NewCGAAP_DepExp_2013'!K27+((C27*0.5)/D27))</f>
        <v>0</v>
      </c>
      <c r="G27" s="356"/>
      <c r="H27" s="374">
        <f t="shared" si="1"/>
        <v>0</v>
      </c>
      <c r="I27" s="374">
        <f t="shared" si="2"/>
        <v>0</v>
      </c>
      <c r="J27" s="356"/>
      <c r="K27" s="374">
        <f>IF(ISERROR(+I27+'App.2-CC_NewCGAAP_DepExp_2013'!K27-J27), 0, +I27+'App.2-CC_NewCGAAP_DepExp_2013'!K27-J27)</f>
        <v>0</v>
      </c>
    </row>
    <row r="28" spans="1:11" x14ac:dyDescent="0.2">
      <c r="A28" s="1473">
        <v>1845</v>
      </c>
      <c r="B28" s="363" t="s">
        <v>290</v>
      </c>
      <c r="C28" s="356"/>
      <c r="D28" s="411"/>
      <c r="E28" s="412">
        <f t="shared" si="0"/>
        <v>0</v>
      </c>
      <c r="F28" s="374">
        <f>IF(D28=0,+'App.2-CC_NewCGAAP_DepExp_2013'!K28,+'App.2-CC_NewCGAAP_DepExp_2013'!K28+((C28*0.5)/D28))</f>
        <v>0</v>
      </c>
      <c r="G28" s="356"/>
      <c r="H28" s="374">
        <f t="shared" si="1"/>
        <v>0</v>
      </c>
      <c r="I28" s="374">
        <f t="shared" si="2"/>
        <v>0</v>
      </c>
      <c r="J28" s="356"/>
      <c r="K28" s="374">
        <f>IF(ISERROR(+I28+'App.2-CC_NewCGAAP_DepExp_2013'!K28-J28), 0, +I28+'App.2-CC_NewCGAAP_DepExp_2013'!K28-J28)</f>
        <v>0</v>
      </c>
    </row>
    <row r="29" spans="1:11" x14ac:dyDescent="0.2">
      <c r="A29" s="1473">
        <v>1850</v>
      </c>
      <c r="B29" s="363" t="s">
        <v>363</v>
      </c>
      <c r="C29" s="356"/>
      <c r="D29" s="411"/>
      <c r="E29" s="412">
        <f t="shared" si="0"/>
        <v>0</v>
      </c>
      <c r="F29" s="374">
        <f>IF(D29=0,+'App.2-CC_NewCGAAP_DepExp_2013'!K29,+'App.2-CC_NewCGAAP_DepExp_2013'!K29+((C29*0.5)/D29))</f>
        <v>0</v>
      </c>
      <c r="G29" s="356"/>
      <c r="H29" s="374">
        <f t="shared" si="1"/>
        <v>0</v>
      </c>
      <c r="I29" s="374">
        <f t="shared" si="2"/>
        <v>0</v>
      </c>
      <c r="J29" s="356"/>
      <c r="K29" s="374">
        <f>IF(ISERROR(+I29+'App.2-CC_NewCGAAP_DepExp_2013'!K29-J29), 0, +I29+'App.2-CC_NewCGAAP_DepExp_2013'!K29-J29)</f>
        <v>0</v>
      </c>
    </row>
    <row r="30" spans="1:11" x14ac:dyDescent="0.2">
      <c r="A30" s="1473">
        <v>1855</v>
      </c>
      <c r="B30" s="363" t="s">
        <v>291</v>
      </c>
      <c r="C30" s="356"/>
      <c r="D30" s="411"/>
      <c r="E30" s="412">
        <f t="shared" si="0"/>
        <v>0</v>
      </c>
      <c r="F30" s="374">
        <f>IF(D30=0,+'App.2-CC_NewCGAAP_DepExp_2013'!K30,+'App.2-CC_NewCGAAP_DepExp_2013'!K30+((C30*0.5)/D30))</f>
        <v>0</v>
      </c>
      <c r="G30" s="356"/>
      <c r="H30" s="374">
        <f t="shared" si="1"/>
        <v>0</v>
      </c>
      <c r="I30" s="374">
        <f t="shared" si="2"/>
        <v>0</v>
      </c>
      <c r="J30" s="356"/>
      <c r="K30" s="374">
        <f>IF(ISERROR(+I30+'App.2-CC_NewCGAAP_DepExp_2013'!K30-J30), 0, +I30+'App.2-CC_NewCGAAP_DepExp_2013'!K30-J30)</f>
        <v>0</v>
      </c>
    </row>
    <row r="31" spans="1:11" x14ac:dyDescent="0.2">
      <c r="A31" s="1473">
        <v>1860</v>
      </c>
      <c r="B31" s="363" t="s">
        <v>364</v>
      </c>
      <c r="C31" s="356"/>
      <c r="D31" s="411"/>
      <c r="E31" s="412">
        <f t="shared" si="0"/>
        <v>0</v>
      </c>
      <c r="F31" s="374">
        <f>IF(D31=0,+'App.2-CC_NewCGAAP_DepExp_2013'!K31,+'App.2-CC_NewCGAAP_DepExp_2013'!K31+((C31*0.5)/D31))</f>
        <v>0</v>
      </c>
      <c r="G31" s="356"/>
      <c r="H31" s="374">
        <f t="shared" si="1"/>
        <v>0</v>
      </c>
      <c r="I31" s="374">
        <f t="shared" si="2"/>
        <v>0</v>
      </c>
      <c r="J31" s="356"/>
      <c r="K31" s="374">
        <f>IF(ISERROR(+I31+'App.2-CC_NewCGAAP_DepExp_2013'!K31-J31), 0, +I31+'App.2-CC_NewCGAAP_DepExp_2013'!K31-J31)</f>
        <v>0</v>
      </c>
    </row>
    <row r="32" spans="1:11" x14ac:dyDescent="0.2">
      <c r="A32" s="361">
        <v>1860</v>
      </c>
      <c r="B32" s="362" t="s">
        <v>292</v>
      </c>
      <c r="C32" s="356"/>
      <c r="D32" s="411"/>
      <c r="E32" s="412">
        <f t="shared" si="0"/>
        <v>0</v>
      </c>
      <c r="F32" s="374">
        <f>IF(D32=0,+'App.2-CC_NewCGAAP_DepExp_2013'!K32,+'App.2-CC_NewCGAAP_DepExp_2013'!K32+((C32*0.5)/D32))</f>
        <v>0</v>
      </c>
      <c r="G32" s="356"/>
      <c r="H32" s="374">
        <f t="shared" si="1"/>
        <v>0</v>
      </c>
      <c r="I32" s="374">
        <f t="shared" si="2"/>
        <v>0</v>
      </c>
      <c r="J32" s="356"/>
      <c r="K32" s="374">
        <f>IF(ISERROR(+I32+'App.2-CC_NewCGAAP_DepExp_2013'!K32-J32), 0, +I32+'App.2-CC_NewCGAAP_DepExp_2013'!K32-J32)</f>
        <v>0</v>
      </c>
    </row>
    <row r="33" spans="1:11" x14ac:dyDescent="0.2">
      <c r="A33" s="361">
        <v>1905</v>
      </c>
      <c r="B33" s="362" t="s">
        <v>358</v>
      </c>
      <c r="C33" s="356"/>
      <c r="D33" s="411"/>
      <c r="E33" s="412">
        <f t="shared" si="0"/>
        <v>0</v>
      </c>
      <c r="F33" s="374">
        <f>IF(D33=0,+'App.2-CC_NewCGAAP_DepExp_2013'!K33,+'App.2-CC_NewCGAAP_DepExp_2013'!K33+((C33*0.5)/D33))</f>
        <v>0</v>
      </c>
      <c r="G33" s="356"/>
      <c r="H33" s="374">
        <f t="shared" si="1"/>
        <v>0</v>
      </c>
      <c r="I33" s="374">
        <f t="shared" si="2"/>
        <v>0</v>
      </c>
      <c r="J33" s="356"/>
      <c r="K33" s="374">
        <f>IF(ISERROR(+I33+'App.2-CC_NewCGAAP_DepExp_2013'!K33-J33), 0, +I33+'App.2-CC_NewCGAAP_DepExp_2013'!K33-J33)</f>
        <v>0</v>
      </c>
    </row>
    <row r="34" spans="1:11" x14ac:dyDescent="0.2">
      <c r="A34" s="1473">
        <v>1908</v>
      </c>
      <c r="B34" s="363" t="s">
        <v>366</v>
      </c>
      <c r="C34" s="356"/>
      <c r="D34" s="411"/>
      <c r="E34" s="412">
        <f t="shared" si="0"/>
        <v>0</v>
      </c>
      <c r="F34" s="374">
        <f>IF(D34=0,+'App.2-CC_NewCGAAP_DepExp_2013'!K34,+'App.2-CC_NewCGAAP_DepExp_2013'!K34+((C34*0.5)/D34))</f>
        <v>0</v>
      </c>
      <c r="G34" s="356"/>
      <c r="H34" s="374">
        <f t="shared" si="1"/>
        <v>0</v>
      </c>
      <c r="I34" s="374">
        <f t="shared" si="2"/>
        <v>0</v>
      </c>
      <c r="J34" s="356"/>
      <c r="K34" s="374">
        <f>IF(ISERROR(+I34+'App.2-CC_NewCGAAP_DepExp_2013'!K34-J34), 0, +I34+'App.2-CC_NewCGAAP_DepExp_2013'!K34-J34)</f>
        <v>0</v>
      </c>
    </row>
    <row r="35" spans="1:11" x14ac:dyDescent="0.2">
      <c r="A35" s="1473">
        <v>1910</v>
      </c>
      <c r="B35" s="363" t="s">
        <v>392</v>
      </c>
      <c r="C35" s="356"/>
      <c r="D35" s="411"/>
      <c r="E35" s="412">
        <f t="shared" si="0"/>
        <v>0</v>
      </c>
      <c r="F35" s="374">
        <f>IF(D35=0,+'App.2-CC_NewCGAAP_DepExp_2013'!K35,+'App.2-CC_NewCGAAP_DepExp_2013'!K35+((C35*0.5)/D35))</f>
        <v>0</v>
      </c>
      <c r="G35" s="356"/>
      <c r="H35" s="374">
        <f t="shared" si="1"/>
        <v>0</v>
      </c>
      <c r="I35" s="374">
        <f t="shared" si="2"/>
        <v>0</v>
      </c>
      <c r="J35" s="356"/>
      <c r="K35" s="374">
        <f>IF(ISERROR(+I35+'App.2-CC_NewCGAAP_DepExp_2013'!K35-J35), 0, +I35+'App.2-CC_NewCGAAP_DepExp_2013'!K35-J35)</f>
        <v>0</v>
      </c>
    </row>
    <row r="36" spans="1:11" x14ac:dyDescent="0.2">
      <c r="A36" s="1473">
        <v>1915</v>
      </c>
      <c r="B36" s="363" t="s">
        <v>293</v>
      </c>
      <c r="C36" s="356"/>
      <c r="D36" s="411"/>
      <c r="E36" s="412">
        <f t="shared" si="0"/>
        <v>0</v>
      </c>
      <c r="F36" s="374">
        <f>IF(D36=0,+'App.2-CC_NewCGAAP_DepExp_2013'!K36,+'App.2-CC_NewCGAAP_DepExp_2013'!K36+((C36*0.5)/D36))</f>
        <v>0</v>
      </c>
      <c r="G36" s="356"/>
      <c r="H36" s="374">
        <f t="shared" si="1"/>
        <v>0</v>
      </c>
      <c r="I36" s="374">
        <f t="shared" si="2"/>
        <v>0</v>
      </c>
      <c r="J36" s="356"/>
      <c r="K36" s="374">
        <f>IF(ISERROR(+I36+'App.2-CC_NewCGAAP_DepExp_2013'!K36-J36), 0, +I36+'App.2-CC_NewCGAAP_DepExp_2013'!K36-J36)</f>
        <v>0</v>
      </c>
    </row>
    <row r="37" spans="1:11" x14ac:dyDescent="0.2">
      <c r="A37" s="1473">
        <v>1915</v>
      </c>
      <c r="B37" s="363" t="s">
        <v>294</v>
      </c>
      <c r="C37" s="356"/>
      <c r="D37" s="411"/>
      <c r="E37" s="412">
        <f t="shared" si="0"/>
        <v>0</v>
      </c>
      <c r="F37" s="374">
        <f>IF(D37=0,+'App.2-CC_NewCGAAP_DepExp_2013'!K37,+'App.2-CC_NewCGAAP_DepExp_2013'!K37+((C37*0.5)/D37))</f>
        <v>0</v>
      </c>
      <c r="G37" s="356"/>
      <c r="H37" s="374">
        <f t="shared" si="1"/>
        <v>0</v>
      </c>
      <c r="I37" s="374">
        <f t="shared" si="2"/>
        <v>0</v>
      </c>
      <c r="J37" s="356"/>
      <c r="K37" s="374">
        <f>IF(ISERROR(+I37+'App.2-CC_NewCGAAP_DepExp_2013'!K37-J37), 0, +I37+'App.2-CC_NewCGAAP_DepExp_2013'!K37-J37)</f>
        <v>0</v>
      </c>
    </row>
    <row r="38" spans="1:11" x14ac:dyDescent="0.2">
      <c r="A38" s="1473">
        <v>1920</v>
      </c>
      <c r="B38" s="363" t="s">
        <v>295</v>
      </c>
      <c r="C38" s="356"/>
      <c r="D38" s="411"/>
      <c r="E38" s="412">
        <f t="shared" si="0"/>
        <v>0</v>
      </c>
      <c r="F38" s="374">
        <f>IF(D38=0,+'App.2-CC_NewCGAAP_DepExp_2013'!K38,+'App.2-CC_NewCGAAP_DepExp_2013'!K38+((C38*0.5)/D38))</f>
        <v>0</v>
      </c>
      <c r="G38" s="356"/>
      <c r="H38" s="374">
        <f t="shared" si="1"/>
        <v>0</v>
      </c>
      <c r="I38" s="374">
        <f t="shared" si="2"/>
        <v>0</v>
      </c>
      <c r="J38" s="356"/>
      <c r="K38" s="374">
        <f>IF(ISERROR(+I38+'App.2-CC_NewCGAAP_DepExp_2013'!K38-J38), 0, +I38+'App.2-CC_NewCGAAP_DepExp_2013'!K38-J38)</f>
        <v>0</v>
      </c>
    </row>
    <row r="39" spans="1:11" x14ac:dyDescent="0.2">
      <c r="A39" s="368">
        <v>1920</v>
      </c>
      <c r="B39" s="355" t="s">
        <v>297</v>
      </c>
      <c r="C39" s="356"/>
      <c r="D39" s="411"/>
      <c r="E39" s="412">
        <f t="shared" si="0"/>
        <v>0</v>
      </c>
      <c r="F39" s="374">
        <f>IF(D39=0,+'App.2-CC_NewCGAAP_DepExp_2013'!K39,+'App.2-CC_NewCGAAP_DepExp_2013'!K39+((C39*0.5)/D39))</f>
        <v>0</v>
      </c>
      <c r="G39" s="356"/>
      <c r="H39" s="374">
        <f t="shared" si="1"/>
        <v>0</v>
      </c>
      <c r="I39" s="374">
        <f t="shared" si="2"/>
        <v>0</v>
      </c>
      <c r="J39" s="356"/>
      <c r="K39" s="374">
        <f>IF(ISERROR(+I39+'App.2-CC_NewCGAAP_DepExp_2013'!K39-J39), 0, +I39+'App.2-CC_NewCGAAP_DepExp_2013'!K39-J39)</f>
        <v>0</v>
      </c>
    </row>
    <row r="40" spans="1:11" x14ac:dyDescent="0.2">
      <c r="A40" s="368">
        <v>1920</v>
      </c>
      <c r="B40" s="355" t="s">
        <v>296</v>
      </c>
      <c r="C40" s="356"/>
      <c r="D40" s="411"/>
      <c r="E40" s="412">
        <f t="shared" si="0"/>
        <v>0</v>
      </c>
      <c r="F40" s="374">
        <f>IF(D40=0,+'App.2-CC_NewCGAAP_DepExp_2013'!K40,+'App.2-CC_NewCGAAP_DepExp_2013'!K40+((C40*0.5)/D40))</f>
        <v>0</v>
      </c>
      <c r="G40" s="356"/>
      <c r="H40" s="374">
        <f t="shared" si="1"/>
        <v>0</v>
      </c>
      <c r="I40" s="374">
        <f t="shared" si="2"/>
        <v>0</v>
      </c>
      <c r="J40" s="356"/>
      <c r="K40" s="374">
        <f>IF(ISERROR(+I40+'App.2-CC_NewCGAAP_DepExp_2013'!K40-J40), 0, +I40+'App.2-CC_NewCGAAP_DepExp_2013'!K40-J40)</f>
        <v>0</v>
      </c>
    </row>
    <row r="41" spans="1:11" x14ac:dyDescent="0.2">
      <c r="A41" s="1473">
        <v>1930</v>
      </c>
      <c r="B41" s="363" t="s">
        <v>379</v>
      </c>
      <c r="C41" s="356"/>
      <c r="D41" s="411"/>
      <c r="E41" s="412">
        <f t="shared" si="0"/>
        <v>0</v>
      </c>
      <c r="F41" s="374">
        <f>IF(D41=0,+'App.2-CC_NewCGAAP_DepExp_2013'!K41,+'App.2-CC_NewCGAAP_DepExp_2013'!K41+((C41*0.5)/D41))</f>
        <v>0</v>
      </c>
      <c r="G41" s="356"/>
      <c r="H41" s="374">
        <f t="shared" si="1"/>
        <v>0</v>
      </c>
      <c r="I41" s="374">
        <f t="shared" si="2"/>
        <v>0</v>
      </c>
      <c r="J41" s="356"/>
      <c r="K41" s="374">
        <f>IF(ISERROR(+I41+'App.2-CC_NewCGAAP_DepExp_2013'!K41-J41), 0, +I41+'App.2-CC_NewCGAAP_DepExp_2013'!K41-J41)</f>
        <v>0</v>
      </c>
    </row>
    <row r="42" spans="1:11" x14ac:dyDescent="0.2">
      <c r="A42" s="1473">
        <v>1935</v>
      </c>
      <c r="B42" s="363" t="s">
        <v>380</v>
      </c>
      <c r="C42" s="356"/>
      <c r="D42" s="411"/>
      <c r="E42" s="412">
        <f t="shared" si="0"/>
        <v>0</v>
      </c>
      <c r="F42" s="374">
        <f>IF(D42=0,+'App.2-CC_NewCGAAP_DepExp_2013'!K42,+'App.2-CC_NewCGAAP_DepExp_2013'!K42+((C42*0.5)/D42))</f>
        <v>0</v>
      </c>
      <c r="G42" s="356"/>
      <c r="H42" s="374">
        <f t="shared" si="1"/>
        <v>0</v>
      </c>
      <c r="I42" s="374">
        <f t="shared" si="2"/>
        <v>0</v>
      </c>
      <c r="J42" s="356"/>
      <c r="K42" s="374">
        <f>IF(ISERROR(+I42+'App.2-CC_NewCGAAP_DepExp_2013'!K42-J42), 0, +I42+'App.2-CC_NewCGAAP_DepExp_2013'!K42-J42)</f>
        <v>0</v>
      </c>
    </row>
    <row r="43" spans="1:11" x14ac:dyDescent="0.2">
      <c r="A43" s="1473">
        <v>1940</v>
      </c>
      <c r="B43" s="363" t="s">
        <v>381</v>
      </c>
      <c r="C43" s="356"/>
      <c r="D43" s="411"/>
      <c r="E43" s="412">
        <f t="shared" si="0"/>
        <v>0</v>
      </c>
      <c r="F43" s="374">
        <f>IF(D43=0,+'App.2-CC_NewCGAAP_DepExp_2013'!K43,+'App.2-CC_NewCGAAP_DepExp_2013'!K43+((C43*0.5)/D43))</f>
        <v>0</v>
      </c>
      <c r="G43" s="356"/>
      <c r="H43" s="374">
        <f t="shared" si="1"/>
        <v>0</v>
      </c>
      <c r="I43" s="374">
        <f t="shared" si="2"/>
        <v>0</v>
      </c>
      <c r="J43" s="356"/>
      <c r="K43" s="374">
        <f>IF(ISERROR(+I43+'App.2-CC_NewCGAAP_DepExp_2013'!K43-J43), 0, +I43+'App.2-CC_NewCGAAP_DepExp_2013'!K43-J43)</f>
        <v>0</v>
      </c>
    </row>
    <row r="44" spans="1:11" x14ac:dyDescent="0.2">
      <c r="A44" s="1473">
        <v>1945</v>
      </c>
      <c r="B44" s="363" t="s">
        <v>382</v>
      </c>
      <c r="C44" s="356"/>
      <c r="D44" s="411"/>
      <c r="E44" s="412">
        <f t="shared" si="0"/>
        <v>0</v>
      </c>
      <c r="F44" s="374">
        <f>IF(D44=0,+'App.2-CC_NewCGAAP_DepExp_2013'!K44,+'App.2-CC_NewCGAAP_DepExp_2013'!K44+((C44*0.5)/D44))</f>
        <v>0</v>
      </c>
      <c r="G44" s="356"/>
      <c r="H44" s="374">
        <f t="shared" si="1"/>
        <v>0</v>
      </c>
      <c r="I44" s="374">
        <f t="shared" si="2"/>
        <v>0</v>
      </c>
      <c r="J44" s="356"/>
      <c r="K44" s="374">
        <f>IF(ISERROR(+I44+'App.2-CC_NewCGAAP_DepExp_2013'!K44-J44), 0, +I44+'App.2-CC_NewCGAAP_DepExp_2013'!K44-J44)</f>
        <v>0</v>
      </c>
    </row>
    <row r="45" spans="1:11" x14ac:dyDescent="0.2">
      <c r="A45" s="1473">
        <v>1950</v>
      </c>
      <c r="B45" s="363" t="s">
        <v>298</v>
      </c>
      <c r="C45" s="356"/>
      <c r="D45" s="411"/>
      <c r="E45" s="412">
        <f t="shared" si="0"/>
        <v>0</v>
      </c>
      <c r="F45" s="374">
        <f>IF(D45=0,+'App.2-CC_NewCGAAP_DepExp_2013'!K45,+'App.2-CC_NewCGAAP_DepExp_2013'!K45+((C45*0.5)/D45))</f>
        <v>0</v>
      </c>
      <c r="G45" s="356"/>
      <c r="H45" s="374">
        <f t="shared" si="1"/>
        <v>0</v>
      </c>
      <c r="I45" s="374">
        <f t="shared" si="2"/>
        <v>0</v>
      </c>
      <c r="J45" s="356"/>
      <c r="K45" s="374">
        <f>IF(ISERROR(+I45+'App.2-CC_NewCGAAP_DepExp_2013'!K45-J45), 0, +I45+'App.2-CC_NewCGAAP_DepExp_2013'!K45-J45)</f>
        <v>0</v>
      </c>
    </row>
    <row r="46" spans="1:11" x14ac:dyDescent="0.2">
      <c r="A46" s="1473">
        <v>1955</v>
      </c>
      <c r="B46" s="363" t="s">
        <v>383</v>
      </c>
      <c r="C46" s="356"/>
      <c r="D46" s="411"/>
      <c r="E46" s="412">
        <f t="shared" si="0"/>
        <v>0</v>
      </c>
      <c r="F46" s="374">
        <f>IF(D46=0,+'App.2-CC_NewCGAAP_DepExp_2013'!K46,+'App.2-CC_NewCGAAP_DepExp_2013'!K46+((C46*0.5)/D46))</f>
        <v>0</v>
      </c>
      <c r="G46" s="356"/>
      <c r="H46" s="374">
        <f t="shared" si="1"/>
        <v>0</v>
      </c>
      <c r="I46" s="374">
        <f t="shared" si="2"/>
        <v>0</v>
      </c>
      <c r="J46" s="356"/>
      <c r="K46" s="374">
        <f>IF(ISERROR(+I46+'App.2-CC_NewCGAAP_DepExp_2013'!K46-J46), 0, +I46+'App.2-CC_NewCGAAP_DepExp_2013'!K46-J46)</f>
        <v>0</v>
      </c>
    </row>
    <row r="47" spans="1:11" x14ac:dyDescent="0.2">
      <c r="A47" s="364">
        <v>1955</v>
      </c>
      <c r="B47" s="367" t="s">
        <v>299</v>
      </c>
      <c r="C47" s="356"/>
      <c r="D47" s="411"/>
      <c r="E47" s="412">
        <f t="shared" si="0"/>
        <v>0</v>
      </c>
      <c r="F47" s="374">
        <f>IF(D47=0,+'App.2-CC_NewCGAAP_DepExp_2013'!K47,+'App.2-CC_NewCGAAP_DepExp_2013'!K47+((C47*0.5)/D47))</f>
        <v>0</v>
      </c>
      <c r="G47" s="356"/>
      <c r="H47" s="374">
        <f t="shared" si="1"/>
        <v>0</v>
      </c>
      <c r="I47" s="374">
        <f t="shared" si="2"/>
        <v>0</v>
      </c>
      <c r="J47" s="356"/>
      <c r="K47" s="374">
        <f>IF(ISERROR(+I47+'App.2-CC_NewCGAAP_DepExp_2013'!K47-J47), 0, +I47+'App.2-CC_NewCGAAP_DepExp_2013'!K47-J47)</f>
        <v>0</v>
      </c>
    </row>
    <row r="48" spans="1:11" x14ac:dyDescent="0.2">
      <c r="A48" s="368">
        <v>1960</v>
      </c>
      <c r="B48" s="355" t="s">
        <v>300</v>
      </c>
      <c r="C48" s="356"/>
      <c r="D48" s="411"/>
      <c r="E48" s="412">
        <f t="shared" si="0"/>
        <v>0</v>
      </c>
      <c r="F48" s="374">
        <f>IF(D48=0,+'App.2-CC_NewCGAAP_DepExp_2013'!K48,+'App.2-CC_NewCGAAP_DepExp_2013'!K48+((C48*0.5)/D48))</f>
        <v>0</v>
      </c>
      <c r="G48" s="356"/>
      <c r="H48" s="374">
        <f t="shared" si="1"/>
        <v>0</v>
      </c>
      <c r="I48" s="374">
        <f t="shared" si="2"/>
        <v>0</v>
      </c>
      <c r="J48" s="356"/>
      <c r="K48" s="374">
        <f>IF(ISERROR(+I48+'App.2-CC_NewCGAAP_DepExp_2013'!K48-J48), 0, +I48+'App.2-CC_NewCGAAP_DepExp_2013'!K48-J48)</f>
        <v>0</v>
      </c>
    </row>
    <row r="49" spans="1:15" x14ac:dyDescent="0.2">
      <c r="A49" s="364">
        <v>1970</v>
      </c>
      <c r="B49" s="417" t="s">
        <v>649</v>
      </c>
      <c r="C49" s="356"/>
      <c r="D49" s="411"/>
      <c r="E49" s="412">
        <f t="shared" si="0"/>
        <v>0</v>
      </c>
      <c r="F49" s="374">
        <f>IF(D49=0,+'App.2-CC_NewCGAAP_DepExp_2013'!K49,+'App.2-CC_NewCGAAP_DepExp_2013'!K49+((C49*0.5)/D49))</f>
        <v>0</v>
      </c>
      <c r="G49" s="356"/>
      <c r="H49" s="374">
        <f t="shared" si="1"/>
        <v>0</v>
      </c>
      <c r="I49" s="374">
        <f t="shared" si="2"/>
        <v>0</v>
      </c>
      <c r="J49" s="356"/>
      <c r="K49" s="374">
        <f>IF(ISERROR(+I49+'App.2-CC_NewCGAAP_DepExp_2013'!K49-J49), 0, +I49+'App.2-CC_NewCGAAP_DepExp_2013'!K49-J49)</f>
        <v>0</v>
      </c>
    </row>
    <row r="50" spans="1:15" x14ac:dyDescent="0.2">
      <c r="A50" s="1473">
        <v>1975</v>
      </c>
      <c r="B50" s="363" t="s">
        <v>384</v>
      </c>
      <c r="C50" s="356"/>
      <c r="D50" s="411"/>
      <c r="E50" s="412">
        <f t="shared" si="0"/>
        <v>0</v>
      </c>
      <c r="F50" s="374">
        <f>IF(D50=0,+'App.2-CC_NewCGAAP_DepExp_2013'!K50,+'App.2-CC_NewCGAAP_DepExp_2013'!K50+((C50*0.5)/D50))</f>
        <v>0</v>
      </c>
      <c r="G50" s="356"/>
      <c r="H50" s="374">
        <f t="shared" si="1"/>
        <v>0</v>
      </c>
      <c r="I50" s="374">
        <f t="shared" si="2"/>
        <v>0</v>
      </c>
      <c r="J50" s="356"/>
      <c r="K50" s="374">
        <f>IF(ISERROR(+I50+'App.2-CC_NewCGAAP_DepExp_2013'!K50-J50), 0, +I50+'App.2-CC_NewCGAAP_DepExp_2013'!K50-J50)</f>
        <v>0</v>
      </c>
    </row>
    <row r="51" spans="1:15" x14ac:dyDescent="0.2">
      <c r="A51" s="1473">
        <v>1980</v>
      </c>
      <c r="B51" s="363" t="s">
        <v>385</v>
      </c>
      <c r="C51" s="356"/>
      <c r="D51" s="411"/>
      <c r="E51" s="412">
        <f t="shared" si="0"/>
        <v>0</v>
      </c>
      <c r="F51" s="374">
        <f>IF(D51=0,+'App.2-CC_NewCGAAP_DepExp_2013'!K51,+'App.2-CC_NewCGAAP_DepExp_2013'!K51+((C51*0.5)/D51))</f>
        <v>0</v>
      </c>
      <c r="G51" s="356"/>
      <c r="H51" s="374">
        <f t="shared" si="1"/>
        <v>0</v>
      </c>
      <c r="I51" s="374">
        <f t="shared" si="2"/>
        <v>0</v>
      </c>
      <c r="J51" s="356"/>
      <c r="K51" s="374">
        <f>IF(ISERROR(+I51+'App.2-CC_NewCGAAP_DepExp_2013'!K51-J51), 0, +I51+'App.2-CC_NewCGAAP_DepExp_2013'!K51-J51)</f>
        <v>0</v>
      </c>
    </row>
    <row r="52" spans="1:15" x14ac:dyDescent="0.2">
      <c r="A52" s="1473">
        <v>1985</v>
      </c>
      <c r="B52" s="363" t="s">
        <v>386</v>
      </c>
      <c r="C52" s="356"/>
      <c r="D52" s="411"/>
      <c r="E52" s="412">
        <f t="shared" si="0"/>
        <v>0</v>
      </c>
      <c r="F52" s="374">
        <f>IF(D52=0,+'App.2-CC_NewCGAAP_DepExp_2013'!K52,+'App.2-CC_NewCGAAP_DepExp_2013'!K52+((C52*0.5)/D52))</f>
        <v>0</v>
      </c>
      <c r="G52" s="356"/>
      <c r="H52" s="374">
        <f t="shared" si="1"/>
        <v>0</v>
      </c>
      <c r="I52" s="374">
        <f t="shared" si="2"/>
        <v>0</v>
      </c>
      <c r="J52" s="356"/>
      <c r="K52" s="374">
        <f>IF(ISERROR(+I52+'App.2-CC_NewCGAAP_DepExp_2013'!K52-J52), 0, +I52+'App.2-CC_NewCGAAP_DepExp_2013'!K52-J52)</f>
        <v>0</v>
      </c>
    </row>
    <row r="53" spans="1:15" x14ac:dyDescent="0.2">
      <c r="A53" s="1473">
        <v>1990</v>
      </c>
      <c r="B53" s="1475" t="s">
        <v>650</v>
      </c>
      <c r="C53" s="356"/>
      <c r="D53" s="411"/>
      <c r="E53" s="412">
        <f t="shared" si="0"/>
        <v>0</v>
      </c>
      <c r="F53" s="374">
        <f>IF(D53=0,+'App.2-CC_NewCGAAP_DepExp_2013'!K53,+'App.2-CC_NewCGAAP_DepExp_2013'!K53+((C53*0.5)/D53))</f>
        <v>0</v>
      </c>
      <c r="G53" s="356"/>
      <c r="H53" s="374">
        <f t="shared" si="1"/>
        <v>0</v>
      </c>
      <c r="I53" s="374">
        <f t="shared" si="2"/>
        <v>0</v>
      </c>
      <c r="J53" s="356"/>
      <c r="K53" s="374">
        <f>IF(ISERROR(+I53+'App.2-CC_NewCGAAP_DepExp_2013'!K53-J53), 0, +I53+'App.2-CC_NewCGAAP_DepExp_2013'!K53-J53)</f>
        <v>0</v>
      </c>
    </row>
    <row r="54" spans="1:15" ht="13.5" thickBot="1" x14ac:dyDescent="0.25">
      <c r="A54" s="1473">
        <v>1995</v>
      </c>
      <c r="B54" s="363" t="s">
        <v>387</v>
      </c>
      <c r="C54" s="420"/>
      <c r="D54" s="420"/>
      <c r="E54" s="467">
        <f>IF(D54=0,0,1/D54)</f>
        <v>0</v>
      </c>
      <c r="F54" s="446">
        <f>IF(D54=0,+'App.2-CC_NewCGAAP_DepExp_2013'!K54,+'App.2-CC_NewCGAAP_DepExp_2013'!K54+((C54*0.5)/D54))</f>
        <v>0</v>
      </c>
      <c r="G54" s="418"/>
      <c r="H54" s="446">
        <f t="shared" si="1"/>
        <v>0</v>
      </c>
      <c r="I54" s="446">
        <f t="shared" si="2"/>
        <v>0</v>
      </c>
      <c r="J54" s="418"/>
      <c r="K54" s="446">
        <f>IF(ISERROR(+I54+'App.2-CC_NewCGAAP_DepExp_2013'!K54-J54), 0, +I54+'App.2-CC_NewCGAAP_DepExp_2013'!K54-J54)</f>
        <v>0</v>
      </c>
    </row>
    <row r="55" spans="1:15" ht="14.25" thickTop="1" thickBot="1" x14ac:dyDescent="0.25">
      <c r="A55" s="461"/>
      <c r="B55" s="462" t="s">
        <v>388</v>
      </c>
      <c r="C55" s="468">
        <f>SUM(C17:C54)</f>
        <v>0</v>
      </c>
      <c r="D55" s="469"/>
      <c r="E55" s="470"/>
      <c r="F55" s="471">
        <f t="shared" ref="F55:K55" si="3">SUM(F17:F54)</f>
        <v>0</v>
      </c>
      <c r="G55" s="447">
        <f t="shared" si="3"/>
        <v>0</v>
      </c>
      <c r="H55" s="447">
        <f t="shared" si="3"/>
        <v>0</v>
      </c>
      <c r="I55" s="447">
        <f t="shared" si="3"/>
        <v>0</v>
      </c>
      <c r="J55" s="447">
        <f t="shared" si="3"/>
        <v>0</v>
      </c>
      <c r="K55" s="447">
        <f t="shared" si="3"/>
        <v>0</v>
      </c>
    </row>
    <row r="56" spans="1:15" ht="17.25" customHeight="1" x14ac:dyDescent="0.2">
      <c r="B56" s="472" t="s">
        <v>654</v>
      </c>
      <c r="C56" s="473"/>
      <c r="D56" s="473"/>
      <c r="E56" s="473"/>
      <c r="F56" s="356"/>
    </row>
    <row r="57" spans="1:15" ht="17.25" customHeight="1" x14ac:dyDescent="0.2">
      <c r="B57" s="451" t="s">
        <v>1610</v>
      </c>
      <c r="C57" s="473"/>
      <c r="D57" s="473"/>
      <c r="E57" s="473"/>
      <c r="F57" s="374">
        <f>+F56+F55</f>
        <v>0</v>
      </c>
    </row>
    <row r="58" spans="1:15" ht="17.25" customHeight="1" x14ac:dyDescent="0.2">
      <c r="B58" s="451"/>
      <c r="C58" s="473"/>
      <c r="D58" s="473"/>
      <c r="E58" s="473"/>
      <c r="F58" s="452"/>
    </row>
    <row r="59" spans="1:15" x14ac:dyDescent="0.2">
      <c r="A59" s="334" t="s">
        <v>13</v>
      </c>
      <c r="H59" s="158"/>
    </row>
    <row r="60" spans="1:15" ht="27" customHeight="1" x14ac:dyDescent="0.2">
      <c r="A60" s="466">
        <v>1</v>
      </c>
      <c r="B60" s="1984" t="s">
        <v>524</v>
      </c>
      <c r="C60" s="1984"/>
      <c r="D60" s="1984"/>
      <c r="E60" s="1984"/>
      <c r="F60" s="1984"/>
      <c r="G60" s="1984"/>
      <c r="H60" s="1984"/>
      <c r="I60" s="1984"/>
      <c r="J60" s="1984"/>
      <c r="K60" s="1984"/>
    </row>
    <row r="61" spans="1:15" x14ac:dyDescent="0.2">
      <c r="A61" s="466">
        <v>2</v>
      </c>
      <c r="B61" s="1984" t="s">
        <v>1498</v>
      </c>
      <c r="C61" s="1984"/>
      <c r="D61" s="1984"/>
      <c r="E61" s="1984"/>
      <c r="F61" s="1984"/>
      <c r="G61" s="1984"/>
      <c r="H61" s="1984"/>
      <c r="I61" s="1984"/>
      <c r="J61" s="1984"/>
      <c r="K61" s="1984"/>
    </row>
    <row r="62" spans="1:15" ht="27.75" customHeight="1" x14ac:dyDescent="0.2">
      <c r="A62" s="431">
        <v>3</v>
      </c>
      <c r="B62" s="2001" t="s">
        <v>614</v>
      </c>
      <c r="C62" s="2001"/>
      <c r="D62" s="2001"/>
      <c r="E62" s="2001"/>
      <c r="F62" s="2001"/>
      <c r="G62" s="2001"/>
      <c r="H62" s="2001"/>
      <c r="I62" s="2001"/>
      <c r="J62" s="2001"/>
      <c r="K62" s="2001"/>
      <c r="L62" s="1478"/>
      <c r="M62" s="1478"/>
      <c r="N62" s="1478"/>
      <c r="O62" s="1478"/>
    </row>
    <row r="63" spans="1:15" x14ac:dyDescent="0.2">
      <c r="A63" s="431"/>
      <c r="B63" s="1472"/>
      <c r="C63" s="1472"/>
      <c r="D63" s="1472"/>
      <c r="E63" s="1472"/>
      <c r="F63" s="1472"/>
      <c r="G63" s="1472"/>
      <c r="H63" s="1472"/>
      <c r="I63" s="1472"/>
      <c r="J63" s="1472"/>
      <c r="K63" s="1472"/>
      <c r="L63" s="1478"/>
      <c r="M63" s="1478"/>
      <c r="N63" s="1478"/>
      <c r="O63" s="1478"/>
    </row>
    <row r="64" spans="1:15" x14ac:dyDescent="0.2">
      <c r="A64" s="334" t="s">
        <v>306</v>
      </c>
      <c r="B64" s="2069" t="s">
        <v>257</v>
      </c>
      <c r="C64" s="2069"/>
      <c r="D64" s="2069"/>
      <c r="E64" s="2069"/>
      <c r="F64" s="2069"/>
      <c r="G64" s="2069"/>
      <c r="H64" s="2069"/>
      <c r="I64" s="2069"/>
      <c r="J64" s="2069"/>
      <c r="K64" s="2069"/>
    </row>
    <row r="65" spans="2:13" ht="12.75" customHeight="1" x14ac:dyDescent="0.2">
      <c r="B65" s="2069"/>
      <c r="C65" s="2069"/>
      <c r="D65" s="2069"/>
      <c r="E65" s="2069"/>
      <c r="F65" s="2069"/>
      <c r="G65" s="2069"/>
      <c r="H65" s="2069"/>
      <c r="I65" s="2069"/>
      <c r="J65" s="2069"/>
      <c r="K65" s="2069"/>
      <c r="L65" s="432"/>
      <c r="M65" s="432"/>
    </row>
    <row r="66" spans="2:13" x14ac:dyDescent="0.2">
      <c r="L66" s="432"/>
      <c r="M66" s="432"/>
    </row>
    <row r="67" spans="2:13" x14ac:dyDescent="0.2">
      <c r="L67" s="432"/>
      <c r="M67" s="432"/>
    </row>
    <row r="73" spans="2:13" x14ac:dyDescent="0.2">
      <c r="L73" s="1480"/>
    </row>
    <row r="74" spans="2:13" x14ac:dyDescent="0.2">
      <c r="E74" s="158"/>
      <c r="F74" s="158"/>
      <c r="G74" s="158"/>
      <c r="H74" s="158"/>
      <c r="I74" s="158"/>
      <c r="J74" s="158"/>
      <c r="K74" s="158"/>
      <c r="L74" s="158"/>
      <c r="M74" s="158"/>
    </row>
    <row r="75" spans="2:13" x14ac:dyDescent="0.2">
      <c r="K75" s="158"/>
      <c r="L75" s="158"/>
      <c r="M75" s="158"/>
    </row>
    <row r="76" spans="2:13" x14ac:dyDescent="0.2">
      <c r="K76" s="158"/>
      <c r="L76" s="158"/>
      <c r="M76" s="158"/>
    </row>
    <row r="77" spans="2:13" x14ac:dyDescent="0.2">
      <c r="K77" s="158"/>
      <c r="L77" s="158"/>
      <c r="M77" s="158"/>
    </row>
    <row r="79" spans="2:13" x14ac:dyDescent="0.2">
      <c r="E79" s="158"/>
    </row>
    <row r="80" spans="2:13" x14ac:dyDescent="0.2">
      <c r="E80" s="158"/>
    </row>
  </sheetData>
  <mergeCells count="11">
    <mergeCell ref="B60:K60"/>
    <mergeCell ref="B61:K61"/>
    <mergeCell ref="B62:K62"/>
    <mergeCell ref="B64:K65"/>
    <mergeCell ref="A9:K9"/>
    <mergeCell ref="A10:K10"/>
    <mergeCell ref="A11:K11"/>
    <mergeCell ref="A15:A16"/>
    <mergeCell ref="B15:B16"/>
    <mergeCell ref="G15:G16"/>
    <mergeCell ref="J15:J16"/>
  </mergeCells>
  <dataValidations count="1">
    <dataValidation allowBlank="1" showInputMessage="1" showErrorMessage="1" promptTitle="Date Format" prompt="E.g:  &quot;August 1, 2011&quot;" sqref="H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H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H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H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H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H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H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H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H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H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H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H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H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H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H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H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dataValidations>
  <printOptions horizontalCentered="1"/>
  <pageMargins left="0.74803149606299213" right="0.74803149606299213" top="0.70866141732283472" bottom="0.39370078740157483" header="0.39370078740157483" footer="0.27559055118110237"/>
  <pageSetup scale="5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K70"/>
  <sheetViews>
    <sheetView showGridLines="0" zoomScaleNormal="100" workbookViewId="0"/>
  </sheetViews>
  <sheetFormatPr defaultRowHeight="12.75" x14ac:dyDescent="0.2"/>
  <cols>
    <col min="1" max="1" width="9.140625" style="140"/>
    <col min="2" max="2" width="41.140625" style="140" customWidth="1"/>
    <col min="3" max="3" width="10" style="140" customWidth="1"/>
    <col min="4" max="4" width="10.140625" style="140" customWidth="1"/>
    <col min="5" max="5" width="12.28515625" style="140" customWidth="1"/>
    <col min="6" max="6" width="15.7109375" style="140" customWidth="1"/>
    <col min="7" max="7" width="17.7109375" style="140" customWidth="1"/>
    <col min="8" max="8" width="12.7109375" style="140" customWidth="1"/>
    <col min="9" max="9" width="14.42578125" style="140" customWidth="1"/>
    <col min="10" max="10" width="16.85546875" style="140" customWidth="1"/>
    <col min="11" max="11" width="13.42578125" style="140" customWidth="1"/>
    <col min="12" max="254" width="9.140625" style="140"/>
    <col min="255" max="255" width="2.7109375" style="140" customWidth="1"/>
    <col min="256" max="256" width="9.140625" style="140"/>
    <col min="257" max="257" width="40.28515625" style="140" bestFit="1" customWidth="1"/>
    <col min="258" max="258" width="10" style="140" customWidth="1"/>
    <col min="259" max="259" width="10.140625" style="140" customWidth="1"/>
    <col min="260" max="260" width="12.28515625" style="140" customWidth="1"/>
    <col min="261" max="261" width="15.7109375" style="140" customWidth="1"/>
    <col min="262" max="262" width="12.85546875" style="140" customWidth="1"/>
    <col min="263" max="263" width="12.7109375" style="140" customWidth="1"/>
    <col min="264" max="264" width="12.85546875" style="140" customWidth="1"/>
    <col min="265" max="265" width="14.42578125" style="140" customWidth="1"/>
    <col min="266" max="510" width="9.140625" style="140"/>
    <col min="511" max="511" width="2.7109375" style="140" customWidth="1"/>
    <col min="512" max="512" width="9.140625" style="140"/>
    <col min="513" max="513" width="40.28515625" style="140" bestFit="1" customWidth="1"/>
    <col min="514" max="514" width="10" style="140" customWidth="1"/>
    <col min="515" max="515" width="10.140625" style="140" customWidth="1"/>
    <col min="516" max="516" width="12.28515625" style="140" customWidth="1"/>
    <col min="517" max="517" width="15.7109375" style="140" customWidth="1"/>
    <col min="518" max="518" width="12.85546875" style="140" customWidth="1"/>
    <col min="519" max="519" width="12.7109375" style="140" customWidth="1"/>
    <col min="520" max="520" width="12.85546875" style="140" customWidth="1"/>
    <col min="521" max="521" width="14.42578125" style="140" customWidth="1"/>
    <col min="522" max="766" width="9.140625" style="140"/>
    <col min="767" max="767" width="2.7109375" style="140" customWidth="1"/>
    <col min="768" max="768" width="9.140625" style="140"/>
    <col min="769" max="769" width="40.28515625" style="140" bestFit="1" customWidth="1"/>
    <col min="770" max="770" width="10" style="140" customWidth="1"/>
    <col min="771" max="771" width="10.140625" style="140" customWidth="1"/>
    <col min="772" max="772" width="12.28515625" style="140" customWidth="1"/>
    <col min="773" max="773" width="15.7109375" style="140" customWidth="1"/>
    <col min="774" max="774" width="12.85546875" style="140" customWidth="1"/>
    <col min="775" max="775" width="12.7109375" style="140" customWidth="1"/>
    <col min="776" max="776" width="12.85546875" style="140" customWidth="1"/>
    <col min="777" max="777" width="14.42578125" style="140" customWidth="1"/>
    <col min="778" max="1022" width="9.140625" style="140"/>
    <col min="1023" max="1023" width="2.7109375" style="140" customWidth="1"/>
    <col min="1024" max="1024" width="9.140625" style="140"/>
    <col min="1025" max="1025" width="40.28515625" style="140" bestFit="1" customWidth="1"/>
    <col min="1026" max="1026" width="10" style="140" customWidth="1"/>
    <col min="1027" max="1027" width="10.140625" style="140" customWidth="1"/>
    <col min="1028" max="1028" width="12.28515625" style="140" customWidth="1"/>
    <col min="1029" max="1029" width="15.7109375" style="140" customWidth="1"/>
    <col min="1030" max="1030" width="12.85546875" style="140" customWidth="1"/>
    <col min="1031" max="1031" width="12.7109375" style="140" customWidth="1"/>
    <col min="1032" max="1032" width="12.85546875" style="140" customWidth="1"/>
    <col min="1033" max="1033" width="14.42578125" style="140" customWidth="1"/>
    <col min="1034" max="1278" width="9.140625" style="140"/>
    <col min="1279" max="1279" width="2.7109375" style="140" customWidth="1"/>
    <col min="1280" max="1280" width="9.140625" style="140"/>
    <col min="1281" max="1281" width="40.28515625" style="140" bestFit="1" customWidth="1"/>
    <col min="1282" max="1282" width="10" style="140" customWidth="1"/>
    <col min="1283" max="1283" width="10.140625" style="140" customWidth="1"/>
    <col min="1284" max="1284" width="12.28515625" style="140" customWidth="1"/>
    <col min="1285" max="1285" width="15.7109375" style="140" customWidth="1"/>
    <col min="1286" max="1286" width="12.85546875" style="140" customWidth="1"/>
    <col min="1287" max="1287" width="12.7109375" style="140" customWidth="1"/>
    <col min="1288" max="1288" width="12.85546875" style="140" customWidth="1"/>
    <col min="1289" max="1289" width="14.42578125" style="140" customWidth="1"/>
    <col min="1290" max="1534" width="9.140625" style="140"/>
    <col min="1535" max="1535" width="2.7109375" style="140" customWidth="1"/>
    <col min="1536" max="1536" width="9.140625" style="140"/>
    <col min="1537" max="1537" width="40.28515625" style="140" bestFit="1" customWidth="1"/>
    <col min="1538" max="1538" width="10" style="140" customWidth="1"/>
    <col min="1539" max="1539" width="10.140625" style="140" customWidth="1"/>
    <col min="1540" max="1540" width="12.28515625" style="140" customWidth="1"/>
    <col min="1541" max="1541" width="15.7109375" style="140" customWidth="1"/>
    <col min="1542" max="1542" width="12.85546875" style="140" customWidth="1"/>
    <col min="1543" max="1543" width="12.7109375" style="140" customWidth="1"/>
    <col min="1544" max="1544" width="12.85546875" style="140" customWidth="1"/>
    <col min="1545" max="1545" width="14.42578125" style="140" customWidth="1"/>
    <col min="1546" max="1790" width="9.140625" style="140"/>
    <col min="1791" max="1791" width="2.7109375" style="140" customWidth="1"/>
    <col min="1792" max="1792" width="9.140625" style="140"/>
    <col min="1793" max="1793" width="40.28515625" style="140" bestFit="1" customWidth="1"/>
    <col min="1794" max="1794" width="10" style="140" customWidth="1"/>
    <col min="1795" max="1795" width="10.140625" style="140" customWidth="1"/>
    <col min="1796" max="1796" width="12.28515625" style="140" customWidth="1"/>
    <col min="1797" max="1797" width="15.7109375" style="140" customWidth="1"/>
    <col min="1798" max="1798" width="12.85546875" style="140" customWidth="1"/>
    <col min="1799" max="1799" width="12.7109375" style="140" customWidth="1"/>
    <col min="1800" max="1800" width="12.85546875" style="140" customWidth="1"/>
    <col min="1801" max="1801" width="14.42578125" style="140" customWidth="1"/>
    <col min="1802" max="2046" width="9.140625" style="140"/>
    <col min="2047" max="2047" width="2.7109375" style="140" customWidth="1"/>
    <col min="2048" max="2048" width="9.140625" style="140"/>
    <col min="2049" max="2049" width="40.28515625" style="140" bestFit="1" customWidth="1"/>
    <col min="2050" max="2050" width="10" style="140" customWidth="1"/>
    <col min="2051" max="2051" width="10.140625" style="140" customWidth="1"/>
    <col min="2052" max="2052" width="12.28515625" style="140" customWidth="1"/>
    <col min="2053" max="2053" width="15.7109375" style="140" customWidth="1"/>
    <col min="2054" max="2054" width="12.85546875" style="140" customWidth="1"/>
    <col min="2055" max="2055" width="12.7109375" style="140" customWidth="1"/>
    <col min="2056" max="2056" width="12.85546875" style="140" customWidth="1"/>
    <col min="2057" max="2057" width="14.42578125" style="140" customWidth="1"/>
    <col min="2058" max="2302" width="9.140625" style="140"/>
    <col min="2303" max="2303" width="2.7109375" style="140" customWidth="1"/>
    <col min="2304" max="2304" width="9.140625" style="140"/>
    <col min="2305" max="2305" width="40.28515625" style="140" bestFit="1" customWidth="1"/>
    <col min="2306" max="2306" width="10" style="140" customWidth="1"/>
    <col min="2307" max="2307" width="10.140625" style="140" customWidth="1"/>
    <col min="2308" max="2308" width="12.28515625" style="140" customWidth="1"/>
    <col min="2309" max="2309" width="15.7109375" style="140" customWidth="1"/>
    <col min="2310" max="2310" width="12.85546875" style="140" customWidth="1"/>
    <col min="2311" max="2311" width="12.7109375" style="140" customWidth="1"/>
    <col min="2312" max="2312" width="12.85546875" style="140" customWidth="1"/>
    <col min="2313" max="2313" width="14.42578125" style="140" customWidth="1"/>
    <col min="2314" max="2558" width="9.140625" style="140"/>
    <col min="2559" max="2559" width="2.7109375" style="140" customWidth="1"/>
    <col min="2560" max="2560" width="9.140625" style="140"/>
    <col min="2561" max="2561" width="40.28515625" style="140" bestFit="1" customWidth="1"/>
    <col min="2562" max="2562" width="10" style="140" customWidth="1"/>
    <col min="2563" max="2563" width="10.140625" style="140" customWidth="1"/>
    <col min="2564" max="2564" width="12.28515625" style="140" customWidth="1"/>
    <col min="2565" max="2565" width="15.7109375" style="140" customWidth="1"/>
    <col min="2566" max="2566" width="12.85546875" style="140" customWidth="1"/>
    <col min="2567" max="2567" width="12.7109375" style="140" customWidth="1"/>
    <col min="2568" max="2568" width="12.85546875" style="140" customWidth="1"/>
    <col min="2569" max="2569" width="14.42578125" style="140" customWidth="1"/>
    <col min="2570" max="2814" width="9.140625" style="140"/>
    <col min="2815" max="2815" width="2.7109375" style="140" customWidth="1"/>
    <col min="2816" max="2816" width="9.140625" style="140"/>
    <col min="2817" max="2817" width="40.28515625" style="140" bestFit="1" customWidth="1"/>
    <col min="2818" max="2818" width="10" style="140" customWidth="1"/>
    <col min="2819" max="2819" width="10.140625" style="140" customWidth="1"/>
    <col min="2820" max="2820" width="12.28515625" style="140" customWidth="1"/>
    <col min="2821" max="2821" width="15.7109375" style="140" customWidth="1"/>
    <col min="2822" max="2822" width="12.85546875" style="140" customWidth="1"/>
    <col min="2823" max="2823" width="12.7109375" style="140" customWidth="1"/>
    <col min="2824" max="2824" width="12.85546875" style="140" customWidth="1"/>
    <col min="2825" max="2825" width="14.42578125" style="140" customWidth="1"/>
    <col min="2826" max="3070" width="9.140625" style="140"/>
    <col min="3071" max="3071" width="2.7109375" style="140" customWidth="1"/>
    <col min="3072" max="3072" width="9.140625" style="140"/>
    <col min="3073" max="3073" width="40.28515625" style="140" bestFit="1" customWidth="1"/>
    <col min="3074" max="3074" width="10" style="140" customWidth="1"/>
    <col min="3075" max="3075" width="10.140625" style="140" customWidth="1"/>
    <col min="3076" max="3076" width="12.28515625" style="140" customWidth="1"/>
    <col min="3077" max="3077" width="15.7109375" style="140" customWidth="1"/>
    <col min="3078" max="3078" width="12.85546875" style="140" customWidth="1"/>
    <col min="3079" max="3079" width="12.7109375" style="140" customWidth="1"/>
    <col min="3080" max="3080" width="12.85546875" style="140" customWidth="1"/>
    <col min="3081" max="3081" width="14.42578125" style="140" customWidth="1"/>
    <col min="3082" max="3326" width="9.140625" style="140"/>
    <col min="3327" max="3327" width="2.7109375" style="140" customWidth="1"/>
    <col min="3328" max="3328" width="9.140625" style="140"/>
    <col min="3329" max="3329" width="40.28515625" style="140" bestFit="1" customWidth="1"/>
    <col min="3330" max="3330" width="10" style="140" customWidth="1"/>
    <col min="3331" max="3331" width="10.140625" style="140" customWidth="1"/>
    <col min="3332" max="3332" width="12.28515625" style="140" customWidth="1"/>
    <col min="3333" max="3333" width="15.7109375" style="140" customWidth="1"/>
    <col min="3334" max="3334" width="12.85546875" style="140" customWidth="1"/>
    <col min="3335" max="3335" width="12.7109375" style="140" customWidth="1"/>
    <col min="3336" max="3336" width="12.85546875" style="140" customWidth="1"/>
    <col min="3337" max="3337" width="14.42578125" style="140" customWidth="1"/>
    <col min="3338" max="3582" width="9.140625" style="140"/>
    <col min="3583" max="3583" width="2.7109375" style="140" customWidth="1"/>
    <col min="3584" max="3584" width="9.140625" style="140"/>
    <col min="3585" max="3585" width="40.28515625" style="140" bestFit="1" customWidth="1"/>
    <col min="3586" max="3586" width="10" style="140" customWidth="1"/>
    <col min="3587" max="3587" width="10.140625" style="140" customWidth="1"/>
    <col min="3588" max="3588" width="12.28515625" style="140" customWidth="1"/>
    <col min="3589" max="3589" width="15.7109375" style="140" customWidth="1"/>
    <col min="3590" max="3590" width="12.85546875" style="140" customWidth="1"/>
    <col min="3591" max="3591" width="12.7109375" style="140" customWidth="1"/>
    <col min="3592" max="3592" width="12.85546875" style="140" customWidth="1"/>
    <col min="3593" max="3593" width="14.42578125" style="140" customWidth="1"/>
    <col min="3594" max="3838" width="9.140625" style="140"/>
    <col min="3839" max="3839" width="2.7109375" style="140" customWidth="1"/>
    <col min="3840" max="3840" width="9.140625" style="140"/>
    <col min="3841" max="3841" width="40.28515625" style="140" bestFit="1" customWidth="1"/>
    <col min="3842" max="3842" width="10" style="140" customWidth="1"/>
    <col min="3843" max="3843" width="10.140625" style="140" customWidth="1"/>
    <col min="3844" max="3844" width="12.28515625" style="140" customWidth="1"/>
    <col min="3845" max="3845" width="15.7109375" style="140" customWidth="1"/>
    <col min="3846" max="3846" width="12.85546875" style="140" customWidth="1"/>
    <col min="3847" max="3847" width="12.7109375" style="140" customWidth="1"/>
    <col min="3848" max="3848" width="12.85546875" style="140" customWidth="1"/>
    <col min="3849" max="3849" width="14.42578125" style="140" customWidth="1"/>
    <col min="3850" max="4094" width="9.140625" style="140"/>
    <col min="4095" max="4095" width="2.7109375" style="140" customWidth="1"/>
    <col min="4096" max="4096" width="9.140625" style="140"/>
    <col min="4097" max="4097" width="40.28515625" style="140" bestFit="1" customWidth="1"/>
    <col min="4098" max="4098" width="10" style="140" customWidth="1"/>
    <col min="4099" max="4099" width="10.140625" style="140" customWidth="1"/>
    <col min="4100" max="4100" width="12.28515625" style="140" customWidth="1"/>
    <col min="4101" max="4101" width="15.7109375" style="140" customWidth="1"/>
    <col min="4102" max="4102" width="12.85546875" style="140" customWidth="1"/>
    <col min="4103" max="4103" width="12.7109375" style="140" customWidth="1"/>
    <col min="4104" max="4104" width="12.85546875" style="140" customWidth="1"/>
    <col min="4105" max="4105" width="14.42578125" style="140" customWidth="1"/>
    <col min="4106" max="4350" width="9.140625" style="140"/>
    <col min="4351" max="4351" width="2.7109375" style="140" customWidth="1"/>
    <col min="4352" max="4352" width="9.140625" style="140"/>
    <col min="4353" max="4353" width="40.28515625" style="140" bestFit="1" customWidth="1"/>
    <col min="4354" max="4354" width="10" style="140" customWidth="1"/>
    <col min="4355" max="4355" width="10.140625" style="140" customWidth="1"/>
    <col min="4356" max="4356" width="12.28515625" style="140" customWidth="1"/>
    <col min="4357" max="4357" width="15.7109375" style="140" customWidth="1"/>
    <col min="4358" max="4358" width="12.85546875" style="140" customWidth="1"/>
    <col min="4359" max="4359" width="12.7109375" style="140" customWidth="1"/>
    <col min="4360" max="4360" width="12.85546875" style="140" customWidth="1"/>
    <col min="4361" max="4361" width="14.42578125" style="140" customWidth="1"/>
    <col min="4362" max="4606" width="9.140625" style="140"/>
    <col min="4607" max="4607" width="2.7109375" style="140" customWidth="1"/>
    <col min="4608" max="4608" width="9.140625" style="140"/>
    <col min="4609" max="4609" width="40.28515625" style="140" bestFit="1" customWidth="1"/>
    <col min="4610" max="4610" width="10" style="140" customWidth="1"/>
    <col min="4611" max="4611" width="10.140625" style="140" customWidth="1"/>
    <col min="4612" max="4612" width="12.28515625" style="140" customWidth="1"/>
    <col min="4613" max="4613" width="15.7109375" style="140" customWidth="1"/>
    <col min="4614" max="4614" width="12.85546875" style="140" customWidth="1"/>
    <col min="4615" max="4615" width="12.7109375" style="140" customWidth="1"/>
    <col min="4616" max="4616" width="12.85546875" style="140" customWidth="1"/>
    <col min="4617" max="4617" width="14.42578125" style="140" customWidth="1"/>
    <col min="4618" max="4862" width="9.140625" style="140"/>
    <col min="4863" max="4863" width="2.7109375" style="140" customWidth="1"/>
    <col min="4864" max="4864" width="9.140625" style="140"/>
    <col min="4865" max="4865" width="40.28515625" style="140" bestFit="1" customWidth="1"/>
    <col min="4866" max="4866" width="10" style="140" customWidth="1"/>
    <col min="4867" max="4867" width="10.140625" style="140" customWidth="1"/>
    <col min="4868" max="4868" width="12.28515625" style="140" customWidth="1"/>
    <col min="4869" max="4869" width="15.7109375" style="140" customWidth="1"/>
    <col min="4870" max="4870" width="12.85546875" style="140" customWidth="1"/>
    <col min="4871" max="4871" width="12.7109375" style="140" customWidth="1"/>
    <col min="4872" max="4872" width="12.85546875" style="140" customWidth="1"/>
    <col min="4873" max="4873" width="14.42578125" style="140" customWidth="1"/>
    <col min="4874" max="5118" width="9.140625" style="140"/>
    <col min="5119" max="5119" width="2.7109375" style="140" customWidth="1"/>
    <col min="5120" max="5120" width="9.140625" style="140"/>
    <col min="5121" max="5121" width="40.28515625" style="140" bestFit="1" customWidth="1"/>
    <col min="5122" max="5122" width="10" style="140" customWidth="1"/>
    <col min="5123" max="5123" width="10.140625" style="140" customWidth="1"/>
    <col min="5124" max="5124" width="12.28515625" style="140" customWidth="1"/>
    <col min="5125" max="5125" width="15.7109375" style="140" customWidth="1"/>
    <col min="5126" max="5126" width="12.85546875" style="140" customWidth="1"/>
    <col min="5127" max="5127" width="12.7109375" style="140" customWidth="1"/>
    <col min="5128" max="5128" width="12.85546875" style="140" customWidth="1"/>
    <col min="5129" max="5129" width="14.42578125" style="140" customWidth="1"/>
    <col min="5130" max="5374" width="9.140625" style="140"/>
    <col min="5375" max="5375" width="2.7109375" style="140" customWidth="1"/>
    <col min="5376" max="5376" width="9.140625" style="140"/>
    <col min="5377" max="5377" width="40.28515625" style="140" bestFit="1" customWidth="1"/>
    <col min="5378" max="5378" width="10" style="140" customWidth="1"/>
    <col min="5379" max="5379" width="10.140625" style="140" customWidth="1"/>
    <col min="5380" max="5380" width="12.28515625" style="140" customWidth="1"/>
    <col min="5381" max="5381" width="15.7109375" style="140" customWidth="1"/>
    <col min="5382" max="5382" width="12.85546875" style="140" customWidth="1"/>
    <col min="5383" max="5383" width="12.7109375" style="140" customWidth="1"/>
    <col min="5384" max="5384" width="12.85546875" style="140" customWidth="1"/>
    <col min="5385" max="5385" width="14.42578125" style="140" customWidth="1"/>
    <col min="5386" max="5630" width="9.140625" style="140"/>
    <col min="5631" max="5631" width="2.7109375" style="140" customWidth="1"/>
    <col min="5632" max="5632" width="9.140625" style="140"/>
    <col min="5633" max="5633" width="40.28515625" style="140" bestFit="1" customWidth="1"/>
    <col min="5634" max="5634" width="10" style="140" customWidth="1"/>
    <col min="5635" max="5635" width="10.140625" style="140" customWidth="1"/>
    <col min="5636" max="5636" width="12.28515625" style="140" customWidth="1"/>
    <col min="5637" max="5637" width="15.7109375" style="140" customWidth="1"/>
    <col min="5638" max="5638" width="12.85546875" style="140" customWidth="1"/>
    <col min="5639" max="5639" width="12.7109375" style="140" customWidth="1"/>
    <col min="5640" max="5640" width="12.85546875" style="140" customWidth="1"/>
    <col min="5641" max="5641" width="14.42578125" style="140" customWidth="1"/>
    <col min="5642" max="5886" width="9.140625" style="140"/>
    <col min="5887" max="5887" width="2.7109375" style="140" customWidth="1"/>
    <col min="5888" max="5888" width="9.140625" style="140"/>
    <col min="5889" max="5889" width="40.28515625" style="140" bestFit="1" customWidth="1"/>
    <col min="5890" max="5890" width="10" style="140" customWidth="1"/>
    <col min="5891" max="5891" width="10.140625" style="140" customWidth="1"/>
    <col min="5892" max="5892" width="12.28515625" style="140" customWidth="1"/>
    <col min="5893" max="5893" width="15.7109375" style="140" customWidth="1"/>
    <col min="5894" max="5894" width="12.85546875" style="140" customWidth="1"/>
    <col min="5895" max="5895" width="12.7109375" style="140" customWidth="1"/>
    <col min="5896" max="5896" width="12.85546875" style="140" customWidth="1"/>
    <col min="5897" max="5897" width="14.42578125" style="140" customWidth="1"/>
    <col min="5898" max="6142" width="9.140625" style="140"/>
    <col min="6143" max="6143" width="2.7109375" style="140" customWidth="1"/>
    <col min="6144" max="6144" width="9.140625" style="140"/>
    <col min="6145" max="6145" width="40.28515625" style="140" bestFit="1" customWidth="1"/>
    <col min="6146" max="6146" width="10" style="140" customWidth="1"/>
    <col min="6147" max="6147" width="10.140625" style="140" customWidth="1"/>
    <col min="6148" max="6148" width="12.28515625" style="140" customWidth="1"/>
    <col min="6149" max="6149" width="15.7109375" style="140" customWidth="1"/>
    <col min="6150" max="6150" width="12.85546875" style="140" customWidth="1"/>
    <col min="6151" max="6151" width="12.7109375" style="140" customWidth="1"/>
    <col min="6152" max="6152" width="12.85546875" style="140" customWidth="1"/>
    <col min="6153" max="6153" width="14.42578125" style="140" customWidth="1"/>
    <col min="6154" max="6398" width="9.140625" style="140"/>
    <col min="6399" max="6399" width="2.7109375" style="140" customWidth="1"/>
    <col min="6400" max="6400" width="9.140625" style="140"/>
    <col min="6401" max="6401" width="40.28515625" style="140" bestFit="1" customWidth="1"/>
    <col min="6402" max="6402" width="10" style="140" customWidth="1"/>
    <col min="6403" max="6403" width="10.140625" style="140" customWidth="1"/>
    <col min="6404" max="6404" width="12.28515625" style="140" customWidth="1"/>
    <col min="6405" max="6405" width="15.7109375" style="140" customWidth="1"/>
    <col min="6406" max="6406" width="12.85546875" style="140" customWidth="1"/>
    <col min="6407" max="6407" width="12.7109375" style="140" customWidth="1"/>
    <col min="6408" max="6408" width="12.85546875" style="140" customWidth="1"/>
    <col min="6409" max="6409" width="14.42578125" style="140" customWidth="1"/>
    <col min="6410" max="6654" width="9.140625" style="140"/>
    <col min="6655" max="6655" width="2.7109375" style="140" customWidth="1"/>
    <col min="6656" max="6656" width="9.140625" style="140"/>
    <col min="6657" max="6657" width="40.28515625" style="140" bestFit="1" customWidth="1"/>
    <col min="6658" max="6658" width="10" style="140" customWidth="1"/>
    <col min="6659" max="6659" width="10.140625" style="140" customWidth="1"/>
    <col min="6660" max="6660" width="12.28515625" style="140" customWidth="1"/>
    <col min="6661" max="6661" width="15.7109375" style="140" customWidth="1"/>
    <col min="6662" max="6662" width="12.85546875" style="140" customWidth="1"/>
    <col min="6663" max="6663" width="12.7109375" style="140" customWidth="1"/>
    <col min="6664" max="6664" width="12.85546875" style="140" customWidth="1"/>
    <col min="6665" max="6665" width="14.42578125" style="140" customWidth="1"/>
    <col min="6666" max="6910" width="9.140625" style="140"/>
    <col min="6911" max="6911" width="2.7109375" style="140" customWidth="1"/>
    <col min="6912" max="6912" width="9.140625" style="140"/>
    <col min="6913" max="6913" width="40.28515625" style="140" bestFit="1" customWidth="1"/>
    <col min="6914" max="6914" width="10" style="140" customWidth="1"/>
    <col min="6915" max="6915" width="10.140625" style="140" customWidth="1"/>
    <col min="6916" max="6916" width="12.28515625" style="140" customWidth="1"/>
    <col min="6917" max="6917" width="15.7109375" style="140" customWidth="1"/>
    <col min="6918" max="6918" width="12.85546875" style="140" customWidth="1"/>
    <col min="6919" max="6919" width="12.7109375" style="140" customWidth="1"/>
    <col min="6920" max="6920" width="12.85546875" style="140" customWidth="1"/>
    <col min="6921" max="6921" width="14.42578125" style="140" customWidth="1"/>
    <col min="6922" max="7166" width="9.140625" style="140"/>
    <col min="7167" max="7167" width="2.7109375" style="140" customWidth="1"/>
    <col min="7168" max="7168" width="9.140625" style="140"/>
    <col min="7169" max="7169" width="40.28515625" style="140" bestFit="1" customWidth="1"/>
    <col min="7170" max="7170" width="10" style="140" customWidth="1"/>
    <col min="7171" max="7171" width="10.140625" style="140" customWidth="1"/>
    <col min="7172" max="7172" width="12.28515625" style="140" customWidth="1"/>
    <col min="7173" max="7173" width="15.7109375" style="140" customWidth="1"/>
    <col min="7174" max="7174" width="12.85546875" style="140" customWidth="1"/>
    <col min="7175" max="7175" width="12.7109375" style="140" customWidth="1"/>
    <col min="7176" max="7176" width="12.85546875" style="140" customWidth="1"/>
    <col min="7177" max="7177" width="14.42578125" style="140" customWidth="1"/>
    <col min="7178" max="7422" width="9.140625" style="140"/>
    <col min="7423" max="7423" width="2.7109375" style="140" customWidth="1"/>
    <col min="7424" max="7424" width="9.140625" style="140"/>
    <col min="7425" max="7425" width="40.28515625" style="140" bestFit="1" customWidth="1"/>
    <col min="7426" max="7426" width="10" style="140" customWidth="1"/>
    <col min="7427" max="7427" width="10.140625" style="140" customWidth="1"/>
    <col min="7428" max="7428" width="12.28515625" style="140" customWidth="1"/>
    <col min="7429" max="7429" width="15.7109375" style="140" customWidth="1"/>
    <col min="7430" max="7430" width="12.85546875" style="140" customWidth="1"/>
    <col min="7431" max="7431" width="12.7109375" style="140" customWidth="1"/>
    <col min="7432" max="7432" width="12.85546875" style="140" customWidth="1"/>
    <col min="7433" max="7433" width="14.42578125" style="140" customWidth="1"/>
    <col min="7434" max="7678" width="9.140625" style="140"/>
    <col min="7679" max="7679" width="2.7109375" style="140" customWidth="1"/>
    <col min="7680" max="7680" width="9.140625" style="140"/>
    <col min="7681" max="7681" width="40.28515625" style="140" bestFit="1" customWidth="1"/>
    <col min="7682" max="7682" width="10" style="140" customWidth="1"/>
    <col min="7683" max="7683" width="10.140625" style="140" customWidth="1"/>
    <col min="7684" max="7684" width="12.28515625" style="140" customWidth="1"/>
    <col min="7685" max="7685" width="15.7109375" style="140" customWidth="1"/>
    <col min="7686" max="7686" width="12.85546875" style="140" customWidth="1"/>
    <col min="7687" max="7687" width="12.7109375" style="140" customWidth="1"/>
    <col min="7688" max="7688" width="12.85546875" style="140" customWidth="1"/>
    <col min="7689" max="7689" width="14.42578125" style="140" customWidth="1"/>
    <col min="7690" max="7934" width="9.140625" style="140"/>
    <col min="7935" max="7935" width="2.7109375" style="140" customWidth="1"/>
    <col min="7936" max="7936" width="9.140625" style="140"/>
    <col min="7937" max="7937" width="40.28515625" style="140" bestFit="1" customWidth="1"/>
    <col min="7938" max="7938" width="10" style="140" customWidth="1"/>
    <col min="7939" max="7939" width="10.140625" style="140" customWidth="1"/>
    <col min="7940" max="7940" width="12.28515625" style="140" customWidth="1"/>
    <col min="7941" max="7941" width="15.7109375" style="140" customWidth="1"/>
    <col min="7942" max="7942" width="12.85546875" style="140" customWidth="1"/>
    <col min="7943" max="7943" width="12.7109375" style="140" customWidth="1"/>
    <col min="7944" max="7944" width="12.85546875" style="140" customWidth="1"/>
    <col min="7945" max="7945" width="14.42578125" style="140" customWidth="1"/>
    <col min="7946" max="8190" width="9.140625" style="140"/>
    <col min="8191" max="8191" width="2.7109375" style="140" customWidth="1"/>
    <col min="8192" max="8192" width="9.140625" style="140"/>
    <col min="8193" max="8193" width="40.28515625" style="140" bestFit="1" customWidth="1"/>
    <col min="8194" max="8194" width="10" style="140" customWidth="1"/>
    <col min="8195" max="8195" width="10.140625" style="140" customWidth="1"/>
    <col min="8196" max="8196" width="12.28515625" style="140" customWidth="1"/>
    <col min="8197" max="8197" width="15.7109375" style="140" customWidth="1"/>
    <col min="8198" max="8198" width="12.85546875" style="140" customWidth="1"/>
    <col min="8199" max="8199" width="12.7109375" style="140" customWidth="1"/>
    <col min="8200" max="8200" width="12.85546875" style="140" customWidth="1"/>
    <col min="8201" max="8201" width="14.42578125" style="140" customWidth="1"/>
    <col min="8202" max="8446" width="9.140625" style="140"/>
    <col min="8447" max="8447" width="2.7109375" style="140" customWidth="1"/>
    <col min="8448" max="8448" width="9.140625" style="140"/>
    <col min="8449" max="8449" width="40.28515625" style="140" bestFit="1" customWidth="1"/>
    <col min="8450" max="8450" width="10" style="140" customWidth="1"/>
    <col min="8451" max="8451" width="10.140625" style="140" customWidth="1"/>
    <col min="8452" max="8452" width="12.28515625" style="140" customWidth="1"/>
    <col min="8453" max="8453" width="15.7109375" style="140" customWidth="1"/>
    <col min="8454" max="8454" width="12.85546875" style="140" customWidth="1"/>
    <col min="8455" max="8455" width="12.7109375" style="140" customWidth="1"/>
    <col min="8456" max="8456" width="12.85546875" style="140" customWidth="1"/>
    <col min="8457" max="8457" width="14.42578125" style="140" customWidth="1"/>
    <col min="8458" max="8702" width="9.140625" style="140"/>
    <col min="8703" max="8703" width="2.7109375" style="140" customWidth="1"/>
    <col min="8704" max="8704" width="9.140625" style="140"/>
    <col min="8705" max="8705" width="40.28515625" style="140" bestFit="1" customWidth="1"/>
    <col min="8706" max="8706" width="10" style="140" customWidth="1"/>
    <col min="8707" max="8707" width="10.140625" style="140" customWidth="1"/>
    <col min="8708" max="8708" width="12.28515625" style="140" customWidth="1"/>
    <col min="8709" max="8709" width="15.7109375" style="140" customWidth="1"/>
    <col min="8710" max="8710" width="12.85546875" style="140" customWidth="1"/>
    <col min="8711" max="8711" width="12.7109375" style="140" customWidth="1"/>
    <col min="8712" max="8712" width="12.85546875" style="140" customWidth="1"/>
    <col min="8713" max="8713" width="14.42578125" style="140" customWidth="1"/>
    <col min="8714" max="8958" width="9.140625" style="140"/>
    <col min="8959" max="8959" width="2.7109375" style="140" customWidth="1"/>
    <col min="8960" max="8960" width="9.140625" style="140"/>
    <col min="8961" max="8961" width="40.28515625" style="140" bestFit="1" customWidth="1"/>
    <col min="8962" max="8962" width="10" style="140" customWidth="1"/>
    <col min="8963" max="8963" width="10.140625" style="140" customWidth="1"/>
    <col min="8964" max="8964" width="12.28515625" style="140" customWidth="1"/>
    <col min="8965" max="8965" width="15.7109375" style="140" customWidth="1"/>
    <col min="8966" max="8966" width="12.85546875" style="140" customWidth="1"/>
    <col min="8967" max="8967" width="12.7109375" style="140" customWidth="1"/>
    <col min="8968" max="8968" width="12.85546875" style="140" customWidth="1"/>
    <col min="8969" max="8969" width="14.42578125" style="140" customWidth="1"/>
    <col min="8970" max="9214" width="9.140625" style="140"/>
    <col min="9215" max="9215" width="2.7109375" style="140" customWidth="1"/>
    <col min="9216" max="9216" width="9.140625" style="140"/>
    <col min="9217" max="9217" width="40.28515625" style="140" bestFit="1" customWidth="1"/>
    <col min="9218" max="9218" width="10" style="140" customWidth="1"/>
    <col min="9219" max="9219" width="10.140625" style="140" customWidth="1"/>
    <col min="9220" max="9220" width="12.28515625" style="140" customWidth="1"/>
    <col min="9221" max="9221" width="15.7109375" style="140" customWidth="1"/>
    <col min="9222" max="9222" width="12.85546875" style="140" customWidth="1"/>
    <col min="9223" max="9223" width="12.7109375" style="140" customWidth="1"/>
    <col min="9224" max="9224" width="12.85546875" style="140" customWidth="1"/>
    <col min="9225" max="9225" width="14.42578125" style="140" customWidth="1"/>
    <col min="9226" max="9470" width="9.140625" style="140"/>
    <col min="9471" max="9471" width="2.7109375" style="140" customWidth="1"/>
    <col min="9472" max="9472" width="9.140625" style="140"/>
    <col min="9473" max="9473" width="40.28515625" style="140" bestFit="1" customWidth="1"/>
    <col min="9474" max="9474" width="10" style="140" customWidth="1"/>
    <col min="9475" max="9475" width="10.140625" style="140" customWidth="1"/>
    <col min="9476" max="9476" width="12.28515625" style="140" customWidth="1"/>
    <col min="9477" max="9477" width="15.7109375" style="140" customWidth="1"/>
    <col min="9478" max="9478" width="12.85546875" style="140" customWidth="1"/>
    <col min="9479" max="9479" width="12.7109375" style="140" customWidth="1"/>
    <col min="9480" max="9480" width="12.85546875" style="140" customWidth="1"/>
    <col min="9481" max="9481" width="14.42578125" style="140" customWidth="1"/>
    <col min="9482" max="9726" width="9.140625" style="140"/>
    <col min="9727" max="9727" width="2.7109375" style="140" customWidth="1"/>
    <col min="9728" max="9728" width="9.140625" style="140"/>
    <col min="9729" max="9729" width="40.28515625" style="140" bestFit="1" customWidth="1"/>
    <col min="9730" max="9730" width="10" style="140" customWidth="1"/>
    <col min="9731" max="9731" width="10.140625" style="140" customWidth="1"/>
    <col min="9732" max="9732" width="12.28515625" style="140" customWidth="1"/>
    <col min="9733" max="9733" width="15.7109375" style="140" customWidth="1"/>
    <col min="9734" max="9734" width="12.85546875" style="140" customWidth="1"/>
    <col min="9735" max="9735" width="12.7109375" style="140" customWidth="1"/>
    <col min="9736" max="9736" width="12.85546875" style="140" customWidth="1"/>
    <col min="9737" max="9737" width="14.42578125" style="140" customWidth="1"/>
    <col min="9738" max="9982" width="9.140625" style="140"/>
    <col min="9983" max="9983" width="2.7109375" style="140" customWidth="1"/>
    <col min="9984" max="9984" width="9.140625" style="140"/>
    <col min="9985" max="9985" width="40.28515625" style="140" bestFit="1" customWidth="1"/>
    <col min="9986" max="9986" width="10" style="140" customWidth="1"/>
    <col min="9987" max="9987" width="10.140625" style="140" customWidth="1"/>
    <col min="9988" max="9988" width="12.28515625" style="140" customWidth="1"/>
    <col min="9989" max="9989" width="15.7109375" style="140" customWidth="1"/>
    <col min="9990" max="9990" width="12.85546875" style="140" customWidth="1"/>
    <col min="9991" max="9991" width="12.7109375" style="140" customWidth="1"/>
    <col min="9992" max="9992" width="12.85546875" style="140" customWidth="1"/>
    <col min="9993" max="9993" width="14.42578125" style="140" customWidth="1"/>
    <col min="9994" max="10238" width="9.140625" style="140"/>
    <col min="10239" max="10239" width="2.7109375" style="140" customWidth="1"/>
    <col min="10240" max="10240" width="9.140625" style="140"/>
    <col min="10241" max="10241" width="40.28515625" style="140" bestFit="1" customWidth="1"/>
    <col min="10242" max="10242" width="10" style="140" customWidth="1"/>
    <col min="10243" max="10243" width="10.140625" style="140" customWidth="1"/>
    <col min="10244" max="10244" width="12.28515625" style="140" customWidth="1"/>
    <col min="10245" max="10245" width="15.7109375" style="140" customWidth="1"/>
    <col min="10246" max="10246" width="12.85546875" style="140" customWidth="1"/>
    <col min="10247" max="10247" width="12.7109375" style="140" customWidth="1"/>
    <col min="10248" max="10248" width="12.85546875" style="140" customWidth="1"/>
    <col min="10249" max="10249" width="14.42578125" style="140" customWidth="1"/>
    <col min="10250" max="10494" width="9.140625" style="140"/>
    <col min="10495" max="10495" width="2.7109375" style="140" customWidth="1"/>
    <col min="10496" max="10496" width="9.140625" style="140"/>
    <col min="10497" max="10497" width="40.28515625" style="140" bestFit="1" customWidth="1"/>
    <col min="10498" max="10498" width="10" style="140" customWidth="1"/>
    <col min="10499" max="10499" width="10.140625" style="140" customWidth="1"/>
    <col min="10500" max="10500" width="12.28515625" style="140" customWidth="1"/>
    <col min="10501" max="10501" width="15.7109375" style="140" customWidth="1"/>
    <col min="10502" max="10502" width="12.85546875" style="140" customWidth="1"/>
    <col min="10503" max="10503" width="12.7109375" style="140" customWidth="1"/>
    <col min="10504" max="10504" width="12.85546875" style="140" customWidth="1"/>
    <col min="10505" max="10505" width="14.42578125" style="140" customWidth="1"/>
    <col min="10506" max="10750" width="9.140625" style="140"/>
    <col min="10751" max="10751" width="2.7109375" style="140" customWidth="1"/>
    <col min="10752" max="10752" width="9.140625" style="140"/>
    <col min="10753" max="10753" width="40.28515625" style="140" bestFit="1" customWidth="1"/>
    <col min="10754" max="10754" width="10" style="140" customWidth="1"/>
    <col min="10755" max="10755" width="10.140625" style="140" customWidth="1"/>
    <col min="10756" max="10756" width="12.28515625" style="140" customWidth="1"/>
    <col min="10757" max="10757" width="15.7109375" style="140" customWidth="1"/>
    <col min="10758" max="10758" width="12.85546875" style="140" customWidth="1"/>
    <col min="10759" max="10759" width="12.7109375" style="140" customWidth="1"/>
    <col min="10760" max="10760" width="12.85546875" style="140" customWidth="1"/>
    <col min="10761" max="10761" width="14.42578125" style="140" customWidth="1"/>
    <col min="10762" max="11006" width="9.140625" style="140"/>
    <col min="11007" max="11007" width="2.7109375" style="140" customWidth="1"/>
    <col min="11008" max="11008" width="9.140625" style="140"/>
    <col min="11009" max="11009" width="40.28515625" style="140" bestFit="1" customWidth="1"/>
    <col min="11010" max="11010" width="10" style="140" customWidth="1"/>
    <col min="11011" max="11011" width="10.140625" style="140" customWidth="1"/>
    <col min="11012" max="11012" width="12.28515625" style="140" customWidth="1"/>
    <col min="11013" max="11013" width="15.7109375" style="140" customWidth="1"/>
    <col min="11014" max="11014" width="12.85546875" style="140" customWidth="1"/>
    <col min="11015" max="11015" width="12.7109375" style="140" customWidth="1"/>
    <col min="11016" max="11016" width="12.85546875" style="140" customWidth="1"/>
    <col min="11017" max="11017" width="14.42578125" style="140" customWidth="1"/>
    <col min="11018" max="11262" width="9.140625" style="140"/>
    <col min="11263" max="11263" width="2.7109375" style="140" customWidth="1"/>
    <col min="11264" max="11264" width="9.140625" style="140"/>
    <col min="11265" max="11265" width="40.28515625" style="140" bestFit="1" customWidth="1"/>
    <col min="11266" max="11266" width="10" style="140" customWidth="1"/>
    <col min="11267" max="11267" width="10.140625" style="140" customWidth="1"/>
    <col min="11268" max="11268" width="12.28515625" style="140" customWidth="1"/>
    <col min="11269" max="11269" width="15.7109375" style="140" customWidth="1"/>
    <col min="11270" max="11270" width="12.85546875" style="140" customWidth="1"/>
    <col min="11271" max="11271" width="12.7109375" style="140" customWidth="1"/>
    <col min="11272" max="11272" width="12.85546875" style="140" customWidth="1"/>
    <col min="11273" max="11273" width="14.42578125" style="140" customWidth="1"/>
    <col min="11274" max="11518" width="9.140625" style="140"/>
    <col min="11519" max="11519" width="2.7109375" style="140" customWidth="1"/>
    <col min="11520" max="11520" width="9.140625" style="140"/>
    <col min="11521" max="11521" width="40.28515625" style="140" bestFit="1" customWidth="1"/>
    <col min="11522" max="11522" width="10" style="140" customWidth="1"/>
    <col min="11523" max="11523" width="10.140625" style="140" customWidth="1"/>
    <col min="11524" max="11524" width="12.28515625" style="140" customWidth="1"/>
    <col min="11525" max="11525" width="15.7109375" style="140" customWidth="1"/>
    <col min="11526" max="11526" width="12.85546875" style="140" customWidth="1"/>
    <col min="11527" max="11527" width="12.7109375" style="140" customWidth="1"/>
    <col min="11528" max="11528" width="12.85546875" style="140" customWidth="1"/>
    <col min="11529" max="11529" width="14.42578125" style="140" customWidth="1"/>
    <col min="11530" max="11774" width="9.140625" style="140"/>
    <col min="11775" max="11775" width="2.7109375" style="140" customWidth="1"/>
    <col min="11776" max="11776" width="9.140625" style="140"/>
    <col min="11777" max="11777" width="40.28515625" style="140" bestFit="1" customWidth="1"/>
    <col min="11778" max="11778" width="10" style="140" customWidth="1"/>
    <col min="11779" max="11779" width="10.140625" style="140" customWidth="1"/>
    <col min="11780" max="11780" width="12.28515625" style="140" customWidth="1"/>
    <col min="11781" max="11781" width="15.7109375" style="140" customWidth="1"/>
    <col min="11782" max="11782" width="12.85546875" style="140" customWidth="1"/>
    <col min="11783" max="11783" width="12.7109375" style="140" customWidth="1"/>
    <col min="11784" max="11784" width="12.85546875" style="140" customWidth="1"/>
    <col min="11785" max="11785" width="14.42578125" style="140" customWidth="1"/>
    <col min="11786" max="12030" width="9.140625" style="140"/>
    <col min="12031" max="12031" width="2.7109375" style="140" customWidth="1"/>
    <col min="12032" max="12032" width="9.140625" style="140"/>
    <col min="12033" max="12033" width="40.28515625" style="140" bestFit="1" customWidth="1"/>
    <col min="12034" max="12034" width="10" style="140" customWidth="1"/>
    <col min="12035" max="12035" width="10.140625" style="140" customWidth="1"/>
    <col min="12036" max="12036" width="12.28515625" style="140" customWidth="1"/>
    <col min="12037" max="12037" width="15.7109375" style="140" customWidth="1"/>
    <col min="12038" max="12038" width="12.85546875" style="140" customWidth="1"/>
    <col min="12039" max="12039" width="12.7109375" style="140" customWidth="1"/>
    <col min="12040" max="12040" width="12.85546875" style="140" customWidth="1"/>
    <col min="12041" max="12041" width="14.42578125" style="140" customWidth="1"/>
    <col min="12042" max="12286" width="9.140625" style="140"/>
    <col min="12287" max="12287" width="2.7109375" style="140" customWidth="1"/>
    <col min="12288" max="12288" width="9.140625" style="140"/>
    <col min="12289" max="12289" width="40.28515625" style="140" bestFit="1" customWidth="1"/>
    <col min="12290" max="12290" width="10" style="140" customWidth="1"/>
    <col min="12291" max="12291" width="10.140625" style="140" customWidth="1"/>
    <col min="12292" max="12292" width="12.28515625" style="140" customWidth="1"/>
    <col min="12293" max="12293" width="15.7109375" style="140" customWidth="1"/>
    <col min="12294" max="12294" width="12.85546875" style="140" customWidth="1"/>
    <col min="12295" max="12295" width="12.7109375" style="140" customWidth="1"/>
    <col min="12296" max="12296" width="12.85546875" style="140" customWidth="1"/>
    <col min="12297" max="12297" width="14.42578125" style="140" customWidth="1"/>
    <col min="12298" max="12542" width="9.140625" style="140"/>
    <col min="12543" max="12543" width="2.7109375" style="140" customWidth="1"/>
    <col min="12544" max="12544" width="9.140625" style="140"/>
    <col min="12545" max="12545" width="40.28515625" style="140" bestFit="1" customWidth="1"/>
    <col min="12546" max="12546" width="10" style="140" customWidth="1"/>
    <col min="12547" max="12547" width="10.140625" style="140" customWidth="1"/>
    <col min="12548" max="12548" width="12.28515625" style="140" customWidth="1"/>
    <col min="12549" max="12549" width="15.7109375" style="140" customWidth="1"/>
    <col min="12550" max="12550" width="12.85546875" style="140" customWidth="1"/>
    <col min="12551" max="12551" width="12.7109375" style="140" customWidth="1"/>
    <col min="12552" max="12552" width="12.85546875" style="140" customWidth="1"/>
    <col min="12553" max="12553" width="14.42578125" style="140" customWidth="1"/>
    <col min="12554" max="12798" width="9.140625" style="140"/>
    <col min="12799" max="12799" width="2.7109375" style="140" customWidth="1"/>
    <col min="12800" max="12800" width="9.140625" style="140"/>
    <col min="12801" max="12801" width="40.28515625" style="140" bestFit="1" customWidth="1"/>
    <col min="12802" max="12802" width="10" style="140" customWidth="1"/>
    <col min="12803" max="12803" width="10.140625" style="140" customWidth="1"/>
    <col min="12804" max="12804" width="12.28515625" style="140" customWidth="1"/>
    <col min="12805" max="12805" width="15.7109375" style="140" customWidth="1"/>
    <col min="12806" max="12806" width="12.85546875" style="140" customWidth="1"/>
    <col min="12807" max="12807" width="12.7109375" style="140" customWidth="1"/>
    <col min="12808" max="12808" width="12.85546875" style="140" customWidth="1"/>
    <col min="12809" max="12809" width="14.42578125" style="140" customWidth="1"/>
    <col min="12810" max="13054" width="9.140625" style="140"/>
    <col min="13055" max="13055" width="2.7109375" style="140" customWidth="1"/>
    <col min="13056" max="13056" width="9.140625" style="140"/>
    <col min="13057" max="13057" width="40.28515625" style="140" bestFit="1" customWidth="1"/>
    <col min="13058" max="13058" width="10" style="140" customWidth="1"/>
    <col min="13059" max="13059" width="10.140625" style="140" customWidth="1"/>
    <col min="13060" max="13060" width="12.28515625" style="140" customWidth="1"/>
    <col min="13061" max="13061" width="15.7109375" style="140" customWidth="1"/>
    <col min="13062" max="13062" width="12.85546875" style="140" customWidth="1"/>
    <col min="13063" max="13063" width="12.7109375" style="140" customWidth="1"/>
    <col min="13064" max="13064" width="12.85546875" style="140" customWidth="1"/>
    <col min="13065" max="13065" width="14.42578125" style="140" customWidth="1"/>
    <col min="13066" max="13310" width="9.140625" style="140"/>
    <col min="13311" max="13311" width="2.7109375" style="140" customWidth="1"/>
    <col min="13312" max="13312" width="9.140625" style="140"/>
    <col min="13313" max="13313" width="40.28515625" style="140" bestFit="1" customWidth="1"/>
    <col min="13314" max="13314" width="10" style="140" customWidth="1"/>
    <col min="13315" max="13315" width="10.140625" style="140" customWidth="1"/>
    <col min="13316" max="13316" width="12.28515625" style="140" customWidth="1"/>
    <col min="13317" max="13317" width="15.7109375" style="140" customWidth="1"/>
    <col min="13318" max="13318" width="12.85546875" style="140" customWidth="1"/>
    <col min="13319" max="13319" width="12.7109375" style="140" customWidth="1"/>
    <col min="13320" max="13320" width="12.85546875" style="140" customWidth="1"/>
    <col min="13321" max="13321" width="14.42578125" style="140" customWidth="1"/>
    <col min="13322" max="13566" width="9.140625" style="140"/>
    <col min="13567" max="13567" width="2.7109375" style="140" customWidth="1"/>
    <col min="13568" max="13568" width="9.140625" style="140"/>
    <col min="13569" max="13569" width="40.28515625" style="140" bestFit="1" customWidth="1"/>
    <col min="13570" max="13570" width="10" style="140" customWidth="1"/>
    <col min="13571" max="13571" width="10.140625" style="140" customWidth="1"/>
    <col min="13572" max="13572" width="12.28515625" style="140" customWidth="1"/>
    <col min="13573" max="13573" width="15.7109375" style="140" customWidth="1"/>
    <col min="13574" max="13574" width="12.85546875" style="140" customWidth="1"/>
    <col min="13575" max="13575" width="12.7109375" style="140" customWidth="1"/>
    <col min="13576" max="13576" width="12.85546875" style="140" customWidth="1"/>
    <col min="13577" max="13577" width="14.42578125" style="140" customWidth="1"/>
    <col min="13578" max="13822" width="9.140625" style="140"/>
    <col min="13823" max="13823" width="2.7109375" style="140" customWidth="1"/>
    <col min="13824" max="13824" width="9.140625" style="140"/>
    <col min="13825" max="13825" width="40.28515625" style="140" bestFit="1" customWidth="1"/>
    <col min="13826" max="13826" width="10" style="140" customWidth="1"/>
    <col min="13827" max="13827" width="10.140625" style="140" customWidth="1"/>
    <col min="13828" max="13828" width="12.28515625" style="140" customWidth="1"/>
    <col min="13829" max="13829" width="15.7109375" style="140" customWidth="1"/>
    <col min="13830" max="13830" width="12.85546875" style="140" customWidth="1"/>
    <col min="13831" max="13831" width="12.7109375" style="140" customWidth="1"/>
    <col min="13832" max="13832" width="12.85546875" style="140" customWidth="1"/>
    <col min="13833" max="13833" width="14.42578125" style="140" customWidth="1"/>
    <col min="13834" max="14078" width="9.140625" style="140"/>
    <col min="14079" max="14079" width="2.7109375" style="140" customWidth="1"/>
    <col min="14080" max="14080" width="9.140625" style="140"/>
    <col min="14081" max="14081" width="40.28515625" style="140" bestFit="1" customWidth="1"/>
    <col min="14082" max="14082" width="10" style="140" customWidth="1"/>
    <col min="14083" max="14083" width="10.140625" style="140" customWidth="1"/>
    <col min="14084" max="14084" width="12.28515625" style="140" customWidth="1"/>
    <col min="14085" max="14085" width="15.7109375" style="140" customWidth="1"/>
    <col min="14086" max="14086" width="12.85546875" style="140" customWidth="1"/>
    <col min="14087" max="14087" width="12.7109375" style="140" customWidth="1"/>
    <col min="14088" max="14088" width="12.85546875" style="140" customWidth="1"/>
    <col min="14089" max="14089" width="14.42578125" style="140" customWidth="1"/>
    <col min="14090" max="14334" width="9.140625" style="140"/>
    <col min="14335" max="14335" width="2.7109375" style="140" customWidth="1"/>
    <col min="14336" max="14336" width="9.140625" style="140"/>
    <col min="14337" max="14337" width="40.28515625" style="140" bestFit="1" customWidth="1"/>
    <col min="14338" max="14338" width="10" style="140" customWidth="1"/>
    <col min="14339" max="14339" width="10.140625" style="140" customWidth="1"/>
    <col min="14340" max="14340" width="12.28515625" style="140" customWidth="1"/>
    <col min="14341" max="14341" width="15.7109375" style="140" customWidth="1"/>
    <col min="14342" max="14342" width="12.85546875" style="140" customWidth="1"/>
    <col min="14343" max="14343" width="12.7109375" style="140" customWidth="1"/>
    <col min="14344" max="14344" width="12.85546875" style="140" customWidth="1"/>
    <col min="14345" max="14345" width="14.42578125" style="140" customWidth="1"/>
    <col min="14346" max="14590" width="9.140625" style="140"/>
    <col min="14591" max="14591" width="2.7109375" style="140" customWidth="1"/>
    <col min="14592" max="14592" width="9.140625" style="140"/>
    <col min="14593" max="14593" width="40.28515625" style="140" bestFit="1" customWidth="1"/>
    <col min="14594" max="14594" width="10" style="140" customWidth="1"/>
    <col min="14595" max="14595" width="10.140625" style="140" customWidth="1"/>
    <col min="14596" max="14596" width="12.28515625" style="140" customWidth="1"/>
    <col min="14597" max="14597" width="15.7109375" style="140" customWidth="1"/>
    <col min="14598" max="14598" width="12.85546875" style="140" customWidth="1"/>
    <col min="14599" max="14599" width="12.7109375" style="140" customWidth="1"/>
    <col min="14600" max="14600" width="12.85546875" style="140" customWidth="1"/>
    <col min="14601" max="14601" width="14.42578125" style="140" customWidth="1"/>
    <col min="14602" max="14846" width="9.140625" style="140"/>
    <col min="14847" max="14847" width="2.7109375" style="140" customWidth="1"/>
    <col min="14848" max="14848" width="9.140625" style="140"/>
    <col min="14849" max="14849" width="40.28515625" style="140" bestFit="1" customWidth="1"/>
    <col min="14850" max="14850" width="10" style="140" customWidth="1"/>
    <col min="14851" max="14851" width="10.140625" style="140" customWidth="1"/>
    <col min="14852" max="14852" width="12.28515625" style="140" customWidth="1"/>
    <col min="14853" max="14853" width="15.7109375" style="140" customWidth="1"/>
    <col min="14854" max="14854" width="12.85546875" style="140" customWidth="1"/>
    <col min="14855" max="14855" width="12.7109375" style="140" customWidth="1"/>
    <col min="14856" max="14856" width="12.85546875" style="140" customWidth="1"/>
    <col min="14857" max="14857" width="14.42578125" style="140" customWidth="1"/>
    <col min="14858" max="15102" width="9.140625" style="140"/>
    <col min="15103" max="15103" width="2.7109375" style="140" customWidth="1"/>
    <col min="15104" max="15104" width="9.140625" style="140"/>
    <col min="15105" max="15105" width="40.28515625" style="140" bestFit="1" customWidth="1"/>
    <col min="15106" max="15106" width="10" style="140" customWidth="1"/>
    <col min="15107" max="15107" width="10.140625" style="140" customWidth="1"/>
    <col min="15108" max="15108" width="12.28515625" style="140" customWidth="1"/>
    <col min="15109" max="15109" width="15.7109375" style="140" customWidth="1"/>
    <col min="15110" max="15110" width="12.85546875" style="140" customWidth="1"/>
    <col min="15111" max="15111" width="12.7109375" style="140" customWidth="1"/>
    <col min="15112" max="15112" width="12.85546875" style="140" customWidth="1"/>
    <col min="15113" max="15113" width="14.42578125" style="140" customWidth="1"/>
    <col min="15114" max="15358" width="9.140625" style="140"/>
    <col min="15359" max="15359" width="2.7109375" style="140" customWidth="1"/>
    <col min="15360" max="15360" width="9.140625" style="140"/>
    <col min="15361" max="15361" width="40.28515625" style="140" bestFit="1" customWidth="1"/>
    <col min="15362" max="15362" width="10" style="140" customWidth="1"/>
    <col min="15363" max="15363" width="10.140625" style="140" customWidth="1"/>
    <col min="15364" max="15364" width="12.28515625" style="140" customWidth="1"/>
    <col min="15365" max="15365" width="15.7109375" style="140" customWidth="1"/>
    <col min="15366" max="15366" width="12.85546875" style="140" customWidth="1"/>
    <col min="15367" max="15367" width="12.7109375" style="140" customWidth="1"/>
    <col min="15368" max="15368" width="12.85546875" style="140" customWidth="1"/>
    <col min="15369" max="15369" width="14.42578125" style="140" customWidth="1"/>
    <col min="15370" max="15614" width="9.140625" style="140"/>
    <col min="15615" max="15615" width="2.7109375" style="140" customWidth="1"/>
    <col min="15616" max="15616" width="9.140625" style="140"/>
    <col min="15617" max="15617" width="40.28515625" style="140" bestFit="1" customWidth="1"/>
    <col min="15618" max="15618" width="10" style="140" customWidth="1"/>
    <col min="15619" max="15619" width="10.140625" style="140" customWidth="1"/>
    <col min="15620" max="15620" width="12.28515625" style="140" customWidth="1"/>
    <col min="15621" max="15621" width="15.7109375" style="140" customWidth="1"/>
    <col min="15622" max="15622" width="12.85546875" style="140" customWidth="1"/>
    <col min="15623" max="15623" width="12.7109375" style="140" customWidth="1"/>
    <col min="15624" max="15624" width="12.85546875" style="140" customWidth="1"/>
    <col min="15625" max="15625" width="14.42578125" style="140" customWidth="1"/>
    <col min="15626" max="15870" width="9.140625" style="140"/>
    <col min="15871" max="15871" width="2.7109375" style="140" customWidth="1"/>
    <col min="15872" max="15872" width="9.140625" style="140"/>
    <col min="15873" max="15873" width="40.28515625" style="140" bestFit="1" customWidth="1"/>
    <col min="15874" max="15874" width="10" style="140" customWidth="1"/>
    <col min="15875" max="15875" width="10.140625" style="140" customWidth="1"/>
    <col min="15876" max="15876" width="12.28515625" style="140" customWidth="1"/>
    <col min="15877" max="15877" width="15.7109375" style="140" customWidth="1"/>
    <col min="15878" max="15878" width="12.85546875" style="140" customWidth="1"/>
    <col min="15879" max="15879" width="12.7109375" style="140" customWidth="1"/>
    <col min="15880" max="15880" width="12.85546875" style="140" customWidth="1"/>
    <col min="15881" max="15881" width="14.42578125" style="140" customWidth="1"/>
    <col min="15882" max="16126" width="9.140625" style="140"/>
    <col min="16127" max="16127" width="2.7109375" style="140" customWidth="1"/>
    <col min="16128" max="16128" width="9.140625" style="140"/>
    <col min="16129" max="16129" width="40.28515625" style="140" bestFit="1" customWidth="1"/>
    <col min="16130" max="16130" width="10" style="140" customWidth="1"/>
    <col min="16131" max="16131" width="10.140625" style="140" customWidth="1"/>
    <col min="16132" max="16132" width="12.28515625" style="140" customWidth="1"/>
    <col min="16133" max="16133" width="15.7109375" style="140" customWidth="1"/>
    <col min="16134" max="16134" width="12.85546875" style="140" customWidth="1"/>
    <col min="16135" max="16135" width="12.7109375" style="140" customWidth="1"/>
    <col min="16136" max="16136" width="12.85546875" style="140" customWidth="1"/>
    <col min="16137" max="16137" width="14.42578125" style="140" customWidth="1"/>
    <col min="16138" max="16384" width="9.140625" style="140"/>
  </cols>
  <sheetData>
    <row r="1" spans="1:11" x14ac:dyDescent="0.2">
      <c r="C1" s="337"/>
      <c r="D1" s="336"/>
      <c r="E1" s="337"/>
      <c r="F1" s="337"/>
      <c r="G1" s="334" t="s">
        <v>394</v>
      </c>
      <c r="H1" s="1513" t="str">
        <f>EBNUMBER</f>
        <v>EB-2015-0089</v>
      </c>
      <c r="J1" s="337"/>
    </row>
    <row r="2" spans="1:11" x14ac:dyDescent="0.2">
      <c r="C2" s="337"/>
      <c r="D2" s="336"/>
      <c r="E2" s="337"/>
      <c r="F2" s="337"/>
      <c r="G2" s="334" t="s">
        <v>395</v>
      </c>
      <c r="H2" s="136"/>
      <c r="J2" s="337"/>
    </row>
    <row r="3" spans="1:11" x14ac:dyDescent="0.2">
      <c r="C3" s="337"/>
      <c r="D3" s="336"/>
      <c r="E3" s="337"/>
      <c r="F3" s="337"/>
      <c r="G3" s="334" t="s">
        <v>396</v>
      </c>
      <c r="H3" s="136"/>
      <c r="J3" s="337"/>
    </row>
    <row r="4" spans="1:11" x14ac:dyDescent="0.2">
      <c r="C4" s="337"/>
      <c r="D4" s="336"/>
      <c r="E4" s="337"/>
      <c r="F4" s="337"/>
      <c r="G4" s="334" t="s">
        <v>397</v>
      </c>
      <c r="H4" s="136"/>
      <c r="J4" s="337"/>
    </row>
    <row r="5" spans="1:11" x14ac:dyDescent="0.2">
      <c r="C5" s="337"/>
      <c r="D5" s="336"/>
      <c r="E5" s="337"/>
      <c r="F5" s="337"/>
      <c r="G5" s="334" t="s">
        <v>398</v>
      </c>
      <c r="H5" s="1514"/>
      <c r="J5" s="337"/>
    </row>
    <row r="6" spans="1:11" x14ac:dyDescent="0.2">
      <c r="C6" s="337"/>
      <c r="D6" s="336"/>
      <c r="E6" s="337"/>
      <c r="F6" s="337"/>
      <c r="G6" s="334"/>
      <c r="H6" s="1513"/>
      <c r="J6" s="337"/>
    </row>
    <row r="7" spans="1:11" x14ac:dyDescent="0.2">
      <c r="C7" s="337"/>
      <c r="D7" s="336"/>
      <c r="E7" s="337"/>
      <c r="F7" s="337"/>
      <c r="G7" s="334" t="s">
        <v>399</v>
      </c>
      <c r="H7" s="1514"/>
      <c r="J7" s="394"/>
    </row>
    <row r="9" spans="1:11" ht="18" x14ac:dyDescent="0.2">
      <c r="A9" s="2083" t="s">
        <v>529</v>
      </c>
      <c r="B9" s="2083"/>
      <c r="C9" s="2083"/>
      <c r="D9" s="2083"/>
      <c r="E9" s="2083"/>
      <c r="F9" s="2083"/>
      <c r="G9" s="2083"/>
      <c r="H9" s="2083"/>
      <c r="I9" s="2083"/>
    </row>
    <row r="10" spans="1:11" ht="18" x14ac:dyDescent="0.2">
      <c r="A10" s="2083" t="s">
        <v>3</v>
      </c>
      <c r="B10" s="2083"/>
      <c r="C10" s="2083"/>
      <c r="D10" s="2083"/>
      <c r="E10" s="2083"/>
      <c r="F10" s="2083"/>
      <c r="G10" s="2083"/>
      <c r="H10" s="2083"/>
      <c r="I10" s="2083"/>
    </row>
    <row r="11" spans="1:11" ht="24" customHeight="1" x14ac:dyDescent="0.2">
      <c r="A11" s="2076" t="s">
        <v>1854</v>
      </c>
      <c r="B11" s="2076"/>
      <c r="C11" s="2076"/>
      <c r="D11" s="2076"/>
      <c r="E11" s="2076"/>
      <c r="F11" s="2076"/>
      <c r="G11" s="2076"/>
      <c r="H11" s="2076"/>
      <c r="I11" s="456"/>
      <c r="J11" s="456"/>
    </row>
    <row r="12" spans="1:11" ht="24" customHeight="1" x14ac:dyDescent="0.2">
      <c r="A12" s="1479"/>
      <c r="B12" s="1479"/>
      <c r="C12" s="1479"/>
      <c r="D12" s="1479"/>
      <c r="E12" s="1479"/>
      <c r="F12" s="1479"/>
      <c r="G12" s="1479"/>
      <c r="H12" s="1479"/>
      <c r="I12" s="456"/>
      <c r="J12" s="456"/>
    </row>
    <row r="13" spans="1:11" ht="13.5" customHeight="1" x14ac:dyDescent="0.25">
      <c r="A13" s="1467"/>
      <c r="B13" s="1467"/>
      <c r="C13" s="435">
        <v>2015</v>
      </c>
      <c r="D13" s="435" t="s">
        <v>152</v>
      </c>
      <c r="E13" s="1467"/>
      <c r="F13" s="1467"/>
      <c r="G13" s="1467"/>
      <c r="H13" s="1467"/>
    </row>
    <row r="14" spans="1:11" ht="13.5" thickBot="1" x14ac:dyDescent="0.25"/>
    <row r="15" spans="1:11" ht="62.25" customHeight="1" x14ac:dyDescent="0.2">
      <c r="A15" s="474" t="s">
        <v>4</v>
      </c>
      <c r="B15" s="2072" t="s">
        <v>324</v>
      </c>
      <c r="C15" s="404" t="s">
        <v>326</v>
      </c>
      <c r="D15" s="404" t="s">
        <v>489</v>
      </c>
      <c r="E15" s="404" t="s">
        <v>479</v>
      </c>
      <c r="F15" s="438" t="s">
        <v>1530</v>
      </c>
      <c r="G15" s="2079" t="s">
        <v>1605</v>
      </c>
      <c r="H15" s="438" t="s">
        <v>482</v>
      </c>
      <c r="I15" s="438" t="s">
        <v>1805</v>
      </c>
      <c r="J15" s="2079" t="s">
        <v>616</v>
      </c>
      <c r="K15" s="438" t="s">
        <v>1806</v>
      </c>
    </row>
    <row r="16" spans="1:11" ht="51.75" thickBot="1" x14ac:dyDescent="0.25">
      <c r="A16" s="475"/>
      <c r="B16" s="2078"/>
      <c r="C16" s="439" t="s">
        <v>6</v>
      </c>
      <c r="D16" s="439" t="s">
        <v>8</v>
      </c>
      <c r="E16" s="439" t="s">
        <v>9</v>
      </c>
      <c r="F16" s="457" t="s">
        <v>1531</v>
      </c>
      <c r="G16" s="2080"/>
      <c r="H16" s="442" t="s">
        <v>476</v>
      </c>
      <c r="I16" s="442" t="s">
        <v>491</v>
      </c>
      <c r="J16" s="2081"/>
      <c r="K16" s="458" t="s">
        <v>1807</v>
      </c>
    </row>
    <row r="17" spans="1:11" ht="25.5" x14ac:dyDescent="0.2">
      <c r="A17" s="476">
        <v>1611</v>
      </c>
      <c r="B17" s="477" t="s">
        <v>475</v>
      </c>
      <c r="C17" s="356"/>
      <c r="D17" s="478"/>
      <c r="E17" s="479">
        <f t="shared" ref="E17:E54" si="0">IF(D17=0,0,1/D17)</f>
        <v>0</v>
      </c>
      <c r="F17" s="374">
        <f>IF(D17=0,'App.2-CD_MIFRS_DepExp_2014'!K17,+'App.2-CD_MIFRS_DepExp_2014'!K17+((C17*0.5)/D17))</f>
        <v>0</v>
      </c>
      <c r="G17" s="480"/>
      <c r="H17" s="374">
        <f t="shared" ref="H17:H54" si="1">IF(ISERROR(+F17-G17), 0, +F17-G17)</f>
        <v>0</v>
      </c>
      <c r="I17" s="374">
        <f>IF(D17=0,0,+(C17)/D17)</f>
        <v>0</v>
      </c>
      <c r="J17" s="356"/>
      <c r="K17" s="374">
        <f>IF(ISERROR(+I17+'App.2-CD_MIFRS_DepExp_2014'!K17-J17), 0, +I17+'App.2-CD_MIFRS_DepExp_2014'!K17-J17)</f>
        <v>0</v>
      </c>
    </row>
    <row r="18" spans="1:11" x14ac:dyDescent="0.2">
      <c r="A18" s="1477">
        <v>1612</v>
      </c>
      <c r="B18" s="355" t="s">
        <v>563</v>
      </c>
      <c r="C18" s="356"/>
      <c r="D18" s="411"/>
      <c r="E18" s="413">
        <f t="shared" si="0"/>
        <v>0</v>
      </c>
      <c r="F18" s="374">
        <f>IF(D18=0,'App.2-CD_MIFRS_DepExp_2014'!K18,+'App.2-CD_MIFRS_DepExp_2014'!K18+((C18*0.5)/D18))</f>
        <v>0</v>
      </c>
      <c r="G18" s="481"/>
      <c r="H18" s="374">
        <f t="shared" si="1"/>
        <v>0</v>
      </c>
      <c r="I18" s="374">
        <f t="shared" ref="I18:I54" si="2">IF(D18=0,0,+(C18)/D18)</f>
        <v>0</v>
      </c>
      <c r="J18" s="356"/>
      <c r="K18" s="374">
        <f>IF(ISERROR(+I18+'App.2-CD_MIFRS_DepExp_2014'!K18-J18), 0, +I18+'App.2-CD_MIFRS_DepExp_2014'!K18-J18)</f>
        <v>0</v>
      </c>
    </row>
    <row r="19" spans="1:11" x14ac:dyDescent="0.2">
      <c r="A19" s="414">
        <v>1805</v>
      </c>
      <c r="B19" s="362" t="s">
        <v>358</v>
      </c>
      <c r="C19" s="356"/>
      <c r="D19" s="411"/>
      <c r="E19" s="413">
        <f t="shared" si="0"/>
        <v>0</v>
      </c>
      <c r="F19" s="374">
        <f>IF(D19=0,'App.2-CD_MIFRS_DepExp_2014'!K19,+'App.2-CD_MIFRS_DepExp_2014'!K19+((C19*0.5)/D19))</f>
        <v>0</v>
      </c>
      <c r="G19" s="481"/>
      <c r="H19" s="374">
        <f t="shared" si="1"/>
        <v>0</v>
      </c>
      <c r="I19" s="374">
        <f t="shared" si="2"/>
        <v>0</v>
      </c>
      <c r="J19" s="356"/>
      <c r="K19" s="374">
        <f>IF(ISERROR(+I19+'App.2-CD_MIFRS_DepExp_2014'!K19-J19), 0, +I19+'App.2-CD_MIFRS_DepExp_2014'!K19-J19)</f>
        <v>0</v>
      </c>
    </row>
    <row r="20" spans="1:11" x14ac:dyDescent="0.2">
      <c r="A20" s="1477">
        <v>1808</v>
      </c>
      <c r="B20" s="363" t="s">
        <v>359</v>
      </c>
      <c r="C20" s="356"/>
      <c r="D20" s="411"/>
      <c r="E20" s="413">
        <f t="shared" si="0"/>
        <v>0</v>
      </c>
      <c r="F20" s="374">
        <f>IF(D20=0,'App.2-CD_MIFRS_DepExp_2014'!K20,+'App.2-CD_MIFRS_DepExp_2014'!K20+((C20*0.5)/D20))</f>
        <v>0</v>
      </c>
      <c r="G20" s="481"/>
      <c r="H20" s="374">
        <f t="shared" si="1"/>
        <v>0</v>
      </c>
      <c r="I20" s="374">
        <f t="shared" si="2"/>
        <v>0</v>
      </c>
      <c r="J20" s="356"/>
      <c r="K20" s="374">
        <f>IF(ISERROR(+I20+'App.2-CD_MIFRS_DepExp_2014'!K20-J20), 0, +I20+'App.2-CD_MIFRS_DepExp_2014'!K20-J20)</f>
        <v>0</v>
      </c>
    </row>
    <row r="21" spans="1:11" x14ac:dyDescent="0.2">
      <c r="A21" s="1477">
        <v>1810</v>
      </c>
      <c r="B21" s="363" t="s">
        <v>392</v>
      </c>
      <c r="C21" s="356"/>
      <c r="D21" s="411"/>
      <c r="E21" s="413">
        <f t="shared" si="0"/>
        <v>0</v>
      </c>
      <c r="F21" s="374">
        <f>IF(D21=0,'App.2-CD_MIFRS_DepExp_2014'!K21,+'App.2-CD_MIFRS_DepExp_2014'!K21+((C21*0.5)/D21))</f>
        <v>0</v>
      </c>
      <c r="G21" s="481"/>
      <c r="H21" s="374">
        <f t="shared" si="1"/>
        <v>0</v>
      </c>
      <c r="I21" s="374">
        <f t="shared" si="2"/>
        <v>0</v>
      </c>
      <c r="J21" s="356"/>
      <c r="K21" s="374">
        <f>IF(ISERROR(+I21+'App.2-CD_MIFRS_DepExp_2014'!K21-J21), 0, +I21+'App.2-CD_MIFRS_DepExp_2014'!K21-J21)</f>
        <v>0</v>
      </c>
    </row>
    <row r="22" spans="1:11" x14ac:dyDescent="0.2">
      <c r="A22" s="1477">
        <v>1815</v>
      </c>
      <c r="B22" s="363" t="s">
        <v>360</v>
      </c>
      <c r="C22" s="356"/>
      <c r="D22" s="411"/>
      <c r="E22" s="413">
        <f t="shared" si="0"/>
        <v>0</v>
      </c>
      <c r="F22" s="374">
        <f>IF(D22=0,'App.2-CD_MIFRS_DepExp_2014'!K22,+'App.2-CD_MIFRS_DepExp_2014'!K22+((C22*0.5)/D22))</f>
        <v>0</v>
      </c>
      <c r="G22" s="481"/>
      <c r="H22" s="374">
        <f t="shared" si="1"/>
        <v>0</v>
      </c>
      <c r="I22" s="374">
        <f t="shared" si="2"/>
        <v>0</v>
      </c>
      <c r="J22" s="356"/>
      <c r="K22" s="374">
        <f>IF(ISERROR(+I22+'App.2-CD_MIFRS_DepExp_2014'!K22-J22), 0, +I22+'App.2-CD_MIFRS_DepExp_2014'!K22-J22)</f>
        <v>0</v>
      </c>
    </row>
    <row r="23" spans="1:11" x14ac:dyDescent="0.2">
      <c r="A23" s="1477">
        <v>1820</v>
      </c>
      <c r="B23" s="355" t="s">
        <v>287</v>
      </c>
      <c r="C23" s="356"/>
      <c r="D23" s="411"/>
      <c r="E23" s="413">
        <f t="shared" si="0"/>
        <v>0</v>
      </c>
      <c r="F23" s="374">
        <f>IF(D23=0,'App.2-CD_MIFRS_DepExp_2014'!K23,+'App.2-CD_MIFRS_DepExp_2014'!K23+((C23*0.5)/D23))</f>
        <v>0</v>
      </c>
      <c r="G23" s="481"/>
      <c r="H23" s="374">
        <f t="shared" si="1"/>
        <v>0</v>
      </c>
      <c r="I23" s="374">
        <f t="shared" si="2"/>
        <v>0</v>
      </c>
      <c r="J23" s="356"/>
      <c r="K23" s="374">
        <f>IF(ISERROR(+I23+'App.2-CD_MIFRS_DepExp_2014'!K23-J23), 0, +I23+'App.2-CD_MIFRS_DepExp_2014'!K23-J23)</f>
        <v>0</v>
      </c>
    </row>
    <row r="24" spans="1:11" x14ac:dyDescent="0.2">
      <c r="A24" s="1477">
        <v>1825</v>
      </c>
      <c r="B24" s="363" t="s">
        <v>361</v>
      </c>
      <c r="C24" s="356"/>
      <c r="D24" s="411"/>
      <c r="E24" s="413">
        <f t="shared" si="0"/>
        <v>0</v>
      </c>
      <c r="F24" s="374">
        <f>IF(D24=0,'App.2-CD_MIFRS_DepExp_2014'!K24,+'App.2-CD_MIFRS_DepExp_2014'!K24+((C24*0.5)/D24))</f>
        <v>0</v>
      </c>
      <c r="G24" s="481"/>
      <c r="H24" s="374">
        <f t="shared" si="1"/>
        <v>0</v>
      </c>
      <c r="I24" s="374">
        <f t="shared" si="2"/>
        <v>0</v>
      </c>
      <c r="J24" s="356"/>
      <c r="K24" s="374">
        <f>IF(ISERROR(+I24+'App.2-CD_MIFRS_DepExp_2014'!K24-J24), 0, +I24+'App.2-CD_MIFRS_DepExp_2014'!K24-J24)</f>
        <v>0</v>
      </c>
    </row>
    <row r="25" spans="1:11" x14ac:dyDescent="0.2">
      <c r="A25" s="1477">
        <v>1830</v>
      </c>
      <c r="B25" s="363" t="s">
        <v>362</v>
      </c>
      <c r="C25" s="356"/>
      <c r="D25" s="411"/>
      <c r="E25" s="413">
        <f t="shared" si="0"/>
        <v>0</v>
      </c>
      <c r="F25" s="374">
        <f>IF(D25=0,'App.2-CD_MIFRS_DepExp_2014'!K25,+'App.2-CD_MIFRS_DepExp_2014'!K25+((C25*0.5)/D25))</f>
        <v>0</v>
      </c>
      <c r="G25" s="481"/>
      <c r="H25" s="374">
        <f t="shared" si="1"/>
        <v>0</v>
      </c>
      <c r="I25" s="374">
        <f t="shared" si="2"/>
        <v>0</v>
      </c>
      <c r="J25" s="356"/>
      <c r="K25" s="374">
        <f>IF(ISERROR(+I25+'App.2-CD_MIFRS_DepExp_2014'!K25-J25), 0, +I25+'App.2-CD_MIFRS_DepExp_2014'!K25-J25)</f>
        <v>0</v>
      </c>
    </row>
    <row r="26" spans="1:11" x14ac:dyDescent="0.2">
      <c r="A26" s="1477">
        <v>1835</v>
      </c>
      <c r="B26" s="363" t="s">
        <v>288</v>
      </c>
      <c r="C26" s="356"/>
      <c r="D26" s="411"/>
      <c r="E26" s="413">
        <f t="shared" si="0"/>
        <v>0</v>
      </c>
      <c r="F26" s="374">
        <f>IF(D26=0,'App.2-CD_MIFRS_DepExp_2014'!K26,+'App.2-CD_MIFRS_DepExp_2014'!K26+((C26*0.5)/D26))</f>
        <v>0</v>
      </c>
      <c r="G26" s="481"/>
      <c r="H26" s="374">
        <f t="shared" si="1"/>
        <v>0</v>
      </c>
      <c r="I26" s="374">
        <f t="shared" si="2"/>
        <v>0</v>
      </c>
      <c r="J26" s="356"/>
      <c r="K26" s="374">
        <f>IF(ISERROR(+I26+'App.2-CD_MIFRS_DepExp_2014'!K26-J26), 0, +I26+'App.2-CD_MIFRS_DepExp_2014'!K26-J26)</f>
        <v>0</v>
      </c>
    </row>
    <row r="27" spans="1:11" x14ac:dyDescent="0.2">
      <c r="A27" s="1477">
        <v>1840</v>
      </c>
      <c r="B27" s="363" t="s">
        <v>289</v>
      </c>
      <c r="C27" s="356"/>
      <c r="D27" s="411"/>
      <c r="E27" s="413">
        <f t="shared" si="0"/>
        <v>0</v>
      </c>
      <c r="F27" s="374">
        <f>IF(D27=0,'App.2-CD_MIFRS_DepExp_2014'!K27,+'App.2-CD_MIFRS_DepExp_2014'!K27+((C27*0.5)/D27))</f>
        <v>0</v>
      </c>
      <c r="G27" s="481"/>
      <c r="H27" s="374">
        <f t="shared" si="1"/>
        <v>0</v>
      </c>
      <c r="I27" s="374">
        <f t="shared" si="2"/>
        <v>0</v>
      </c>
      <c r="J27" s="356"/>
      <c r="K27" s="374">
        <f>IF(ISERROR(+I27+'App.2-CD_MIFRS_DepExp_2014'!K27-J27), 0, +I27+'App.2-CD_MIFRS_DepExp_2014'!K27-J27)</f>
        <v>0</v>
      </c>
    </row>
    <row r="28" spans="1:11" x14ac:dyDescent="0.2">
      <c r="A28" s="1477">
        <v>1845</v>
      </c>
      <c r="B28" s="363" t="s">
        <v>290</v>
      </c>
      <c r="C28" s="356"/>
      <c r="D28" s="411"/>
      <c r="E28" s="413">
        <f t="shared" si="0"/>
        <v>0</v>
      </c>
      <c r="F28" s="374">
        <f>IF(D28=0,'App.2-CD_MIFRS_DepExp_2014'!K28,+'App.2-CD_MIFRS_DepExp_2014'!K28+((C28*0.5)/D28))</f>
        <v>0</v>
      </c>
      <c r="G28" s="481"/>
      <c r="H28" s="374">
        <f t="shared" si="1"/>
        <v>0</v>
      </c>
      <c r="I28" s="374">
        <f t="shared" si="2"/>
        <v>0</v>
      </c>
      <c r="J28" s="356"/>
      <c r="K28" s="374">
        <f>IF(ISERROR(+I28+'App.2-CD_MIFRS_DepExp_2014'!K28-J28), 0, +I28+'App.2-CD_MIFRS_DepExp_2014'!K28-J28)</f>
        <v>0</v>
      </c>
    </row>
    <row r="29" spans="1:11" x14ac:dyDescent="0.2">
      <c r="A29" s="1477">
        <v>1850</v>
      </c>
      <c r="B29" s="363" t="s">
        <v>363</v>
      </c>
      <c r="C29" s="356"/>
      <c r="D29" s="411"/>
      <c r="E29" s="413">
        <f t="shared" si="0"/>
        <v>0</v>
      </c>
      <c r="F29" s="374">
        <f>IF(D29=0,'App.2-CD_MIFRS_DepExp_2014'!K29,+'App.2-CD_MIFRS_DepExp_2014'!K29+((C29*0.5)/D29))</f>
        <v>0</v>
      </c>
      <c r="G29" s="481"/>
      <c r="H29" s="374">
        <f t="shared" si="1"/>
        <v>0</v>
      </c>
      <c r="I29" s="374">
        <f t="shared" si="2"/>
        <v>0</v>
      </c>
      <c r="J29" s="356"/>
      <c r="K29" s="374">
        <f>IF(ISERROR(+I29+'App.2-CD_MIFRS_DepExp_2014'!K29-J29), 0, +I29+'App.2-CD_MIFRS_DepExp_2014'!K29-J29)</f>
        <v>0</v>
      </c>
    </row>
    <row r="30" spans="1:11" x14ac:dyDescent="0.2">
      <c r="A30" s="1477">
        <v>1855</v>
      </c>
      <c r="B30" s="363" t="s">
        <v>291</v>
      </c>
      <c r="C30" s="356"/>
      <c r="D30" s="411"/>
      <c r="E30" s="413">
        <f t="shared" si="0"/>
        <v>0</v>
      </c>
      <c r="F30" s="374">
        <f>IF(D30=0,'App.2-CD_MIFRS_DepExp_2014'!K30,+'App.2-CD_MIFRS_DepExp_2014'!K30+((C30*0.5)/D30))</f>
        <v>0</v>
      </c>
      <c r="G30" s="481"/>
      <c r="H30" s="374">
        <f t="shared" si="1"/>
        <v>0</v>
      </c>
      <c r="I30" s="374">
        <f t="shared" si="2"/>
        <v>0</v>
      </c>
      <c r="J30" s="356"/>
      <c r="K30" s="374">
        <f>IF(ISERROR(+I30+'App.2-CD_MIFRS_DepExp_2014'!K30-J30), 0, +I30+'App.2-CD_MIFRS_DepExp_2014'!K30-J30)</f>
        <v>0</v>
      </c>
    </row>
    <row r="31" spans="1:11" x14ac:dyDescent="0.2">
      <c r="A31" s="1477">
        <v>1860</v>
      </c>
      <c r="B31" s="363" t="s">
        <v>364</v>
      </c>
      <c r="C31" s="356"/>
      <c r="D31" s="411"/>
      <c r="E31" s="413">
        <f t="shared" si="0"/>
        <v>0</v>
      </c>
      <c r="F31" s="374">
        <f>IF(D31=0,'App.2-CD_MIFRS_DepExp_2014'!K31,+'App.2-CD_MIFRS_DepExp_2014'!K31+((C31*0.5)/D31))</f>
        <v>0</v>
      </c>
      <c r="G31" s="481"/>
      <c r="H31" s="374">
        <f t="shared" si="1"/>
        <v>0</v>
      </c>
      <c r="I31" s="374">
        <f t="shared" si="2"/>
        <v>0</v>
      </c>
      <c r="J31" s="356"/>
      <c r="K31" s="374">
        <f>IF(ISERROR(+I31+'App.2-CD_MIFRS_DepExp_2014'!K31-J31), 0, +I31+'App.2-CD_MIFRS_DepExp_2014'!K31-J31)</f>
        <v>0</v>
      </c>
    </row>
    <row r="32" spans="1:11" x14ac:dyDescent="0.2">
      <c r="A32" s="414">
        <v>1860</v>
      </c>
      <c r="B32" s="362" t="s">
        <v>292</v>
      </c>
      <c r="C32" s="356"/>
      <c r="D32" s="411"/>
      <c r="E32" s="413">
        <f t="shared" si="0"/>
        <v>0</v>
      </c>
      <c r="F32" s="374">
        <f>IF(D32=0,'App.2-CD_MIFRS_DepExp_2014'!K32,+'App.2-CD_MIFRS_DepExp_2014'!K32+((C32*0.5)/D32))</f>
        <v>0</v>
      </c>
      <c r="G32" s="481"/>
      <c r="H32" s="374">
        <f t="shared" si="1"/>
        <v>0</v>
      </c>
      <c r="I32" s="374">
        <f t="shared" si="2"/>
        <v>0</v>
      </c>
      <c r="J32" s="356"/>
      <c r="K32" s="374">
        <f>IF(ISERROR(+I32+'App.2-CD_MIFRS_DepExp_2014'!K32-J32), 0, +I32+'App.2-CD_MIFRS_DepExp_2014'!K32-J32)</f>
        <v>0</v>
      </c>
    </row>
    <row r="33" spans="1:11" x14ac:dyDescent="0.2">
      <c r="A33" s="414">
        <v>1905</v>
      </c>
      <c r="B33" s="362" t="s">
        <v>358</v>
      </c>
      <c r="C33" s="356"/>
      <c r="D33" s="411"/>
      <c r="E33" s="413">
        <f t="shared" si="0"/>
        <v>0</v>
      </c>
      <c r="F33" s="374">
        <f>IF(D33=0,'App.2-CD_MIFRS_DepExp_2014'!K33,+'App.2-CD_MIFRS_DepExp_2014'!K33+((C33*0.5)/D33))</f>
        <v>0</v>
      </c>
      <c r="G33" s="481"/>
      <c r="H33" s="374">
        <f t="shared" si="1"/>
        <v>0</v>
      </c>
      <c r="I33" s="374">
        <f t="shared" si="2"/>
        <v>0</v>
      </c>
      <c r="J33" s="356"/>
      <c r="K33" s="374">
        <f>IF(ISERROR(+I33+'App.2-CD_MIFRS_DepExp_2014'!K33-J33), 0, +I33+'App.2-CD_MIFRS_DepExp_2014'!K33-J33)</f>
        <v>0</v>
      </c>
    </row>
    <row r="34" spans="1:11" x14ac:dyDescent="0.2">
      <c r="A34" s="1477">
        <v>1908</v>
      </c>
      <c r="B34" s="363" t="s">
        <v>366</v>
      </c>
      <c r="C34" s="356"/>
      <c r="D34" s="411"/>
      <c r="E34" s="413">
        <f t="shared" si="0"/>
        <v>0</v>
      </c>
      <c r="F34" s="374">
        <f>IF(D34=0,'App.2-CD_MIFRS_DepExp_2014'!K34,+'App.2-CD_MIFRS_DepExp_2014'!K34+((C34*0.5)/D34))</f>
        <v>0</v>
      </c>
      <c r="G34" s="481"/>
      <c r="H34" s="374">
        <f t="shared" si="1"/>
        <v>0</v>
      </c>
      <c r="I34" s="374">
        <f t="shared" si="2"/>
        <v>0</v>
      </c>
      <c r="J34" s="356"/>
      <c r="K34" s="374">
        <f>IF(ISERROR(+I34+'App.2-CD_MIFRS_DepExp_2014'!K34-J34), 0, +I34+'App.2-CD_MIFRS_DepExp_2014'!K34-J34)</f>
        <v>0</v>
      </c>
    </row>
    <row r="35" spans="1:11" x14ac:dyDescent="0.2">
      <c r="A35" s="1477">
        <v>1910</v>
      </c>
      <c r="B35" s="363" t="s">
        <v>392</v>
      </c>
      <c r="C35" s="356"/>
      <c r="D35" s="411"/>
      <c r="E35" s="413">
        <f t="shared" si="0"/>
        <v>0</v>
      </c>
      <c r="F35" s="374">
        <f>IF(D35=0,'App.2-CD_MIFRS_DepExp_2014'!K35,+'App.2-CD_MIFRS_DepExp_2014'!K35+((C35*0.5)/D35))</f>
        <v>0</v>
      </c>
      <c r="G35" s="481"/>
      <c r="H35" s="374">
        <f t="shared" si="1"/>
        <v>0</v>
      </c>
      <c r="I35" s="374">
        <f t="shared" si="2"/>
        <v>0</v>
      </c>
      <c r="J35" s="356"/>
      <c r="K35" s="374">
        <f>IF(ISERROR(+I35+'App.2-CD_MIFRS_DepExp_2014'!K35-J35), 0, +I35+'App.2-CD_MIFRS_DepExp_2014'!K35-J35)</f>
        <v>0</v>
      </c>
    </row>
    <row r="36" spans="1:11" x14ac:dyDescent="0.2">
      <c r="A36" s="1477">
        <v>1915</v>
      </c>
      <c r="B36" s="363" t="s">
        <v>293</v>
      </c>
      <c r="C36" s="356"/>
      <c r="D36" s="411"/>
      <c r="E36" s="413">
        <f t="shared" si="0"/>
        <v>0</v>
      </c>
      <c r="F36" s="374">
        <f>IF(D36=0,'App.2-CD_MIFRS_DepExp_2014'!K36,+'App.2-CD_MIFRS_DepExp_2014'!K36+((C36*0.5)/D36))</f>
        <v>0</v>
      </c>
      <c r="G36" s="481"/>
      <c r="H36" s="374">
        <f t="shared" si="1"/>
        <v>0</v>
      </c>
      <c r="I36" s="374">
        <f t="shared" si="2"/>
        <v>0</v>
      </c>
      <c r="J36" s="356"/>
      <c r="K36" s="374">
        <f>IF(ISERROR(+I36+'App.2-CD_MIFRS_DepExp_2014'!K36-J36), 0, +I36+'App.2-CD_MIFRS_DepExp_2014'!K36-J36)</f>
        <v>0</v>
      </c>
    </row>
    <row r="37" spans="1:11" x14ac:dyDescent="0.2">
      <c r="A37" s="1477">
        <v>1915</v>
      </c>
      <c r="B37" s="363" t="s">
        <v>294</v>
      </c>
      <c r="C37" s="356"/>
      <c r="D37" s="411"/>
      <c r="E37" s="413">
        <f t="shared" si="0"/>
        <v>0</v>
      </c>
      <c r="F37" s="374">
        <f>IF(D37=0,'App.2-CD_MIFRS_DepExp_2014'!K37,+'App.2-CD_MIFRS_DepExp_2014'!K37+((C37*0.5)/D37))</f>
        <v>0</v>
      </c>
      <c r="G37" s="481"/>
      <c r="H37" s="374">
        <f t="shared" si="1"/>
        <v>0</v>
      </c>
      <c r="I37" s="374">
        <f t="shared" si="2"/>
        <v>0</v>
      </c>
      <c r="J37" s="356"/>
      <c r="K37" s="374">
        <f>IF(ISERROR(+I37+'App.2-CD_MIFRS_DepExp_2014'!K37-J37), 0, +I37+'App.2-CD_MIFRS_DepExp_2014'!K37-J37)</f>
        <v>0</v>
      </c>
    </row>
    <row r="38" spans="1:11" x14ac:dyDescent="0.2">
      <c r="A38" s="1477">
        <v>1920</v>
      </c>
      <c r="B38" s="363" t="s">
        <v>295</v>
      </c>
      <c r="C38" s="356"/>
      <c r="D38" s="411"/>
      <c r="E38" s="413">
        <f t="shared" si="0"/>
        <v>0</v>
      </c>
      <c r="F38" s="374">
        <f>IF(D38=0,'App.2-CD_MIFRS_DepExp_2014'!K38,+'App.2-CD_MIFRS_DepExp_2014'!K38+((C38*0.5)/D38))</f>
        <v>0</v>
      </c>
      <c r="G38" s="481"/>
      <c r="H38" s="374">
        <f t="shared" si="1"/>
        <v>0</v>
      </c>
      <c r="I38" s="374">
        <f t="shared" si="2"/>
        <v>0</v>
      </c>
      <c r="J38" s="356"/>
      <c r="K38" s="374">
        <f>IF(ISERROR(+I38+'App.2-CD_MIFRS_DepExp_2014'!K38-J38), 0, +I38+'App.2-CD_MIFRS_DepExp_2014'!K38-J38)</f>
        <v>0</v>
      </c>
    </row>
    <row r="39" spans="1:11" x14ac:dyDescent="0.2">
      <c r="A39" s="415">
        <v>1920</v>
      </c>
      <c r="B39" s="355" t="s">
        <v>297</v>
      </c>
      <c r="C39" s="356"/>
      <c r="D39" s="411"/>
      <c r="E39" s="413">
        <f t="shared" si="0"/>
        <v>0</v>
      </c>
      <c r="F39" s="374">
        <f>IF(D39=0,'App.2-CD_MIFRS_DepExp_2014'!K39,+'App.2-CD_MIFRS_DepExp_2014'!K39+((C39*0.5)/D39))</f>
        <v>0</v>
      </c>
      <c r="G39" s="481"/>
      <c r="H39" s="374">
        <f t="shared" si="1"/>
        <v>0</v>
      </c>
      <c r="I39" s="374">
        <f t="shared" si="2"/>
        <v>0</v>
      </c>
      <c r="J39" s="356"/>
      <c r="K39" s="374">
        <f>IF(ISERROR(+I39+'App.2-CD_MIFRS_DepExp_2014'!K39-J39), 0, +I39+'App.2-CD_MIFRS_DepExp_2014'!K39-J39)</f>
        <v>0</v>
      </c>
    </row>
    <row r="40" spans="1:11" x14ac:dyDescent="0.2">
      <c r="A40" s="415">
        <v>1920</v>
      </c>
      <c r="B40" s="355" t="s">
        <v>296</v>
      </c>
      <c r="C40" s="356"/>
      <c r="D40" s="411"/>
      <c r="E40" s="413">
        <f t="shared" si="0"/>
        <v>0</v>
      </c>
      <c r="F40" s="374">
        <f>IF(D40=0,'App.2-CD_MIFRS_DepExp_2014'!K40,+'App.2-CD_MIFRS_DepExp_2014'!K40+((C40*0.5)/D40))</f>
        <v>0</v>
      </c>
      <c r="G40" s="481"/>
      <c r="H40" s="374">
        <f t="shared" si="1"/>
        <v>0</v>
      </c>
      <c r="I40" s="374">
        <f t="shared" si="2"/>
        <v>0</v>
      </c>
      <c r="J40" s="356"/>
      <c r="K40" s="374">
        <f>IF(ISERROR(+I40+'App.2-CD_MIFRS_DepExp_2014'!K40-J40), 0, +I40+'App.2-CD_MIFRS_DepExp_2014'!K40-J40)</f>
        <v>0</v>
      </c>
    </row>
    <row r="41" spans="1:11" x14ac:dyDescent="0.2">
      <c r="A41" s="1477">
        <v>1930</v>
      </c>
      <c r="B41" s="363" t="s">
        <v>379</v>
      </c>
      <c r="C41" s="356"/>
      <c r="D41" s="411"/>
      <c r="E41" s="413">
        <f t="shared" si="0"/>
        <v>0</v>
      </c>
      <c r="F41" s="374">
        <f>IF(D41=0,'App.2-CD_MIFRS_DepExp_2014'!K41,+'App.2-CD_MIFRS_DepExp_2014'!K41+((C41*0.5)/D41))</f>
        <v>0</v>
      </c>
      <c r="G41" s="481"/>
      <c r="H41" s="374">
        <f t="shared" si="1"/>
        <v>0</v>
      </c>
      <c r="I41" s="374">
        <f t="shared" si="2"/>
        <v>0</v>
      </c>
      <c r="J41" s="356"/>
      <c r="K41" s="374">
        <f>IF(ISERROR(+I41+'App.2-CD_MIFRS_DepExp_2014'!K41-J41), 0, +I41+'App.2-CD_MIFRS_DepExp_2014'!K41-J41)</f>
        <v>0</v>
      </c>
    </row>
    <row r="42" spans="1:11" x14ac:dyDescent="0.2">
      <c r="A42" s="1477">
        <v>1935</v>
      </c>
      <c r="B42" s="363" t="s">
        <v>380</v>
      </c>
      <c r="C42" s="356"/>
      <c r="D42" s="411"/>
      <c r="E42" s="413">
        <f t="shared" si="0"/>
        <v>0</v>
      </c>
      <c r="F42" s="374">
        <f>IF(D42=0,'App.2-CD_MIFRS_DepExp_2014'!K42,+'App.2-CD_MIFRS_DepExp_2014'!K42+((C42*0.5)/D42))</f>
        <v>0</v>
      </c>
      <c r="G42" s="481"/>
      <c r="H42" s="374">
        <f t="shared" si="1"/>
        <v>0</v>
      </c>
      <c r="I42" s="374">
        <f t="shared" si="2"/>
        <v>0</v>
      </c>
      <c r="J42" s="356"/>
      <c r="K42" s="374">
        <f>IF(ISERROR(+I42+'App.2-CD_MIFRS_DepExp_2014'!K42-J42), 0, +I42+'App.2-CD_MIFRS_DepExp_2014'!K42-J42)</f>
        <v>0</v>
      </c>
    </row>
    <row r="43" spans="1:11" x14ac:dyDescent="0.2">
      <c r="A43" s="1477">
        <v>1940</v>
      </c>
      <c r="B43" s="363" t="s">
        <v>381</v>
      </c>
      <c r="C43" s="356"/>
      <c r="D43" s="411"/>
      <c r="E43" s="413">
        <f t="shared" si="0"/>
        <v>0</v>
      </c>
      <c r="F43" s="374">
        <f>IF(D43=0,'App.2-CD_MIFRS_DepExp_2014'!K43,+'App.2-CD_MIFRS_DepExp_2014'!K43+((C43*0.5)/D43))</f>
        <v>0</v>
      </c>
      <c r="G43" s="481"/>
      <c r="H43" s="374">
        <f t="shared" si="1"/>
        <v>0</v>
      </c>
      <c r="I43" s="374">
        <f t="shared" si="2"/>
        <v>0</v>
      </c>
      <c r="J43" s="356"/>
      <c r="K43" s="374">
        <f>IF(ISERROR(+I43+'App.2-CD_MIFRS_DepExp_2014'!K43-J43), 0, +I43+'App.2-CD_MIFRS_DepExp_2014'!K43-J43)</f>
        <v>0</v>
      </c>
    </row>
    <row r="44" spans="1:11" x14ac:dyDescent="0.2">
      <c r="A44" s="1477">
        <v>1945</v>
      </c>
      <c r="B44" s="363" t="s">
        <v>382</v>
      </c>
      <c r="C44" s="356"/>
      <c r="D44" s="411"/>
      <c r="E44" s="413">
        <f t="shared" si="0"/>
        <v>0</v>
      </c>
      <c r="F44" s="374">
        <f>IF(D44=0,'App.2-CD_MIFRS_DepExp_2014'!K44,+'App.2-CD_MIFRS_DepExp_2014'!K44+((C44*0.5)/D44))</f>
        <v>0</v>
      </c>
      <c r="G44" s="481"/>
      <c r="H44" s="374">
        <f t="shared" si="1"/>
        <v>0</v>
      </c>
      <c r="I44" s="374">
        <f t="shared" si="2"/>
        <v>0</v>
      </c>
      <c r="J44" s="356"/>
      <c r="K44" s="374">
        <f>IF(ISERROR(+I44+'App.2-CD_MIFRS_DepExp_2014'!K44-J44), 0, +I44+'App.2-CD_MIFRS_DepExp_2014'!K44-J44)</f>
        <v>0</v>
      </c>
    </row>
    <row r="45" spans="1:11" x14ac:dyDescent="0.2">
      <c r="A45" s="1477">
        <v>1950</v>
      </c>
      <c r="B45" s="363" t="s">
        <v>298</v>
      </c>
      <c r="C45" s="356"/>
      <c r="D45" s="411"/>
      <c r="E45" s="413">
        <f t="shared" si="0"/>
        <v>0</v>
      </c>
      <c r="F45" s="374">
        <f>IF(D45=0,'App.2-CD_MIFRS_DepExp_2014'!K45,+'App.2-CD_MIFRS_DepExp_2014'!K45+((C45*0.5)/D45))</f>
        <v>0</v>
      </c>
      <c r="G45" s="481"/>
      <c r="H45" s="374">
        <f t="shared" si="1"/>
        <v>0</v>
      </c>
      <c r="I45" s="374">
        <f t="shared" si="2"/>
        <v>0</v>
      </c>
      <c r="J45" s="356"/>
      <c r="K45" s="374">
        <f>IF(ISERROR(+I45+'App.2-CD_MIFRS_DepExp_2014'!K45-J45), 0, +I45+'App.2-CD_MIFRS_DepExp_2014'!K45-J45)</f>
        <v>0</v>
      </c>
    </row>
    <row r="46" spans="1:11" x14ac:dyDescent="0.2">
      <c r="A46" s="1477">
        <v>1955</v>
      </c>
      <c r="B46" s="363" t="s">
        <v>383</v>
      </c>
      <c r="C46" s="356"/>
      <c r="D46" s="411"/>
      <c r="E46" s="413">
        <f t="shared" si="0"/>
        <v>0</v>
      </c>
      <c r="F46" s="374">
        <f>IF(D46=0,'App.2-CD_MIFRS_DepExp_2014'!K46,+'App.2-CD_MIFRS_DepExp_2014'!K46+((C46*0.5)/D46))</f>
        <v>0</v>
      </c>
      <c r="G46" s="481"/>
      <c r="H46" s="374">
        <f t="shared" si="1"/>
        <v>0</v>
      </c>
      <c r="I46" s="374">
        <f t="shared" si="2"/>
        <v>0</v>
      </c>
      <c r="J46" s="356"/>
      <c r="K46" s="374">
        <f>IF(ISERROR(+I46+'App.2-CD_MIFRS_DepExp_2014'!K46-J46), 0, +I46+'App.2-CD_MIFRS_DepExp_2014'!K46-J46)</f>
        <v>0</v>
      </c>
    </row>
    <row r="47" spans="1:11" x14ac:dyDescent="0.2">
      <c r="A47" s="416">
        <v>1955</v>
      </c>
      <c r="B47" s="367" t="s">
        <v>299</v>
      </c>
      <c r="C47" s="356"/>
      <c r="D47" s="411"/>
      <c r="E47" s="413">
        <f t="shared" si="0"/>
        <v>0</v>
      </c>
      <c r="F47" s="374">
        <f>IF(D47=0,'App.2-CD_MIFRS_DepExp_2014'!K47,+'App.2-CD_MIFRS_DepExp_2014'!K47+((C47*0.5)/D47))</f>
        <v>0</v>
      </c>
      <c r="G47" s="481"/>
      <c r="H47" s="374">
        <f t="shared" si="1"/>
        <v>0</v>
      </c>
      <c r="I47" s="374">
        <f t="shared" si="2"/>
        <v>0</v>
      </c>
      <c r="J47" s="356"/>
      <c r="K47" s="374">
        <f>IF(ISERROR(+I47+'App.2-CD_MIFRS_DepExp_2014'!K47-J47), 0, +I47+'App.2-CD_MIFRS_DepExp_2014'!K47-J47)</f>
        <v>0</v>
      </c>
    </row>
    <row r="48" spans="1:11" x14ac:dyDescent="0.2">
      <c r="A48" s="415">
        <v>1960</v>
      </c>
      <c r="B48" s="355" t="s">
        <v>300</v>
      </c>
      <c r="C48" s="356"/>
      <c r="D48" s="411"/>
      <c r="E48" s="413">
        <f t="shared" si="0"/>
        <v>0</v>
      </c>
      <c r="F48" s="374">
        <f>IF(D48=0,'App.2-CD_MIFRS_DepExp_2014'!K48,+'App.2-CD_MIFRS_DepExp_2014'!K48+((C48*0.5)/D48))</f>
        <v>0</v>
      </c>
      <c r="G48" s="481"/>
      <c r="H48" s="374">
        <f t="shared" si="1"/>
        <v>0</v>
      </c>
      <c r="I48" s="374">
        <f t="shared" si="2"/>
        <v>0</v>
      </c>
      <c r="J48" s="356"/>
      <c r="K48" s="374">
        <f>IF(ISERROR(+I48+'App.2-CD_MIFRS_DepExp_2014'!K48-J48), 0, +I48+'App.2-CD_MIFRS_DepExp_2014'!K48-J48)</f>
        <v>0</v>
      </c>
    </row>
    <row r="49" spans="1:11" x14ac:dyDescent="0.2">
      <c r="A49" s="416">
        <v>1970</v>
      </c>
      <c r="B49" s="417" t="s">
        <v>649</v>
      </c>
      <c r="C49" s="356"/>
      <c r="D49" s="411"/>
      <c r="E49" s="413">
        <f t="shared" si="0"/>
        <v>0</v>
      </c>
      <c r="F49" s="374">
        <f>IF(D49=0,'App.2-CD_MIFRS_DepExp_2014'!K49,+'App.2-CD_MIFRS_DepExp_2014'!K49+((C49*0.5)/D49))</f>
        <v>0</v>
      </c>
      <c r="G49" s="481"/>
      <c r="H49" s="374">
        <f t="shared" si="1"/>
        <v>0</v>
      </c>
      <c r="I49" s="374">
        <f t="shared" si="2"/>
        <v>0</v>
      </c>
      <c r="J49" s="356"/>
      <c r="K49" s="374">
        <f>IF(ISERROR(+I49+'App.2-CD_MIFRS_DepExp_2014'!K49-J49), 0, +I49+'App.2-CD_MIFRS_DepExp_2014'!K49-J49)</f>
        <v>0</v>
      </c>
    </row>
    <row r="50" spans="1:11" x14ac:dyDescent="0.2">
      <c r="A50" s="1477">
        <v>1975</v>
      </c>
      <c r="B50" s="363" t="s">
        <v>384</v>
      </c>
      <c r="C50" s="356"/>
      <c r="D50" s="411"/>
      <c r="E50" s="413">
        <f t="shared" si="0"/>
        <v>0</v>
      </c>
      <c r="F50" s="374">
        <f>IF(D50=0,'App.2-CD_MIFRS_DepExp_2014'!K50,+'App.2-CD_MIFRS_DepExp_2014'!K50+((C50*0.5)/D50))</f>
        <v>0</v>
      </c>
      <c r="G50" s="481"/>
      <c r="H50" s="374">
        <f t="shared" si="1"/>
        <v>0</v>
      </c>
      <c r="I50" s="374">
        <f t="shared" si="2"/>
        <v>0</v>
      </c>
      <c r="J50" s="356"/>
      <c r="K50" s="374">
        <f>IF(ISERROR(+I50+'App.2-CD_MIFRS_DepExp_2014'!K50-J50), 0, +I50+'App.2-CD_MIFRS_DepExp_2014'!K50-J50)</f>
        <v>0</v>
      </c>
    </row>
    <row r="51" spans="1:11" x14ac:dyDescent="0.2">
      <c r="A51" s="1477">
        <v>1980</v>
      </c>
      <c r="B51" s="363" t="s">
        <v>385</v>
      </c>
      <c r="C51" s="356"/>
      <c r="D51" s="411"/>
      <c r="E51" s="413">
        <f t="shared" si="0"/>
        <v>0</v>
      </c>
      <c r="F51" s="374">
        <f>IF(D51=0,'App.2-CD_MIFRS_DepExp_2014'!K51,+'App.2-CD_MIFRS_DepExp_2014'!K51+((C51*0.5)/D51))</f>
        <v>0</v>
      </c>
      <c r="G51" s="481"/>
      <c r="H51" s="374">
        <f t="shared" si="1"/>
        <v>0</v>
      </c>
      <c r="I51" s="374">
        <f t="shared" si="2"/>
        <v>0</v>
      </c>
      <c r="J51" s="356"/>
      <c r="K51" s="374">
        <f>IF(ISERROR(+I51+'App.2-CD_MIFRS_DepExp_2014'!K51-J51), 0, +I51+'App.2-CD_MIFRS_DepExp_2014'!K51-J51)</f>
        <v>0</v>
      </c>
    </row>
    <row r="52" spans="1:11" x14ac:dyDescent="0.2">
      <c r="A52" s="1477">
        <v>1985</v>
      </c>
      <c r="B52" s="363" t="s">
        <v>386</v>
      </c>
      <c r="C52" s="356"/>
      <c r="D52" s="411"/>
      <c r="E52" s="413">
        <f t="shared" si="0"/>
        <v>0</v>
      </c>
      <c r="F52" s="374">
        <f>IF(D52=0,'App.2-CD_MIFRS_DepExp_2014'!K52,+'App.2-CD_MIFRS_DepExp_2014'!K52+((C52*0.5)/D52))</f>
        <v>0</v>
      </c>
      <c r="G52" s="481"/>
      <c r="H52" s="374">
        <f t="shared" si="1"/>
        <v>0</v>
      </c>
      <c r="I52" s="374">
        <f t="shared" si="2"/>
        <v>0</v>
      </c>
      <c r="J52" s="356"/>
      <c r="K52" s="374">
        <f>IF(ISERROR(+I52+'App.2-CD_MIFRS_DepExp_2014'!K52-J52), 0, +I52+'App.2-CD_MIFRS_DepExp_2014'!K52-J52)</f>
        <v>0</v>
      </c>
    </row>
    <row r="53" spans="1:11" x14ac:dyDescent="0.2">
      <c r="A53" s="1477">
        <v>1990</v>
      </c>
      <c r="B53" s="1475" t="s">
        <v>650</v>
      </c>
      <c r="C53" s="356"/>
      <c r="D53" s="411"/>
      <c r="E53" s="413">
        <f t="shared" si="0"/>
        <v>0</v>
      </c>
      <c r="F53" s="374">
        <f>IF(D53=0,'App.2-CD_MIFRS_DepExp_2014'!K53,+'App.2-CD_MIFRS_DepExp_2014'!K53+((C53*0.5)/D53))</f>
        <v>0</v>
      </c>
      <c r="G53" s="481"/>
      <c r="H53" s="374">
        <f t="shared" si="1"/>
        <v>0</v>
      </c>
      <c r="I53" s="374">
        <f t="shared" si="2"/>
        <v>0</v>
      </c>
      <c r="J53" s="356"/>
      <c r="K53" s="374">
        <f>IF(ISERROR(+I53+'App.2-CD_MIFRS_DepExp_2014'!K53-J53), 0, +I53+'App.2-CD_MIFRS_DepExp_2014'!K53-J53)</f>
        <v>0</v>
      </c>
    </row>
    <row r="54" spans="1:11" ht="13.5" thickBot="1" x14ac:dyDescent="0.25">
      <c r="A54" s="1473">
        <v>1995</v>
      </c>
      <c r="B54" s="363" t="s">
        <v>387</v>
      </c>
      <c r="C54" s="418"/>
      <c r="D54" s="420"/>
      <c r="E54" s="421">
        <f t="shared" si="0"/>
        <v>0</v>
      </c>
      <c r="F54" s="446">
        <f>IF(D54=0,'App.2-CD_MIFRS_DepExp_2014'!K54,+'App.2-CD_MIFRS_DepExp_2014'!K54+((C54*0.5)/D54))</f>
        <v>0</v>
      </c>
      <c r="G54" s="482"/>
      <c r="H54" s="446">
        <f t="shared" si="1"/>
        <v>0</v>
      </c>
      <c r="I54" s="446">
        <f t="shared" si="2"/>
        <v>0</v>
      </c>
      <c r="J54" s="418"/>
      <c r="K54" s="446">
        <f>IF(ISERROR(+I54+'App.2-CD_MIFRS_DepExp_2014'!K54-J54), 0, +I54+'App.2-CD_MIFRS_DepExp_2014'!K54-J54)</f>
        <v>0</v>
      </c>
    </row>
    <row r="55" spans="1:11" ht="14.25" thickTop="1" thickBot="1" x14ac:dyDescent="0.25">
      <c r="A55" s="422"/>
      <c r="B55" s="462" t="s">
        <v>388</v>
      </c>
      <c r="C55" s="468">
        <f>SUM(C17:C54)</f>
        <v>0</v>
      </c>
      <c r="D55" s="469"/>
      <c r="E55" s="427"/>
      <c r="F55" s="471">
        <f>SUM(F17:F54)</f>
        <v>0</v>
      </c>
      <c r="G55" s="471">
        <f>SUM(G17:G54)</f>
        <v>0</v>
      </c>
      <c r="H55" s="471">
        <f>SUM(H17:H54)</f>
        <v>0</v>
      </c>
      <c r="I55" s="471">
        <f t="shared" ref="I55:J55" si="3">SUM(I17:I54)</f>
        <v>0</v>
      </c>
      <c r="J55" s="471">
        <f t="shared" si="3"/>
        <v>0</v>
      </c>
      <c r="K55" s="471">
        <f>SUM(K17:K54)</f>
        <v>0</v>
      </c>
    </row>
    <row r="56" spans="1:11" x14ac:dyDescent="0.2">
      <c r="A56" s="450"/>
      <c r="B56" s="472" t="s">
        <v>654</v>
      </c>
      <c r="C56" s="473"/>
      <c r="D56" s="473"/>
      <c r="E56" s="473"/>
      <c r="F56" s="356"/>
      <c r="G56" s="473"/>
      <c r="H56" s="473"/>
    </row>
    <row r="57" spans="1:11" ht="27" customHeight="1" x14ac:dyDescent="0.2">
      <c r="B57" s="2069" t="s">
        <v>493</v>
      </c>
      <c r="C57" s="2069"/>
      <c r="D57" s="2069"/>
      <c r="E57" s="2084"/>
      <c r="F57" s="374">
        <f>SUM(F55:F56)</f>
        <v>0</v>
      </c>
    </row>
    <row r="58" spans="1:11" x14ac:dyDescent="0.2">
      <c r="A58" s="334" t="s">
        <v>13</v>
      </c>
      <c r="B58" s="158"/>
      <c r="C58" s="158"/>
      <c r="D58" s="158"/>
      <c r="E58" s="158"/>
      <c r="F58" s="158"/>
      <c r="G58" s="158"/>
      <c r="H58" s="158"/>
    </row>
    <row r="59" spans="1:11" ht="27" customHeight="1" x14ac:dyDescent="0.2">
      <c r="A59" s="466">
        <v>1</v>
      </c>
      <c r="B59" s="2001" t="s">
        <v>524</v>
      </c>
      <c r="C59" s="2001"/>
      <c r="D59" s="2001"/>
      <c r="E59" s="2001"/>
      <c r="F59" s="2001"/>
      <c r="G59" s="2001"/>
      <c r="H59" s="2001"/>
      <c r="I59" s="1478"/>
    </row>
    <row r="60" spans="1:11" ht="12.75" customHeight="1" x14ac:dyDescent="0.2">
      <c r="A60" s="455">
        <v>2</v>
      </c>
      <c r="B60" s="2001" t="s">
        <v>1498</v>
      </c>
      <c r="C60" s="2001"/>
      <c r="D60" s="2001"/>
      <c r="E60" s="2001"/>
      <c r="F60" s="2001"/>
      <c r="G60" s="2001"/>
      <c r="H60" s="2001"/>
      <c r="I60" s="2001"/>
    </row>
    <row r="61" spans="1:11" ht="25.5" customHeight="1" x14ac:dyDescent="0.2">
      <c r="A61" s="431">
        <v>3</v>
      </c>
      <c r="B61" s="2001" t="s">
        <v>614</v>
      </c>
      <c r="C61" s="2001"/>
      <c r="D61" s="2001"/>
      <c r="E61" s="2001"/>
      <c r="F61" s="2001"/>
      <c r="G61" s="2001"/>
      <c r="H61" s="2001"/>
      <c r="I61" s="2001"/>
      <c r="J61" s="2001"/>
      <c r="K61" s="2001"/>
    </row>
    <row r="62" spans="1:11" ht="11.25" customHeight="1" x14ac:dyDescent="0.2">
      <c r="A62" s="455"/>
      <c r="B62" s="2001"/>
      <c r="C62" s="2001"/>
      <c r="D62" s="2001"/>
      <c r="E62" s="2001"/>
      <c r="F62" s="2001"/>
      <c r="G62" s="2001"/>
      <c r="H62" s="2001"/>
      <c r="I62" s="2001"/>
    </row>
    <row r="63" spans="1:11" ht="12.75" customHeight="1" x14ac:dyDescent="0.2">
      <c r="A63" s="334" t="s">
        <v>306</v>
      </c>
      <c r="B63" s="2069" t="s">
        <v>257</v>
      </c>
      <c r="C63" s="2069"/>
      <c r="D63" s="2069"/>
      <c r="E63" s="2069"/>
      <c r="F63" s="2069"/>
      <c r="G63" s="2069"/>
      <c r="H63" s="2069"/>
      <c r="I63" s="432"/>
    </row>
    <row r="64" spans="1:11" ht="27" customHeight="1" x14ac:dyDescent="0.2">
      <c r="A64" s="158"/>
      <c r="B64" s="2069"/>
      <c r="C64" s="2069"/>
      <c r="D64" s="2069"/>
      <c r="E64" s="2069"/>
      <c r="F64" s="2069"/>
      <c r="G64" s="2069"/>
      <c r="H64" s="2069"/>
      <c r="I64" s="432"/>
    </row>
    <row r="65" spans="1:11" ht="12.75" customHeight="1" x14ac:dyDescent="0.2">
      <c r="A65" s="334"/>
      <c r="B65" s="2069"/>
      <c r="C65" s="2069"/>
      <c r="D65" s="2069"/>
      <c r="E65" s="2069"/>
      <c r="F65" s="2069"/>
      <c r="G65" s="2069"/>
      <c r="H65" s="2069"/>
      <c r="I65" s="432"/>
    </row>
    <row r="66" spans="1:11" ht="27" customHeight="1" x14ac:dyDescent="0.2">
      <c r="A66" s="158"/>
      <c r="B66" s="2069"/>
      <c r="C66" s="2069"/>
      <c r="D66" s="2069"/>
      <c r="E66" s="2069"/>
      <c r="F66" s="2069"/>
      <c r="G66" s="2069"/>
      <c r="H66" s="2069"/>
      <c r="I66" s="432"/>
    </row>
    <row r="67" spans="1:11" x14ac:dyDescent="0.2">
      <c r="J67" s="483"/>
      <c r="K67" s="483"/>
    </row>
    <row r="68" spans="1:11" ht="23.25" customHeight="1" x14ac:dyDescent="0.2">
      <c r="J68" s="483"/>
      <c r="K68" s="483"/>
    </row>
    <row r="69" spans="1:11" x14ac:dyDescent="0.2">
      <c r="A69" s="158"/>
      <c r="B69" s="483"/>
      <c r="C69" s="483"/>
      <c r="D69" s="483"/>
      <c r="E69" s="483"/>
      <c r="F69" s="483"/>
      <c r="G69" s="483"/>
      <c r="H69" s="483"/>
      <c r="I69" s="483"/>
      <c r="J69" s="483"/>
      <c r="K69" s="483"/>
    </row>
    <row r="70" spans="1:11" x14ac:dyDescent="0.2">
      <c r="A70" s="1478"/>
      <c r="B70" s="1478"/>
      <c r="C70" s="1478"/>
      <c r="D70" s="1478"/>
      <c r="E70" s="1478"/>
      <c r="F70" s="158"/>
      <c r="G70" s="158"/>
      <c r="H70" s="158"/>
    </row>
  </sheetData>
  <mergeCells count="13">
    <mergeCell ref="J15:J16"/>
    <mergeCell ref="B65:H66"/>
    <mergeCell ref="A9:I9"/>
    <mergeCell ref="A10:I10"/>
    <mergeCell ref="B15:B16"/>
    <mergeCell ref="G15:G16"/>
    <mergeCell ref="B57:E57"/>
    <mergeCell ref="B59:H59"/>
    <mergeCell ref="B60:I60"/>
    <mergeCell ref="B62:I62"/>
    <mergeCell ref="B63:H64"/>
    <mergeCell ref="A11:H11"/>
    <mergeCell ref="B61:K61"/>
  </mergeCells>
  <dataValidations count="1">
    <dataValidation allowBlank="1" showInputMessage="1" showErrorMessage="1" promptTitle="Date Format" prompt="E.g:  &quot;August 1, 2011&quot;" sqref="WVO983052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H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H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H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H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H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H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H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H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H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H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H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H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H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H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H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dataValidations>
  <printOptions horizontalCentered="1"/>
  <pageMargins left="0.74803149606299213" right="0.74803149606299213" top="0.70866141732283472" bottom="0.39370078740157483" header="0.39370078740157483" footer="0.27559055118110237"/>
  <pageSetup scale="54"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K70"/>
  <sheetViews>
    <sheetView showGridLines="0" zoomScaleNormal="100" workbookViewId="0"/>
  </sheetViews>
  <sheetFormatPr defaultRowHeight="12.75" x14ac:dyDescent="0.2"/>
  <cols>
    <col min="1" max="1" width="9.140625" style="140"/>
    <col min="2" max="2" width="41.140625" style="140" customWidth="1"/>
    <col min="3" max="3" width="10" style="140" customWidth="1"/>
    <col min="4" max="4" width="10.140625" style="140" customWidth="1"/>
    <col min="5" max="5" width="12.28515625" style="140" customWidth="1"/>
    <col min="6" max="6" width="15.7109375" style="140" customWidth="1"/>
    <col min="7" max="7" width="17.7109375" style="140" customWidth="1"/>
    <col min="8" max="8" width="12.7109375" style="140" customWidth="1"/>
    <col min="9" max="9" width="14.42578125" style="140" customWidth="1"/>
    <col min="10" max="254" width="9.140625" style="140"/>
    <col min="255" max="255" width="2.7109375" style="140" customWidth="1"/>
    <col min="256" max="256" width="9.140625" style="140"/>
    <col min="257" max="257" width="40.28515625" style="140" bestFit="1" customWidth="1"/>
    <col min="258" max="258" width="10" style="140" customWidth="1"/>
    <col min="259" max="259" width="10.140625" style="140" customWidth="1"/>
    <col min="260" max="260" width="12.28515625" style="140" customWidth="1"/>
    <col min="261" max="261" width="15.7109375" style="140" customWidth="1"/>
    <col min="262" max="262" width="12.85546875" style="140" customWidth="1"/>
    <col min="263" max="263" width="12.7109375" style="140" customWidth="1"/>
    <col min="264" max="264" width="12.85546875" style="140" customWidth="1"/>
    <col min="265" max="265" width="14.42578125" style="140" customWidth="1"/>
    <col min="266" max="510" width="9.140625" style="140"/>
    <col min="511" max="511" width="2.7109375" style="140" customWidth="1"/>
    <col min="512" max="512" width="9.140625" style="140"/>
    <col min="513" max="513" width="40.28515625" style="140" bestFit="1" customWidth="1"/>
    <col min="514" max="514" width="10" style="140" customWidth="1"/>
    <col min="515" max="515" width="10.140625" style="140" customWidth="1"/>
    <col min="516" max="516" width="12.28515625" style="140" customWidth="1"/>
    <col min="517" max="517" width="15.7109375" style="140" customWidth="1"/>
    <col min="518" max="518" width="12.85546875" style="140" customWidth="1"/>
    <col min="519" max="519" width="12.7109375" style="140" customWidth="1"/>
    <col min="520" max="520" width="12.85546875" style="140" customWidth="1"/>
    <col min="521" max="521" width="14.42578125" style="140" customWidth="1"/>
    <col min="522" max="766" width="9.140625" style="140"/>
    <col min="767" max="767" width="2.7109375" style="140" customWidth="1"/>
    <col min="768" max="768" width="9.140625" style="140"/>
    <col min="769" max="769" width="40.28515625" style="140" bestFit="1" customWidth="1"/>
    <col min="770" max="770" width="10" style="140" customWidth="1"/>
    <col min="771" max="771" width="10.140625" style="140" customWidth="1"/>
    <col min="772" max="772" width="12.28515625" style="140" customWidth="1"/>
    <col min="773" max="773" width="15.7109375" style="140" customWidth="1"/>
    <col min="774" max="774" width="12.85546875" style="140" customWidth="1"/>
    <col min="775" max="775" width="12.7109375" style="140" customWidth="1"/>
    <col min="776" max="776" width="12.85546875" style="140" customWidth="1"/>
    <col min="777" max="777" width="14.42578125" style="140" customWidth="1"/>
    <col min="778" max="1022" width="9.140625" style="140"/>
    <col min="1023" max="1023" width="2.7109375" style="140" customWidth="1"/>
    <col min="1024" max="1024" width="9.140625" style="140"/>
    <col min="1025" max="1025" width="40.28515625" style="140" bestFit="1" customWidth="1"/>
    <col min="1026" max="1026" width="10" style="140" customWidth="1"/>
    <col min="1027" max="1027" width="10.140625" style="140" customWidth="1"/>
    <col min="1028" max="1028" width="12.28515625" style="140" customWidth="1"/>
    <col min="1029" max="1029" width="15.7109375" style="140" customWidth="1"/>
    <col min="1030" max="1030" width="12.85546875" style="140" customWidth="1"/>
    <col min="1031" max="1031" width="12.7109375" style="140" customWidth="1"/>
    <col min="1032" max="1032" width="12.85546875" style="140" customWidth="1"/>
    <col min="1033" max="1033" width="14.42578125" style="140" customWidth="1"/>
    <col min="1034" max="1278" width="9.140625" style="140"/>
    <col min="1279" max="1279" width="2.7109375" style="140" customWidth="1"/>
    <col min="1280" max="1280" width="9.140625" style="140"/>
    <col min="1281" max="1281" width="40.28515625" style="140" bestFit="1" customWidth="1"/>
    <col min="1282" max="1282" width="10" style="140" customWidth="1"/>
    <col min="1283" max="1283" width="10.140625" style="140" customWidth="1"/>
    <col min="1284" max="1284" width="12.28515625" style="140" customWidth="1"/>
    <col min="1285" max="1285" width="15.7109375" style="140" customWidth="1"/>
    <col min="1286" max="1286" width="12.85546875" style="140" customWidth="1"/>
    <col min="1287" max="1287" width="12.7109375" style="140" customWidth="1"/>
    <col min="1288" max="1288" width="12.85546875" style="140" customWidth="1"/>
    <col min="1289" max="1289" width="14.42578125" style="140" customWidth="1"/>
    <col min="1290" max="1534" width="9.140625" style="140"/>
    <col min="1535" max="1535" width="2.7109375" style="140" customWidth="1"/>
    <col min="1536" max="1536" width="9.140625" style="140"/>
    <col min="1537" max="1537" width="40.28515625" style="140" bestFit="1" customWidth="1"/>
    <col min="1538" max="1538" width="10" style="140" customWidth="1"/>
    <col min="1539" max="1539" width="10.140625" style="140" customWidth="1"/>
    <col min="1540" max="1540" width="12.28515625" style="140" customWidth="1"/>
    <col min="1541" max="1541" width="15.7109375" style="140" customWidth="1"/>
    <col min="1542" max="1542" width="12.85546875" style="140" customWidth="1"/>
    <col min="1543" max="1543" width="12.7109375" style="140" customWidth="1"/>
    <col min="1544" max="1544" width="12.85546875" style="140" customWidth="1"/>
    <col min="1545" max="1545" width="14.42578125" style="140" customWidth="1"/>
    <col min="1546" max="1790" width="9.140625" style="140"/>
    <col min="1791" max="1791" width="2.7109375" style="140" customWidth="1"/>
    <col min="1792" max="1792" width="9.140625" style="140"/>
    <col min="1793" max="1793" width="40.28515625" style="140" bestFit="1" customWidth="1"/>
    <col min="1794" max="1794" width="10" style="140" customWidth="1"/>
    <col min="1795" max="1795" width="10.140625" style="140" customWidth="1"/>
    <col min="1796" max="1796" width="12.28515625" style="140" customWidth="1"/>
    <col min="1797" max="1797" width="15.7109375" style="140" customWidth="1"/>
    <col min="1798" max="1798" width="12.85546875" style="140" customWidth="1"/>
    <col min="1799" max="1799" width="12.7109375" style="140" customWidth="1"/>
    <col min="1800" max="1800" width="12.85546875" style="140" customWidth="1"/>
    <col min="1801" max="1801" width="14.42578125" style="140" customWidth="1"/>
    <col min="1802" max="2046" width="9.140625" style="140"/>
    <col min="2047" max="2047" width="2.7109375" style="140" customWidth="1"/>
    <col min="2048" max="2048" width="9.140625" style="140"/>
    <col min="2049" max="2049" width="40.28515625" style="140" bestFit="1" customWidth="1"/>
    <col min="2050" max="2050" width="10" style="140" customWidth="1"/>
    <col min="2051" max="2051" width="10.140625" style="140" customWidth="1"/>
    <col min="2052" max="2052" width="12.28515625" style="140" customWidth="1"/>
    <col min="2053" max="2053" width="15.7109375" style="140" customWidth="1"/>
    <col min="2054" max="2054" width="12.85546875" style="140" customWidth="1"/>
    <col min="2055" max="2055" width="12.7109375" style="140" customWidth="1"/>
    <col min="2056" max="2056" width="12.85546875" style="140" customWidth="1"/>
    <col min="2057" max="2057" width="14.42578125" style="140" customWidth="1"/>
    <col min="2058" max="2302" width="9.140625" style="140"/>
    <col min="2303" max="2303" width="2.7109375" style="140" customWidth="1"/>
    <col min="2304" max="2304" width="9.140625" style="140"/>
    <col min="2305" max="2305" width="40.28515625" style="140" bestFit="1" customWidth="1"/>
    <col min="2306" max="2306" width="10" style="140" customWidth="1"/>
    <col min="2307" max="2307" width="10.140625" style="140" customWidth="1"/>
    <col min="2308" max="2308" width="12.28515625" style="140" customWidth="1"/>
    <col min="2309" max="2309" width="15.7109375" style="140" customWidth="1"/>
    <col min="2310" max="2310" width="12.85546875" style="140" customWidth="1"/>
    <col min="2311" max="2311" width="12.7109375" style="140" customWidth="1"/>
    <col min="2312" max="2312" width="12.85546875" style="140" customWidth="1"/>
    <col min="2313" max="2313" width="14.42578125" style="140" customWidth="1"/>
    <col min="2314" max="2558" width="9.140625" style="140"/>
    <col min="2559" max="2559" width="2.7109375" style="140" customWidth="1"/>
    <col min="2560" max="2560" width="9.140625" style="140"/>
    <col min="2561" max="2561" width="40.28515625" style="140" bestFit="1" customWidth="1"/>
    <col min="2562" max="2562" width="10" style="140" customWidth="1"/>
    <col min="2563" max="2563" width="10.140625" style="140" customWidth="1"/>
    <col min="2564" max="2564" width="12.28515625" style="140" customWidth="1"/>
    <col min="2565" max="2565" width="15.7109375" style="140" customWidth="1"/>
    <col min="2566" max="2566" width="12.85546875" style="140" customWidth="1"/>
    <col min="2567" max="2567" width="12.7109375" style="140" customWidth="1"/>
    <col min="2568" max="2568" width="12.85546875" style="140" customWidth="1"/>
    <col min="2569" max="2569" width="14.42578125" style="140" customWidth="1"/>
    <col min="2570" max="2814" width="9.140625" style="140"/>
    <col min="2815" max="2815" width="2.7109375" style="140" customWidth="1"/>
    <col min="2816" max="2816" width="9.140625" style="140"/>
    <col min="2817" max="2817" width="40.28515625" style="140" bestFit="1" customWidth="1"/>
    <col min="2818" max="2818" width="10" style="140" customWidth="1"/>
    <col min="2819" max="2819" width="10.140625" style="140" customWidth="1"/>
    <col min="2820" max="2820" width="12.28515625" style="140" customWidth="1"/>
    <col min="2821" max="2821" width="15.7109375" style="140" customWidth="1"/>
    <col min="2822" max="2822" width="12.85546875" style="140" customWidth="1"/>
    <col min="2823" max="2823" width="12.7109375" style="140" customWidth="1"/>
    <col min="2824" max="2824" width="12.85546875" style="140" customWidth="1"/>
    <col min="2825" max="2825" width="14.42578125" style="140" customWidth="1"/>
    <col min="2826" max="3070" width="9.140625" style="140"/>
    <col min="3071" max="3071" width="2.7109375" style="140" customWidth="1"/>
    <col min="3072" max="3072" width="9.140625" style="140"/>
    <col min="3073" max="3073" width="40.28515625" style="140" bestFit="1" customWidth="1"/>
    <col min="3074" max="3074" width="10" style="140" customWidth="1"/>
    <col min="3075" max="3075" width="10.140625" style="140" customWidth="1"/>
    <col min="3076" max="3076" width="12.28515625" style="140" customWidth="1"/>
    <col min="3077" max="3077" width="15.7109375" style="140" customWidth="1"/>
    <col min="3078" max="3078" width="12.85546875" style="140" customWidth="1"/>
    <col min="3079" max="3079" width="12.7109375" style="140" customWidth="1"/>
    <col min="3080" max="3080" width="12.85546875" style="140" customWidth="1"/>
    <col min="3081" max="3081" width="14.42578125" style="140" customWidth="1"/>
    <col min="3082" max="3326" width="9.140625" style="140"/>
    <col min="3327" max="3327" width="2.7109375" style="140" customWidth="1"/>
    <col min="3328" max="3328" width="9.140625" style="140"/>
    <col min="3329" max="3329" width="40.28515625" style="140" bestFit="1" customWidth="1"/>
    <col min="3330" max="3330" width="10" style="140" customWidth="1"/>
    <col min="3331" max="3331" width="10.140625" style="140" customWidth="1"/>
    <col min="3332" max="3332" width="12.28515625" style="140" customWidth="1"/>
    <col min="3333" max="3333" width="15.7109375" style="140" customWidth="1"/>
    <col min="3334" max="3334" width="12.85546875" style="140" customWidth="1"/>
    <col min="3335" max="3335" width="12.7109375" style="140" customWidth="1"/>
    <col min="3336" max="3336" width="12.85546875" style="140" customWidth="1"/>
    <col min="3337" max="3337" width="14.42578125" style="140" customWidth="1"/>
    <col min="3338" max="3582" width="9.140625" style="140"/>
    <col min="3583" max="3583" width="2.7109375" style="140" customWidth="1"/>
    <col min="3584" max="3584" width="9.140625" style="140"/>
    <col min="3585" max="3585" width="40.28515625" style="140" bestFit="1" customWidth="1"/>
    <col min="3586" max="3586" width="10" style="140" customWidth="1"/>
    <col min="3587" max="3587" width="10.140625" style="140" customWidth="1"/>
    <col min="3588" max="3588" width="12.28515625" style="140" customWidth="1"/>
    <col min="3589" max="3589" width="15.7109375" style="140" customWidth="1"/>
    <col min="3590" max="3590" width="12.85546875" style="140" customWidth="1"/>
    <col min="3591" max="3591" width="12.7109375" style="140" customWidth="1"/>
    <col min="3592" max="3592" width="12.85546875" style="140" customWidth="1"/>
    <col min="3593" max="3593" width="14.42578125" style="140" customWidth="1"/>
    <col min="3594" max="3838" width="9.140625" style="140"/>
    <col min="3839" max="3839" width="2.7109375" style="140" customWidth="1"/>
    <col min="3840" max="3840" width="9.140625" style="140"/>
    <col min="3841" max="3841" width="40.28515625" style="140" bestFit="1" customWidth="1"/>
    <col min="3842" max="3842" width="10" style="140" customWidth="1"/>
    <col min="3843" max="3843" width="10.140625" style="140" customWidth="1"/>
    <col min="3844" max="3844" width="12.28515625" style="140" customWidth="1"/>
    <col min="3845" max="3845" width="15.7109375" style="140" customWidth="1"/>
    <col min="3846" max="3846" width="12.85546875" style="140" customWidth="1"/>
    <col min="3847" max="3847" width="12.7109375" style="140" customWidth="1"/>
    <col min="3848" max="3848" width="12.85546875" style="140" customWidth="1"/>
    <col min="3849" max="3849" width="14.42578125" style="140" customWidth="1"/>
    <col min="3850" max="4094" width="9.140625" style="140"/>
    <col min="4095" max="4095" width="2.7109375" style="140" customWidth="1"/>
    <col min="4096" max="4096" width="9.140625" style="140"/>
    <col min="4097" max="4097" width="40.28515625" style="140" bestFit="1" customWidth="1"/>
    <col min="4098" max="4098" width="10" style="140" customWidth="1"/>
    <col min="4099" max="4099" width="10.140625" style="140" customWidth="1"/>
    <col min="4100" max="4100" width="12.28515625" style="140" customWidth="1"/>
    <col min="4101" max="4101" width="15.7109375" style="140" customWidth="1"/>
    <col min="4102" max="4102" width="12.85546875" style="140" customWidth="1"/>
    <col min="4103" max="4103" width="12.7109375" style="140" customWidth="1"/>
    <col min="4104" max="4104" width="12.85546875" style="140" customWidth="1"/>
    <col min="4105" max="4105" width="14.42578125" style="140" customWidth="1"/>
    <col min="4106" max="4350" width="9.140625" style="140"/>
    <col min="4351" max="4351" width="2.7109375" style="140" customWidth="1"/>
    <col min="4352" max="4352" width="9.140625" style="140"/>
    <col min="4353" max="4353" width="40.28515625" style="140" bestFit="1" customWidth="1"/>
    <col min="4354" max="4354" width="10" style="140" customWidth="1"/>
    <col min="4355" max="4355" width="10.140625" style="140" customWidth="1"/>
    <col min="4356" max="4356" width="12.28515625" style="140" customWidth="1"/>
    <col min="4357" max="4357" width="15.7109375" style="140" customWidth="1"/>
    <col min="4358" max="4358" width="12.85546875" style="140" customWidth="1"/>
    <col min="4359" max="4359" width="12.7109375" style="140" customWidth="1"/>
    <col min="4360" max="4360" width="12.85546875" style="140" customWidth="1"/>
    <col min="4361" max="4361" width="14.42578125" style="140" customWidth="1"/>
    <col min="4362" max="4606" width="9.140625" style="140"/>
    <col min="4607" max="4607" width="2.7109375" style="140" customWidth="1"/>
    <col min="4608" max="4608" width="9.140625" style="140"/>
    <col min="4609" max="4609" width="40.28515625" style="140" bestFit="1" customWidth="1"/>
    <col min="4610" max="4610" width="10" style="140" customWidth="1"/>
    <col min="4611" max="4611" width="10.140625" style="140" customWidth="1"/>
    <col min="4612" max="4612" width="12.28515625" style="140" customWidth="1"/>
    <col min="4613" max="4613" width="15.7109375" style="140" customWidth="1"/>
    <col min="4614" max="4614" width="12.85546875" style="140" customWidth="1"/>
    <col min="4615" max="4615" width="12.7109375" style="140" customWidth="1"/>
    <col min="4616" max="4616" width="12.85546875" style="140" customWidth="1"/>
    <col min="4617" max="4617" width="14.42578125" style="140" customWidth="1"/>
    <col min="4618" max="4862" width="9.140625" style="140"/>
    <col min="4863" max="4863" width="2.7109375" style="140" customWidth="1"/>
    <col min="4864" max="4864" width="9.140625" style="140"/>
    <col min="4865" max="4865" width="40.28515625" style="140" bestFit="1" customWidth="1"/>
    <col min="4866" max="4866" width="10" style="140" customWidth="1"/>
    <col min="4867" max="4867" width="10.140625" style="140" customWidth="1"/>
    <col min="4868" max="4868" width="12.28515625" style="140" customWidth="1"/>
    <col min="4869" max="4869" width="15.7109375" style="140" customWidth="1"/>
    <col min="4870" max="4870" width="12.85546875" style="140" customWidth="1"/>
    <col min="4871" max="4871" width="12.7109375" style="140" customWidth="1"/>
    <col min="4872" max="4872" width="12.85546875" style="140" customWidth="1"/>
    <col min="4873" max="4873" width="14.42578125" style="140" customWidth="1"/>
    <col min="4874" max="5118" width="9.140625" style="140"/>
    <col min="5119" max="5119" width="2.7109375" style="140" customWidth="1"/>
    <col min="5120" max="5120" width="9.140625" style="140"/>
    <col min="5121" max="5121" width="40.28515625" style="140" bestFit="1" customWidth="1"/>
    <col min="5122" max="5122" width="10" style="140" customWidth="1"/>
    <col min="5123" max="5123" width="10.140625" style="140" customWidth="1"/>
    <col min="5124" max="5124" width="12.28515625" style="140" customWidth="1"/>
    <col min="5125" max="5125" width="15.7109375" style="140" customWidth="1"/>
    <col min="5126" max="5126" width="12.85546875" style="140" customWidth="1"/>
    <col min="5127" max="5127" width="12.7109375" style="140" customWidth="1"/>
    <col min="5128" max="5128" width="12.85546875" style="140" customWidth="1"/>
    <col min="5129" max="5129" width="14.42578125" style="140" customWidth="1"/>
    <col min="5130" max="5374" width="9.140625" style="140"/>
    <col min="5375" max="5375" width="2.7109375" style="140" customWidth="1"/>
    <col min="5376" max="5376" width="9.140625" style="140"/>
    <col min="5377" max="5377" width="40.28515625" style="140" bestFit="1" customWidth="1"/>
    <col min="5378" max="5378" width="10" style="140" customWidth="1"/>
    <col min="5379" max="5379" width="10.140625" style="140" customWidth="1"/>
    <col min="5380" max="5380" width="12.28515625" style="140" customWidth="1"/>
    <col min="5381" max="5381" width="15.7109375" style="140" customWidth="1"/>
    <col min="5382" max="5382" width="12.85546875" style="140" customWidth="1"/>
    <col min="5383" max="5383" width="12.7109375" style="140" customWidth="1"/>
    <col min="5384" max="5384" width="12.85546875" style="140" customWidth="1"/>
    <col min="5385" max="5385" width="14.42578125" style="140" customWidth="1"/>
    <col min="5386" max="5630" width="9.140625" style="140"/>
    <col min="5631" max="5631" width="2.7109375" style="140" customWidth="1"/>
    <col min="5632" max="5632" width="9.140625" style="140"/>
    <col min="5633" max="5633" width="40.28515625" style="140" bestFit="1" customWidth="1"/>
    <col min="5634" max="5634" width="10" style="140" customWidth="1"/>
    <col min="5635" max="5635" width="10.140625" style="140" customWidth="1"/>
    <col min="5636" max="5636" width="12.28515625" style="140" customWidth="1"/>
    <col min="5637" max="5637" width="15.7109375" style="140" customWidth="1"/>
    <col min="5638" max="5638" width="12.85546875" style="140" customWidth="1"/>
    <col min="5639" max="5639" width="12.7109375" style="140" customWidth="1"/>
    <col min="5640" max="5640" width="12.85546875" style="140" customWidth="1"/>
    <col min="5641" max="5641" width="14.42578125" style="140" customWidth="1"/>
    <col min="5642" max="5886" width="9.140625" style="140"/>
    <col min="5887" max="5887" width="2.7109375" style="140" customWidth="1"/>
    <col min="5888" max="5888" width="9.140625" style="140"/>
    <col min="5889" max="5889" width="40.28515625" style="140" bestFit="1" customWidth="1"/>
    <col min="5890" max="5890" width="10" style="140" customWidth="1"/>
    <col min="5891" max="5891" width="10.140625" style="140" customWidth="1"/>
    <col min="5892" max="5892" width="12.28515625" style="140" customWidth="1"/>
    <col min="5893" max="5893" width="15.7109375" style="140" customWidth="1"/>
    <col min="5894" max="5894" width="12.85546875" style="140" customWidth="1"/>
    <col min="5895" max="5895" width="12.7109375" style="140" customWidth="1"/>
    <col min="5896" max="5896" width="12.85546875" style="140" customWidth="1"/>
    <col min="5897" max="5897" width="14.42578125" style="140" customWidth="1"/>
    <col min="5898" max="6142" width="9.140625" style="140"/>
    <col min="6143" max="6143" width="2.7109375" style="140" customWidth="1"/>
    <col min="6144" max="6144" width="9.140625" style="140"/>
    <col min="6145" max="6145" width="40.28515625" style="140" bestFit="1" customWidth="1"/>
    <col min="6146" max="6146" width="10" style="140" customWidth="1"/>
    <col min="6147" max="6147" width="10.140625" style="140" customWidth="1"/>
    <col min="6148" max="6148" width="12.28515625" style="140" customWidth="1"/>
    <col min="6149" max="6149" width="15.7109375" style="140" customWidth="1"/>
    <col min="6150" max="6150" width="12.85546875" style="140" customWidth="1"/>
    <col min="6151" max="6151" width="12.7109375" style="140" customWidth="1"/>
    <col min="6152" max="6152" width="12.85546875" style="140" customWidth="1"/>
    <col min="6153" max="6153" width="14.42578125" style="140" customWidth="1"/>
    <col min="6154" max="6398" width="9.140625" style="140"/>
    <col min="6399" max="6399" width="2.7109375" style="140" customWidth="1"/>
    <col min="6400" max="6400" width="9.140625" style="140"/>
    <col min="6401" max="6401" width="40.28515625" style="140" bestFit="1" customWidth="1"/>
    <col min="6402" max="6402" width="10" style="140" customWidth="1"/>
    <col min="6403" max="6403" width="10.140625" style="140" customWidth="1"/>
    <col min="6404" max="6404" width="12.28515625" style="140" customWidth="1"/>
    <col min="6405" max="6405" width="15.7109375" style="140" customWidth="1"/>
    <col min="6406" max="6406" width="12.85546875" style="140" customWidth="1"/>
    <col min="6407" max="6407" width="12.7109375" style="140" customWidth="1"/>
    <col min="6408" max="6408" width="12.85546875" style="140" customWidth="1"/>
    <col min="6409" max="6409" width="14.42578125" style="140" customWidth="1"/>
    <col min="6410" max="6654" width="9.140625" style="140"/>
    <col min="6655" max="6655" width="2.7109375" style="140" customWidth="1"/>
    <col min="6656" max="6656" width="9.140625" style="140"/>
    <col min="6657" max="6657" width="40.28515625" style="140" bestFit="1" customWidth="1"/>
    <col min="6658" max="6658" width="10" style="140" customWidth="1"/>
    <col min="6659" max="6659" width="10.140625" style="140" customWidth="1"/>
    <col min="6660" max="6660" width="12.28515625" style="140" customWidth="1"/>
    <col min="6661" max="6661" width="15.7109375" style="140" customWidth="1"/>
    <col min="6662" max="6662" width="12.85546875" style="140" customWidth="1"/>
    <col min="6663" max="6663" width="12.7109375" style="140" customWidth="1"/>
    <col min="6664" max="6664" width="12.85546875" style="140" customWidth="1"/>
    <col min="6665" max="6665" width="14.42578125" style="140" customWidth="1"/>
    <col min="6666" max="6910" width="9.140625" style="140"/>
    <col min="6911" max="6911" width="2.7109375" style="140" customWidth="1"/>
    <col min="6912" max="6912" width="9.140625" style="140"/>
    <col min="6913" max="6913" width="40.28515625" style="140" bestFit="1" customWidth="1"/>
    <col min="6914" max="6914" width="10" style="140" customWidth="1"/>
    <col min="6915" max="6915" width="10.140625" style="140" customWidth="1"/>
    <col min="6916" max="6916" width="12.28515625" style="140" customWidth="1"/>
    <col min="6917" max="6917" width="15.7109375" style="140" customWidth="1"/>
    <col min="6918" max="6918" width="12.85546875" style="140" customWidth="1"/>
    <col min="6919" max="6919" width="12.7109375" style="140" customWidth="1"/>
    <col min="6920" max="6920" width="12.85546875" style="140" customWidth="1"/>
    <col min="6921" max="6921" width="14.42578125" style="140" customWidth="1"/>
    <col min="6922" max="7166" width="9.140625" style="140"/>
    <col min="7167" max="7167" width="2.7109375" style="140" customWidth="1"/>
    <col min="7168" max="7168" width="9.140625" style="140"/>
    <col min="7169" max="7169" width="40.28515625" style="140" bestFit="1" customWidth="1"/>
    <col min="7170" max="7170" width="10" style="140" customWidth="1"/>
    <col min="7171" max="7171" width="10.140625" style="140" customWidth="1"/>
    <col min="7172" max="7172" width="12.28515625" style="140" customWidth="1"/>
    <col min="7173" max="7173" width="15.7109375" style="140" customWidth="1"/>
    <col min="7174" max="7174" width="12.85546875" style="140" customWidth="1"/>
    <col min="7175" max="7175" width="12.7109375" style="140" customWidth="1"/>
    <col min="7176" max="7176" width="12.85546875" style="140" customWidth="1"/>
    <col min="7177" max="7177" width="14.42578125" style="140" customWidth="1"/>
    <col min="7178" max="7422" width="9.140625" style="140"/>
    <col min="7423" max="7423" width="2.7109375" style="140" customWidth="1"/>
    <col min="7424" max="7424" width="9.140625" style="140"/>
    <col min="7425" max="7425" width="40.28515625" style="140" bestFit="1" customWidth="1"/>
    <col min="7426" max="7426" width="10" style="140" customWidth="1"/>
    <col min="7427" max="7427" width="10.140625" style="140" customWidth="1"/>
    <col min="7428" max="7428" width="12.28515625" style="140" customWidth="1"/>
    <col min="7429" max="7429" width="15.7109375" style="140" customWidth="1"/>
    <col min="7430" max="7430" width="12.85546875" style="140" customWidth="1"/>
    <col min="7431" max="7431" width="12.7109375" style="140" customWidth="1"/>
    <col min="7432" max="7432" width="12.85546875" style="140" customWidth="1"/>
    <col min="7433" max="7433" width="14.42578125" style="140" customWidth="1"/>
    <col min="7434" max="7678" width="9.140625" style="140"/>
    <col min="7679" max="7679" width="2.7109375" style="140" customWidth="1"/>
    <col min="7680" max="7680" width="9.140625" style="140"/>
    <col min="7681" max="7681" width="40.28515625" style="140" bestFit="1" customWidth="1"/>
    <col min="7682" max="7682" width="10" style="140" customWidth="1"/>
    <col min="7683" max="7683" width="10.140625" style="140" customWidth="1"/>
    <col min="7684" max="7684" width="12.28515625" style="140" customWidth="1"/>
    <col min="7685" max="7685" width="15.7109375" style="140" customWidth="1"/>
    <col min="7686" max="7686" width="12.85546875" style="140" customWidth="1"/>
    <col min="7687" max="7687" width="12.7109375" style="140" customWidth="1"/>
    <col min="7688" max="7688" width="12.85546875" style="140" customWidth="1"/>
    <col min="7689" max="7689" width="14.42578125" style="140" customWidth="1"/>
    <col min="7690" max="7934" width="9.140625" style="140"/>
    <col min="7935" max="7935" width="2.7109375" style="140" customWidth="1"/>
    <col min="7936" max="7936" width="9.140625" style="140"/>
    <col min="7937" max="7937" width="40.28515625" style="140" bestFit="1" customWidth="1"/>
    <col min="7938" max="7938" width="10" style="140" customWidth="1"/>
    <col min="7939" max="7939" width="10.140625" style="140" customWidth="1"/>
    <col min="7940" max="7940" width="12.28515625" style="140" customWidth="1"/>
    <col min="7941" max="7941" width="15.7109375" style="140" customWidth="1"/>
    <col min="7942" max="7942" width="12.85546875" style="140" customWidth="1"/>
    <col min="7943" max="7943" width="12.7109375" style="140" customWidth="1"/>
    <col min="7944" max="7944" width="12.85546875" style="140" customWidth="1"/>
    <col min="7945" max="7945" width="14.42578125" style="140" customWidth="1"/>
    <col min="7946" max="8190" width="9.140625" style="140"/>
    <col min="8191" max="8191" width="2.7109375" style="140" customWidth="1"/>
    <col min="8192" max="8192" width="9.140625" style="140"/>
    <col min="8193" max="8193" width="40.28515625" style="140" bestFit="1" customWidth="1"/>
    <col min="8194" max="8194" width="10" style="140" customWidth="1"/>
    <col min="8195" max="8195" width="10.140625" style="140" customWidth="1"/>
    <col min="8196" max="8196" width="12.28515625" style="140" customWidth="1"/>
    <col min="8197" max="8197" width="15.7109375" style="140" customWidth="1"/>
    <col min="8198" max="8198" width="12.85546875" style="140" customWidth="1"/>
    <col min="8199" max="8199" width="12.7109375" style="140" customWidth="1"/>
    <col min="8200" max="8200" width="12.85546875" style="140" customWidth="1"/>
    <col min="8201" max="8201" width="14.42578125" style="140" customWidth="1"/>
    <col min="8202" max="8446" width="9.140625" style="140"/>
    <col min="8447" max="8447" width="2.7109375" style="140" customWidth="1"/>
    <col min="8448" max="8448" width="9.140625" style="140"/>
    <col min="8449" max="8449" width="40.28515625" style="140" bestFit="1" customWidth="1"/>
    <col min="8450" max="8450" width="10" style="140" customWidth="1"/>
    <col min="8451" max="8451" width="10.140625" style="140" customWidth="1"/>
    <col min="8452" max="8452" width="12.28515625" style="140" customWidth="1"/>
    <col min="8453" max="8453" width="15.7109375" style="140" customWidth="1"/>
    <col min="8454" max="8454" width="12.85546875" style="140" customWidth="1"/>
    <col min="8455" max="8455" width="12.7109375" style="140" customWidth="1"/>
    <col min="8456" max="8456" width="12.85546875" style="140" customWidth="1"/>
    <col min="8457" max="8457" width="14.42578125" style="140" customWidth="1"/>
    <col min="8458" max="8702" width="9.140625" style="140"/>
    <col min="8703" max="8703" width="2.7109375" style="140" customWidth="1"/>
    <col min="8704" max="8704" width="9.140625" style="140"/>
    <col min="8705" max="8705" width="40.28515625" style="140" bestFit="1" customWidth="1"/>
    <col min="8706" max="8706" width="10" style="140" customWidth="1"/>
    <col min="8707" max="8707" width="10.140625" style="140" customWidth="1"/>
    <col min="8708" max="8708" width="12.28515625" style="140" customWidth="1"/>
    <col min="8709" max="8709" width="15.7109375" style="140" customWidth="1"/>
    <col min="8710" max="8710" width="12.85546875" style="140" customWidth="1"/>
    <col min="8711" max="8711" width="12.7109375" style="140" customWidth="1"/>
    <col min="8712" max="8712" width="12.85546875" style="140" customWidth="1"/>
    <col min="8713" max="8713" width="14.42578125" style="140" customWidth="1"/>
    <col min="8714" max="8958" width="9.140625" style="140"/>
    <col min="8959" max="8959" width="2.7109375" style="140" customWidth="1"/>
    <col min="8960" max="8960" width="9.140625" style="140"/>
    <col min="8961" max="8961" width="40.28515625" style="140" bestFit="1" customWidth="1"/>
    <col min="8962" max="8962" width="10" style="140" customWidth="1"/>
    <col min="8963" max="8963" width="10.140625" style="140" customWidth="1"/>
    <col min="8964" max="8964" width="12.28515625" style="140" customWidth="1"/>
    <col min="8965" max="8965" width="15.7109375" style="140" customWidth="1"/>
    <col min="8966" max="8966" width="12.85546875" style="140" customWidth="1"/>
    <col min="8967" max="8967" width="12.7109375" style="140" customWidth="1"/>
    <col min="8968" max="8968" width="12.85546875" style="140" customWidth="1"/>
    <col min="8969" max="8969" width="14.42578125" style="140" customWidth="1"/>
    <col min="8970" max="9214" width="9.140625" style="140"/>
    <col min="9215" max="9215" width="2.7109375" style="140" customWidth="1"/>
    <col min="9216" max="9216" width="9.140625" style="140"/>
    <col min="9217" max="9217" width="40.28515625" style="140" bestFit="1" customWidth="1"/>
    <col min="9218" max="9218" width="10" style="140" customWidth="1"/>
    <col min="9219" max="9219" width="10.140625" style="140" customWidth="1"/>
    <col min="9220" max="9220" width="12.28515625" style="140" customWidth="1"/>
    <col min="9221" max="9221" width="15.7109375" style="140" customWidth="1"/>
    <col min="9222" max="9222" width="12.85546875" style="140" customWidth="1"/>
    <col min="9223" max="9223" width="12.7109375" style="140" customWidth="1"/>
    <col min="9224" max="9224" width="12.85546875" style="140" customWidth="1"/>
    <col min="9225" max="9225" width="14.42578125" style="140" customWidth="1"/>
    <col min="9226" max="9470" width="9.140625" style="140"/>
    <col min="9471" max="9471" width="2.7109375" style="140" customWidth="1"/>
    <col min="9472" max="9472" width="9.140625" style="140"/>
    <col min="9473" max="9473" width="40.28515625" style="140" bestFit="1" customWidth="1"/>
    <col min="9474" max="9474" width="10" style="140" customWidth="1"/>
    <col min="9475" max="9475" width="10.140625" style="140" customWidth="1"/>
    <col min="9476" max="9476" width="12.28515625" style="140" customWidth="1"/>
    <col min="9477" max="9477" width="15.7109375" style="140" customWidth="1"/>
    <col min="9478" max="9478" width="12.85546875" style="140" customWidth="1"/>
    <col min="9479" max="9479" width="12.7109375" style="140" customWidth="1"/>
    <col min="9480" max="9480" width="12.85546875" style="140" customWidth="1"/>
    <col min="9481" max="9481" width="14.42578125" style="140" customWidth="1"/>
    <col min="9482" max="9726" width="9.140625" style="140"/>
    <col min="9727" max="9727" width="2.7109375" style="140" customWidth="1"/>
    <col min="9728" max="9728" width="9.140625" style="140"/>
    <col min="9729" max="9729" width="40.28515625" style="140" bestFit="1" customWidth="1"/>
    <col min="9730" max="9730" width="10" style="140" customWidth="1"/>
    <col min="9731" max="9731" width="10.140625" style="140" customWidth="1"/>
    <col min="9732" max="9732" width="12.28515625" style="140" customWidth="1"/>
    <col min="9733" max="9733" width="15.7109375" style="140" customWidth="1"/>
    <col min="9734" max="9734" width="12.85546875" style="140" customWidth="1"/>
    <col min="9735" max="9735" width="12.7109375" style="140" customWidth="1"/>
    <col min="9736" max="9736" width="12.85546875" style="140" customWidth="1"/>
    <col min="9737" max="9737" width="14.42578125" style="140" customWidth="1"/>
    <col min="9738" max="9982" width="9.140625" style="140"/>
    <col min="9983" max="9983" width="2.7109375" style="140" customWidth="1"/>
    <col min="9984" max="9984" width="9.140625" style="140"/>
    <col min="9985" max="9985" width="40.28515625" style="140" bestFit="1" customWidth="1"/>
    <col min="9986" max="9986" width="10" style="140" customWidth="1"/>
    <col min="9987" max="9987" width="10.140625" style="140" customWidth="1"/>
    <col min="9988" max="9988" width="12.28515625" style="140" customWidth="1"/>
    <col min="9989" max="9989" width="15.7109375" style="140" customWidth="1"/>
    <col min="9990" max="9990" width="12.85546875" style="140" customWidth="1"/>
    <col min="9991" max="9991" width="12.7109375" style="140" customWidth="1"/>
    <col min="9992" max="9992" width="12.85546875" style="140" customWidth="1"/>
    <col min="9993" max="9993" width="14.42578125" style="140" customWidth="1"/>
    <col min="9994" max="10238" width="9.140625" style="140"/>
    <col min="10239" max="10239" width="2.7109375" style="140" customWidth="1"/>
    <col min="10240" max="10240" width="9.140625" style="140"/>
    <col min="10241" max="10241" width="40.28515625" style="140" bestFit="1" customWidth="1"/>
    <col min="10242" max="10242" width="10" style="140" customWidth="1"/>
    <col min="10243" max="10243" width="10.140625" style="140" customWidth="1"/>
    <col min="10244" max="10244" width="12.28515625" style="140" customWidth="1"/>
    <col min="10245" max="10245" width="15.7109375" style="140" customWidth="1"/>
    <col min="10246" max="10246" width="12.85546875" style="140" customWidth="1"/>
    <col min="10247" max="10247" width="12.7109375" style="140" customWidth="1"/>
    <col min="10248" max="10248" width="12.85546875" style="140" customWidth="1"/>
    <col min="10249" max="10249" width="14.42578125" style="140" customWidth="1"/>
    <col min="10250" max="10494" width="9.140625" style="140"/>
    <col min="10495" max="10495" width="2.7109375" style="140" customWidth="1"/>
    <col min="10496" max="10496" width="9.140625" style="140"/>
    <col min="10497" max="10497" width="40.28515625" style="140" bestFit="1" customWidth="1"/>
    <col min="10498" max="10498" width="10" style="140" customWidth="1"/>
    <col min="10499" max="10499" width="10.140625" style="140" customWidth="1"/>
    <col min="10500" max="10500" width="12.28515625" style="140" customWidth="1"/>
    <col min="10501" max="10501" width="15.7109375" style="140" customWidth="1"/>
    <col min="10502" max="10502" width="12.85546875" style="140" customWidth="1"/>
    <col min="10503" max="10503" width="12.7109375" style="140" customWidth="1"/>
    <col min="10504" max="10504" width="12.85546875" style="140" customWidth="1"/>
    <col min="10505" max="10505" width="14.42578125" style="140" customWidth="1"/>
    <col min="10506" max="10750" width="9.140625" style="140"/>
    <col min="10751" max="10751" width="2.7109375" style="140" customWidth="1"/>
    <col min="10752" max="10752" width="9.140625" style="140"/>
    <col min="10753" max="10753" width="40.28515625" style="140" bestFit="1" customWidth="1"/>
    <col min="10754" max="10754" width="10" style="140" customWidth="1"/>
    <col min="10755" max="10755" width="10.140625" style="140" customWidth="1"/>
    <col min="10756" max="10756" width="12.28515625" style="140" customWidth="1"/>
    <col min="10757" max="10757" width="15.7109375" style="140" customWidth="1"/>
    <col min="10758" max="10758" width="12.85546875" style="140" customWidth="1"/>
    <col min="10759" max="10759" width="12.7109375" style="140" customWidth="1"/>
    <col min="10760" max="10760" width="12.85546875" style="140" customWidth="1"/>
    <col min="10761" max="10761" width="14.42578125" style="140" customWidth="1"/>
    <col min="10762" max="11006" width="9.140625" style="140"/>
    <col min="11007" max="11007" width="2.7109375" style="140" customWidth="1"/>
    <col min="11008" max="11008" width="9.140625" style="140"/>
    <col min="11009" max="11009" width="40.28515625" style="140" bestFit="1" customWidth="1"/>
    <col min="11010" max="11010" width="10" style="140" customWidth="1"/>
    <col min="11011" max="11011" width="10.140625" style="140" customWidth="1"/>
    <col min="11012" max="11012" width="12.28515625" style="140" customWidth="1"/>
    <col min="11013" max="11013" width="15.7109375" style="140" customWidth="1"/>
    <col min="11014" max="11014" width="12.85546875" style="140" customWidth="1"/>
    <col min="11015" max="11015" width="12.7109375" style="140" customWidth="1"/>
    <col min="11016" max="11016" width="12.85546875" style="140" customWidth="1"/>
    <col min="11017" max="11017" width="14.42578125" style="140" customWidth="1"/>
    <col min="11018" max="11262" width="9.140625" style="140"/>
    <col min="11263" max="11263" width="2.7109375" style="140" customWidth="1"/>
    <col min="11264" max="11264" width="9.140625" style="140"/>
    <col min="11265" max="11265" width="40.28515625" style="140" bestFit="1" customWidth="1"/>
    <col min="11266" max="11266" width="10" style="140" customWidth="1"/>
    <col min="11267" max="11267" width="10.140625" style="140" customWidth="1"/>
    <col min="11268" max="11268" width="12.28515625" style="140" customWidth="1"/>
    <col min="11269" max="11269" width="15.7109375" style="140" customWidth="1"/>
    <col min="11270" max="11270" width="12.85546875" style="140" customWidth="1"/>
    <col min="11271" max="11271" width="12.7109375" style="140" customWidth="1"/>
    <col min="11272" max="11272" width="12.85546875" style="140" customWidth="1"/>
    <col min="11273" max="11273" width="14.42578125" style="140" customWidth="1"/>
    <col min="11274" max="11518" width="9.140625" style="140"/>
    <col min="11519" max="11519" width="2.7109375" style="140" customWidth="1"/>
    <col min="11520" max="11520" width="9.140625" style="140"/>
    <col min="11521" max="11521" width="40.28515625" style="140" bestFit="1" customWidth="1"/>
    <col min="11522" max="11522" width="10" style="140" customWidth="1"/>
    <col min="11523" max="11523" width="10.140625" style="140" customWidth="1"/>
    <col min="11524" max="11524" width="12.28515625" style="140" customWidth="1"/>
    <col min="11525" max="11525" width="15.7109375" style="140" customWidth="1"/>
    <col min="11526" max="11526" width="12.85546875" style="140" customWidth="1"/>
    <col min="11527" max="11527" width="12.7109375" style="140" customWidth="1"/>
    <col min="11528" max="11528" width="12.85546875" style="140" customWidth="1"/>
    <col min="11529" max="11529" width="14.42578125" style="140" customWidth="1"/>
    <col min="11530" max="11774" width="9.140625" style="140"/>
    <col min="11775" max="11775" width="2.7109375" style="140" customWidth="1"/>
    <col min="11776" max="11776" width="9.140625" style="140"/>
    <col min="11777" max="11777" width="40.28515625" style="140" bestFit="1" customWidth="1"/>
    <col min="11778" max="11778" width="10" style="140" customWidth="1"/>
    <col min="11779" max="11779" width="10.140625" style="140" customWidth="1"/>
    <col min="11780" max="11780" width="12.28515625" style="140" customWidth="1"/>
    <col min="11781" max="11781" width="15.7109375" style="140" customWidth="1"/>
    <col min="11782" max="11782" width="12.85546875" style="140" customWidth="1"/>
    <col min="11783" max="11783" width="12.7109375" style="140" customWidth="1"/>
    <col min="11784" max="11784" width="12.85546875" style="140" customWidth="1"/>
    <col min="11785" max="11785" width="14.42578125" style="140" customWidth="1"/>
    <col min="11786" max="12030" width="9.140625" style="140"/>
    <col min="12031" max="12031" width="2.7109375" style="140" customWidth="1"/>
    <col min="12032" max="12032" width="9.140625" style="140"/>
    <col min="12033" max="12033" width="40.28515625" style="140" bestFit="1" customWidth="1"/>
    <col min="12034" max="12034" width="10" style="140" customWidth="1"/>
    <col min="12035" max="12035" width="10.140625" style="140" customWidth="1"/>
    <col min="12036" max="12036" width="12.28515625" style="140" customWidth="1"/>
    <col min="12037" max="12037" width="15.7109375" style="140" customWidth="1"/>
    <col min="12038" max="12038" width="12.85546875" style="140" customWidth="1"/>
    <col min="12039" max="12039" width="12.7109375" style="140" customWidth="1"/>
    <col min="12040" max="12040" width="12.85546875" style="140" customWidth="1"/>
    <col min="12041" max="12041" width="14.42578125" style="140" customWidth="1"/>
    <col min="12042" max="12286" width="9.140625" style="140"/>
    <col min="12287" max="12287" width="2.7109375" style="140" customWidth="1"/>
    <col min="12288" max="12288" width="9.140625" style="140"/>
    <col min="12289" max="12289" width="40.28515625" style="140" bestFit="1" customWidth="1"/>
    <col min="12290" max="12290" width="10" style="140" customWidth="1"/>
    <col min="12291" max="12291" width="10.140625" style="140" customWidth="1"/>
    <col min="12292" max="12292" width="12.28515625" style="140" customWidth="1"/>
    <col min="12293" max="12293" width="15.7109375" style="140" customWidth="1"/>
    <col min="12294" max="12294" width="12.85546875" style="140" customWidth="1"/>
    <col min="12295" max="12295" width="12.7109375" style="140" customWidth="1"/>
    <col min="12296" max="12296" width="12.85546875" style="140" customWidth="1"/>
    <col min="12297" max="12297" width="14.42578125" style="140" customWidth="1"/>
    <col min="12298" max="12542" width="9.140625" style="140"/>
    <col min="12543" max="12543" width="2.7109375" style="140" customWidth="1"/>
    <col min="12544" max="12544" width="9.140625" style="140"/>
    <col min="12545" max="12545" width="40.28515625" style="140" bestFit="1" customWidth="1"/>
    <col min="12546" max="12546" width="10" style="140" customWidth="1"/>
    <col min="12547" max="12547" width="10.140625" style="140" customWidth="1"/>
    <col min="12548" max="12548" width="12.28515625" style="140" customWidth="1"/>
    <col min="12549" max="12549" width="15.7109375" style="140" customWidth="1"/>
    <col min="12550" max="12550" width="12.85546875" style="140" customWidth="1"/>
    <col min="12551" max="12551" width="12.7109375" style="140" customWidth="1"/>
    <col min="12552" max="12552" width="12.85546875" style="140" customWidth="1"/>
    <col min="12553" max="12553" width="14.42578125" style="140" customWidth="1"/>
    <col min="12554" max="12798" width="9.140625" style="140"/>
    <col min="12799" max="12799" width="2.7109375" style="140" customWidth="1"/>
    <col min="12800" max="12800" width="9.140625" style="140"/>
    <col min="12801" max="12801" width="40.28515625" style="140" bestFit="1" customWidth="1"/>
    <col min="12802" max="12802" width="10" style="140" customWidth="1"/>
    <col min="12803" max="12803" width="10.140625" style="140" customWidth="1"/>
    <col min="12804" max="12804" width="12.28515625" style="140" customWidth="1"/>
    <col min="12805" max="12805" width="15.7109375" style="140" customWidth="1"/>
    <col min="12806" max="12806" width="12.85546875" style="140" customWidth="1"/>
    <col min="12807" max="12807" width="12.7109375" style="140" customWidth="1"/>
    <col min="12808" max="12808" width="12.85546875" style="140" customWidth="1"/>
    <col min="12809" max="12809" width="14.42578125" style="140" customWidth="1"/>
    <col min="12810" max="13054" width="9.140625" style="140"/>
    <col min="13055" max="13055" width="2.7109375" style="140" customWidth="1"/>
    <col min="13056" max="13056" width="9.140625" style="140"/>
    <col min="13057" max="13057" width="40.28515625" style="140" bestFit="1" customWidth="1"/>
    <col min="13058" max="13058" width="10" style="140" customWidth="1"/>
    <col min="13059" max="13059" width="10.140625" style="140" customWidth="1"/>
    <col min="13060" max="13060" width="12.28515625" style="140" customWidth="1"/>
    <col min="13061" max="13061" width="15.7109375" style="140" customWidth="1"/>
    <col min="13062" max="13062" width="12.85546875" style="140" customWidth="1"/>
    <col min="13063" max="13063" width="12.7109375" style="140" customWidth="1"/>
    <col min="13064" max="13064" width="12.85546875" style="140" customWidth="1"/>
    <col min="13065" max="13065" width="14.42578125" style="140" customWidth="1"/>
    <col min="13066" max="13310" width="9.140625" style="140"/>
    <col min="13311" max="13311" width="2.7109375" style="140" customWidth="1"/>
    <col min="13312" max="13312" width="9.140625" style="140"/>
    <col min="13313" max="13313" width="40.28515625" style="140" bestFit="1" customWidth="1"/>
    <col min="13314" max="13314" width="10" style="140" customWidth="1"/>
    <col min="13315" max="13315" width="10.140625" style="140" customWidth="1"/>
    <col min="13316" max="13316" width="12.28515625" style="140" customWidth="1"/>
    <col min="13317" max="13317" width="15.7109375" style="140" customWidth="1"/>
    <col min="13318" max="13318" width="12.85546875" style="140" customWidth="1"/>
    <col min="13319" max="13319" width="12.7109375" style="140" customWidth="1"/>
    <col min="13320" max="13320" width="12.85546875" style="140" customWidth="1"/>
    <col min="13321" max="13321" width="14.42578125" style="140" customWidth="1"/>
    <col min="13322" max="13566" width="9.140625" style="140"/>
    <col min="13567" max="13567" width="2.7109375" style="140" customWidth="1"/>
    <col min="13568" max="13568" width="9.140625" style="140"/>
    <col min="13569" max="13569" width="40.28515625" style="140" bestFit="1" customWidth="1"/>
    <col min="13570" max="13570" width="10" style="140" customWidth="1"/>
    <col min="13571" max="13571" width="10.140625" style="140" customWidth="1"/>
    <col min="13572" max="13572" width="12.28515625" style="140" customWidth="1"/>
    <col min="13573" max="13573" width="15.7109375" style="140" customWidth="1"/>
    <col min="13574" max="13574" width="12.85546875" style="140" customWidth="1"/>
    <col min="13575" max="13575" width="12.7109375" style="140" customWidth="1"/>
    <col min="13576" max="13576" width="12.85546875" style="140" customWidth="1"/>
    <col min="13577" max="13577" width="14.42578125" style="140" customWidth="1"/>
    <col min="13578" max="13822" width="9.140625" style="140"/>
    <col min="13823" max="13823" width="2.7109375" style="140" customWidth="1"/>
    <col min="13824" max="13824" width="9.140625" style="140"/>
    <col min="13825" max="13825" width="40.28515625" style="140" bestFit="1" customWidth="1"/>
    <col min="13826" max="13826" width="10" style="140" customWidth="1"/>
    <col min="13827" max="13827" width="10.140625" style="140" customWidth="1"/>
    <col min="13828" max="13828" width="12.28515625" style="140" customWidth="1"/>
    <col min="13829" max="13829" width="15.7109375" style="140" customWidth="1"/>
    <col min="13830" max="13830" width="12.85546875" style="140" customWidth="1"/>
    <col min="13831" max="13831" width="12.7109375" style="140" customWidth="1"/>
    <col min="13832" max="13832" width="12.85546875" style="140" customWidth="1"/>
    <col min="13833" max="13833" width="14.42578125" style="140" customWidth="1"/>
    <col min="13834" max="14078" width="9.140625" style="140"/>
    <col min="14079" max="14079" width="2.7109375" style="140" customWidth="1"/>
    <col min="14080" max="14080" width="9.140625" style="140"/>
    <col min="14081" max="14081" width="40.28515625" style="140" bestFit="1" customWidth="1"/>
    <col min="14082" max="14082" width="10" style="140" customWidth="1"/>
    <col min="14083" max="14083" width="10.140625" style="140" customWidth="1"/>
    <col min="14084" max="14084" width="12.28515625" style="140" customWidth="1"/>
    <col min="14085" max="14085" width="15.7109375" style="140" customWidth="1"/>
    <col min="14086" max="14086" width="12.85546875" style="140" customWidth="1"/>
    <col min="14087" max="14087" width="12.7109375" style="140" customWidth="1"/>
    <col min="14088" max="14088" width="12.85546875" style="140" customWidth="1"/>
    <col min="14089" max="14089" width="14.42578125" style="140" customWidth="1"/>
    <col min="14090" max="14334" width="9.140625" style="140"/>
    <col min="14335" max="14335" width="2.7109375" style="140" customWidth="1"/>
    <col min="14336" max="14336" width="9.140625" style="140"/>
    <col min="14337" max="14337" width="40.28515625" style="140" bestFit="1" customWidth="1"/>
    <col min="14338" max="14338" width="10" style="140" customWidth="1"/>
    <col min="14339" max="14339" width="10.140625" style="140" customWidth="1"/>
    <col min="14340" max="14340" width="12.28515625" style="140" customWidth="1"/>
    <col min="14341" max="14341" width="15.7109375" style="140" customWidth="1"/>
    <col min="14342" max="14342" width="12.85546875" style="140" customWidth="1"/>
    <col min="14343" max="14343" width="12.7109375" style="140" customWidth="1"/>
    <col min="14344" max="14344" width="12.85546875" style="140" customWidth="1"/>
    <col min="14345" max="14345" width="14.42578125" style="140" customWidth="1"/>
    <col min="14346" max="14590" width="9.140625" style="140"/>
    <col min="14591" max="14591" width="2.7109375" style="140" customWidth="1"/>
    <col min="14592" max="14592" width="9.140625" style="140"/>
    <col min="14593" max="14593" width="40.28515625" style="140" bestFit="1" customWidth="1"/>
    <col min="14594" max="14594" width="10" style="140" customWidth="1"/>
    <col min="14595" max="14595" width="10.140625" style="140" customWidth="1"/>
    <col min="14596" max="14596" width="12.28515625" style="140" customWidth="1"/>
    <col min="14597" max="14597" width="15.7109375" style="140" customWidth="1"/>
    <col min="14598" max="14598" width="12.85546875" style="140" customWidth="1"/>
    <col min="14599" max="14599" width="12.7109375" style="140" customWidth="1"/>
    <col min="14600" max="14600" width="12.85546875" style="140" customWidth="1"/>
    <col min="14601" max="14601" width="14.42578125" style="140" customWidth="1"/>
    <col min="14602" max="14846" width="9.140625" style="140"/>
    <col min="14847" max="14847" width="2.7109375" style="140" customWidth="1"/>
    <col min="14848" max="14848" width="9.140625" style="140"/>
    <col min="14849" max="14849" width="40.28515625" style="140" bestFit="1" customWidth="1"/>
    <col min="14850" max="14850" width="10" style="140" customWidth="1"/>
    <col min="14851" max="14851" width="10.140625" style="140" customWidth="1"/>
    <col min="14852" max="14852" width="12.28515625" style="140" customWidth="1"/>
    <col min="14853" max="14853" width="15.7109375" style="140" customWidth="1"/>
    <col min="14854" max="14854" width="12.85546875" style="140" customWidth="1"/>
    <col min="14855" max="14855" width="12.7109375" style="140" customWidth="1"/>
    <col min="14856" max="14856" width="12.85546875" style="140" customWidth="1"/>
    <col min="14857" max="14857" width="14.42578125" style="140" customWidth="1"/>
    <col min="14858" max="15102" width="9.140625" style="140"/>
    <col min="15103" max="15103" width="2.7109375" style="140" customWidth="1"/>
    <col min="15104" max="15104" width="9.140625" style="140"/>
    <col min="15105" max="15105" width="40.28515625" style="140" bestFit="1" customWidth="1"/>
    <col min="15106" max="15106" width="10" style="140" customWidth="1"/>
    <col min="15107" max="15107" width="10.140625" style="140" customWidth="1"/>
    <col min="15108" max="15108" width="12.28515625" style="140" customWidth="1"/>
    <col min="15109" max="15109" width="15.7109375" style="140" customWidth="1"/>
    <col min="15110" max="15110" width="12.85546875" style="140" customWidth="1"/>
    <col min="15111" max="15111" width="12.7109375" style="140" customWidth="1"/>
    <col min="15112" max="15112" width="12.85546875" style="140" customWidth="1"/>
    <col min="15113" max="15113" width="14.42578125" style="140" customWidth="1"/>
    <col min="15114" max="15358" width="9.140625" style="140"/>
    <col min="15359" max="15359" width="2.7109375" style="140" customWidth="1"/>
    <col min="15360" max="15360" width="9.140625" style="140"/>
    <col min="15361" max="15361" width="40.28515625" style="140" bestFit="1" customWidth="1"/>
    <col min="15362" max="15362" width="10" style="140" customWidth="1"/>
    <col min="15363" max="15363" width="10.140625" style="140" customWidth="1"/>
    <col min="15364" max="15364" width="12.28515625" style="140" customWidth="1"/>
    <col min="15365" max="15365" width="15.7109375" style="140" customWidth="1"/>
    <col min="15366" max="15366" width="12.85546875" style="140" customWidth="1"/>
    <col min="15367" max="15367" width="12.7109375" style="140" customWidth="1"/>
    <col min="15368" max="15368" width="12.85546875" style="140" customWidth="1"/>
    <col min="15369" max="15369" width="14.42578125" style="140" customWidth="1"/>
    <col min="15370" max="15614" width="9.140625" style="140"/>
    <col min="15615" max="15615" width="2.7109375" style="140" customWidth="1"/>
    <col min="15616" max="15616" width="9.140625" style="140"/>
    <col min="15617" max="15617" width="40.28515625" style="140" bestFit="1" customWidth="1"/>
    <col min="15618" max="15618" width="10" style="140" customWidth="1"/>
    <col min="15619" max="15619" width="10.140625" style="140" customWidth="1"/>
    <col min="15620" max="15620" width="12.28515625" style="140" customWidth="1"/>
    <col min="15621" max="15621" width="15.7109375" style="140" customWidth="1"/>
    <col min="15622" max="15622" width="12.85546875" style="140" customWidth="1"/>
    <col min="15623" max="15623" width="12.7109375" style="140" customWidth="1"/>
    <col min="15624" max="15624" width="12.85546875" style="140" customWidth="1"/>
    <col min="15625" max="15625" width="14.42578125" style="140" customWidth="1"/>
    <col min="15626" max="15870" width="9.140625" style="140"/>
    <col min="15871" max="15871" width="2.7109375" style="140" customWidth="1"/>
    <col min="15872" max="15872" width="9.140625" style="140"/>
    <col min="15873" max="15873" width="40.28515625" style="140" bestFit="1" customWidth="1"/>
    <col min="15874" max="15874" width="10" style="140" customWidth="1"/>
    <col min="15875" max="15875" width="10.140625" style="140" customWidth="1"/>
    <col min="15876" max="15876" width="12.28515625" style="140" customWidth="1"/>
    <col min="15877" max="15877" width="15.7109375" style="140" customWidth="1"/>
    <col min="15878" max="15878" width="12.85546875" style="140" customWidth="1"/>
    <col min="15879" max="15879" width="12.7109375" style="140" customWidth="1"/>
    <col min="15880" max="15880" width="12.85546875" style="140" customWidth="1"/>
    <col min="15881" max="15881" width="14.42578125" style="140" customWidth="1"/>
    <col min="15882" max="16126" width="9.140625" style="140"/>
    <col min="16127" max="16127" width="2.7109375" style="140" customWidth="1"/>
    <col min="16128" max="16128" width="9.140625" style="140"/>
    <col min="16129" max="16129" width="40.28515625" style="140" bestFit="1" customWidth="1"/>
    <col min="16130" max="16130" width="10" style="140" customWidth="1"/>
    <col min="16131" max="16131" width="10.140625" style="140" customWidth="1"/>
    <col min="16132" max="16132" width="12.28515625" style="140" customWidth="1"/>
    <col min="16133" max="16133" width="15.7109375" style="140" customWidth="1"/>
    <col min="16134" max="16134" width="12.85546875" style="140" customWidth="1"/>
    <col min="16135" max="16135" width="12.7109375" style="140" customWidth="1"/>
    <col min="16136" max="16136" width="12.85546875" style="140" customWidth="1"/>
    <col min="16137" max="16137" width="14.42578125" style="140" customWidth="1"/>
    <col min="16138" max="16384" width="9.140625" style="140"/>
  </cols>
  <sheetData>
    <row r="1" spans="1:10" x14ac:dyDescent="0.2">
      <c r="C1" s="337"/>
      <c r="D1" s="336"/>
      <c r="E1" s="337"/>
      <c r="F1" s="337"/>
      <c r="G1" s="334" t="s">
        <v>394</v>
      </c>
      <c r="H1" s="1513" t="str">
        <f>EBNUMBER</f>
        <v>EB-2015-0089</v>
      </c>
      <c r="J1" s="337"/>
    </row>
    <row r="2" spans="1:10" x14ac:dyDescent="0.2">
      <c r="C2" s="337"/>
      <c r="D2" s="336"/>
      <c r="E2" s="337"/>
      <c r="F2" s="337"/>
      <c r="G2" s="334" t="s">
        <v>395</v>
      </c>
      <c r="H2" s="136"/>
      <c r="J2" s="337"/>
    </row>
    <row r="3" spans="1:10" x14ac:dyDescent="0.2">
      <c r="C3" s="337"/>
      <c r="D3" s="336"/>
      <c r="E3" s="337"/>
      <c r="F3" s="337"/>
      <c r="G3" s="334" t="s">
        <v>396</v>
      </c>
      <c r="H3" s="136"/>
      <c r="J3" s="337"/>
    </row>
    <row r="4" spans="1:10" x14ac:dyDescent="0.2">
      <c r="C4" s="337"/>
      <c r="D4" s="336"/>
      <c r="E4" s="337"/>
      <c r="F4" s="337"/>
      <c r="G4" s="334" t="s">
        <v>397</v>
      </c>
      <c r="H4" s="136"/>
      <c r="J4" s="337"/>
    </row>
    <row r="5" spans="1:10" x14ac:dyDescent="0.2">
      <c r="C5" s="337"/>
      <c r="D5" s="336"/>
      <c r="E5" s="337"/>
      <c r="F5" s="337"/>
      <c r="G5" s="334" t="s">
        <v>398</v>
      </c>
      <c r="H5" s="1514"/>
      <c r="J5" s="337"/>
    </row>
    <row r="6" spans="1:10" x14ac:dyDescent="0.2">
      <c r="C6" s="337"/>
      <c r="D6" s="336"/>
      <c r="E6" s="337"/>
      <c r="F6" s="337"/>
      <c r="G6" s="334"/>
      <c r="H6" s="1513"/>
      <c r="J6" s="337"/>
    </row>
    <row r="7" spans="1:10" x14ac:dyDescent="0.2">
      <c r="C7" s="337"/>
      <c r="D7" s="336"/>
      <c r="E7" s="337"/>
      <c r="F7" s="337"/>
      <c r="G7" s="334" t="s">
        <v>399</v>
      </c>
      <c r="H7" s="1514"/>
      <c r="J7" s="394"/>
    </row>
    <row r="9" spans="1:10" ht="18" x14ac:dyDescent="0.2">
      <c r="A9" s="2083" t="s">
        <v>530</v>
      </c>
      <c r="B9" s="2083"/>
      <c r="C9" s="2083"/>
      <c r="D9" s="2083"/>
      <c r="E9" s="2083"/>
      <c r="F9" s="2083"/>
      <c r="G9" s="2083"/>
      <c r="H9" s="2083"/>
      <c r="I9" s="2083"/>
    </row>
    <row r="10" spans="1:10" ht="18" x14ac:dyDescent="0.2">
      <c r="A10" s="2083" t="s">
        <v>3</v>
      </c>
      <c r="B10" s="2083"/>
      <c r="C10" s="2083"/>
      <c r="D10" s="2083"/>
      <c r="E10" s="2083"/>
      <c r="F10" s="2083"/>
      <c r="G10" s="2083"/>
      <c r="H10" s="2083"/>
      <c r="I10" s="2083"/>
    </row>
    <row r="11" spans="1:10" ht="24" customHeight="1" x14ac:dyDescent="0.2">
      <c r="A11" s="2076" t="s">
        <v>1854</v>
      </c>
      <c r="B11" s="2076"/>
      <c r="C11" s="2076"/>
      <c r="D11" s="2076"/>
      <c r="E11" s="2076"/>
      <c r="F11" s="2076"/>
      <c r="G11" s="2076"/>
      <c r="H11" s="2076"/>
      <c r="I11" s="456"/>
      <c r="J11" s="456"/>
    </row>
    <row r="12" spans="1:10" ht="24" customHeight="1" x14ac:dyDescent="0.2">
      <c r="A12" s="1479"/>
      <c r="B12" s="1479"/>
      <c r="C12" s="1479"/>
      <c r="D12" s="1479"/>
      <c r="E12" s="1479"/>
      <c r="F12" s="1479"/>
      <c r="G12" s="1479"/>
      <c r="H12" s="1479"/>
      <c r="I12" s="456"/>
      <c r="J12" s="456"/>
    </row>
    <row r="13" spans="1:10" ht="13.5" customHeight="1" x14ac:dyDescent="0.25">
      <c r="A13" s="1467"/>
      <c r="B13" s="1467"/>
      <c r="C13" s="435">
        <v>2016</v>
      </c>
      <c r="D13" s="435" t="s">
        <v>152</v>
      </c>
      <c r="E13" s="1467"/>
      <c r="F13" s="1467"/>
      <c r="G13" s="1467"/>
      <c r="H13" s="1467"/>
    </row>
    <row r="14" spans="1:10" ht="13.5" thickBot="1" x14ac:dyDescent="0.25"/>
    <row r="15" spans="1:10" ht="62.25" customHeight="1" x14ac:dyDescent="0.2">
      <c r="A15" s="474" t="s">
        <v>4</v>
      </c>
      <c r="B15" s="2072" t="s">
        <v>324</v>
      </c>
      <c r="C15" s="404" t="s">
        <v>326</v>
      </c>
      <c r="D15" s="404" t="s">
        <v>489</v>
      </c>
      <c r="E15" s="404" t="s">
        <v>479</v>
      </c>
      <c r="F15" s="438" t="s">
        <v>1803</v>
      </c>
      <c r="G15" s="2079" t="s">
        <v>1808</v>
      </c>
      <c r="H15" s="438" t="s">
        <v>482</v>
      </c>
    </row>
    <row r="16" spans="1:10" ht="51.75" thickBot="1" x14ac:dyDescent="0.25">
      <c r="A16" s="475"/>
      <c r="B16" s="2078"/>
      <c r="C16" s="439" t="s">
        <v>6</v>
      </c>
      <c r="D16" s="439" t="s">
        <v>8</v>
      </c>
      <c r="E16" s="439" t="s">
        <v>9</v>
      </c>
      <c r="F16" s="457" t="s">
        <v>1804</v>
      </c>
      <c r="G16" s="2080"/>
      <c r="H16" s="442" t="s">
        <v>476</v>
      </c>
    </row>
    <row r="17" spans="1:8" ht="25.5" x14ac:dyDescent="0.2">
      <c r="A17" s="476">
        <v>1611</v>
      </c>
      <c r="B17" s="477" t="s">
        <v>475</v>
      </c>
      <c r="C17" s="356"/>
      <c r="D17" s="478"/>
      <c r="E17" s="479">
        <f t="shared" ref="E17:E54" si="0">IF(D17=0,0,1/D17)</f>
        <v>0</v>
      </c>
      <c r="F17" s="374">
        <f>IF(D17=0,'App.2-CE_MIFRS_DepExp_2015'!K17,+'App.2-CE_MIFRS_DepExp_2015'!K17+((C17*0.5)/D17))</f>
        <v>0</v>
      </c>
      <c r="G17" s="484"/>
      <c r="H17" s="374">
        <f t="shared" ref="H17:H54" si="1">IF(ISERROR(+F17-G17), 0, +F17-G17)</f>
        <v>0</v>
      </c>
    </row>
    <row r="18" spans="1:8" x14ac:dyDescent="0.2">
      <c r="A18" s="1477">
        <v>1612</v>
      </c>
      <c r="B18" s="355" t="s">
        <v>563</v>
      </c>
      <c r="C18" s="356"/>
      <c r="D18" s="411"/>
      <c r="E18" s="413">
        <f t="shared" si="0"/>
        <v>0</v>
      </c>
      <c r="F18" s="374">
        <f>IF(D18=0,'App.2-CE_MIFRS_DepExp_2015'!K18,+'App.2-CE_MIFRS_DepExp_2015'!K18+((C18*0.5)/D18))</f>
        <v>0</v>
      </c>
      <c r="G18" s="485"/>
      <c r="H18" s="374">
        <f t="shared" si="1"/>
        <v>0</v>
      </c>
    </row>
    <row r="19" spans="1:8" x14ac:dyDescent="0.2">
      <c r="A19" s="414">
        <v>1805</v>
      </c>
      <c r="B19" s="362" t="s">
        <v>358</v>
      </c>
      <c r="C19" s="356"/>
      <c r="D19" s="411"/>
      <c r="E19" s="413">
        <f t="shared" si="0"/>
        <v>0</v>
      </c>
      <c r="F19" s="374">
        <f>IF(D19=0,'App.2-CE_MIFRS_DepExp_2015'!K19,+'App.2-CE_MIFRS_DepExp_2015'!K19+((C19*0.5)/D19))</f>
        <v>0</v>
      </c>
      <c r="G19" s="485"/>
      <c r="H19" s="374">
        <f t="shared" si="1"/>
        <v>0</v>
      </c>
    </row>
    <row r="20" spans="1:8" x14ac:dyDescent="0.2">
      <c r="A20" s="1477">
        <v>1808</v>
      </c>
      <c r="B20" s="363" t="s">
        <v>359</v>
      </c>
      <c r="C20" s="356"/>
      <c r="D20" s="411"/>
      <c r="E20" s="413">
        <f t="shared" si="0"/>
        <v>0</v>
      </c>
      <c r="F20" s="374">
        <f>IF(D20=0,'App.2-CE_MIFRS_DepExp_2015'!K20,+'App.2-CE_MIFRS_DepExp_2015'!K20+((C20*0.5)/D20))</f>
        <v>0</v>
      </c>
      <c r="G20" s="485"/>
      <c r="H20" s="374">
        <f t="shared" si="1"/>
        <v>0</v>
      </c>
    </row>
    <row r="21" spans="1:8" x14ac:dyDescent="0.2">
      <c r="A21" s="1477">
        <v>1810</v>
      </c>
      <c r="B21" s="363" t="s">
        <v>392</v>
      </c>
      <c r="C21" s="356"/>
      <c r="D21" s="411"/>
      <c r="E21" s="413">
        <f t="shared" si="0"/>
        <v>0</v>
      </c>
      <c r="F21" s="374">
        <f>IF(D21=0,'App.2-CE_MIFRS_DepExp_2015'!K21,+'App.2-CE_MIFRS_DepExp_2015'!K21+((C21*0.5)/D21))</f>
        <v>0</v>
      </c>
      <c r="G21" s="485"/>
      <c r="H21" s="374">
        <f t="shared" si="1"/>
        <v>0</v>
      </c>
    </row>
    <row r="22" spans="1:8" x14ac:dyDescent="0.2">
      <c r="A22" s="1477">
        <v>1815</v>
      </c>
      <c r="B22" s="363" t="s">
        <v>360</v>
      </c>
      <c r="C22" s="356"/>
      <c r="D22" s="411"/>
      <c r="E22" s="413">
        <f t="shared" si="0"/>
        <v>0</v>
      </c>
      <c r="F22" s="374">
        <f>IF(D22=0,'App.2-CE_MIFRS_DepExp_2015'!K22,+'App.2-CE_MIFRS_DepExp_2015'!K22+((C22*0.5)/D22))</f>
        <v>0</v>
      </c>
      <c r="G22" s="485"/>
      <c r="H22" s="374">
        <f t="shared" si="1"/>
        <v>0</v>
      </c>
    </row>
    <row r="23" spans="1:8" x14ac:dyDescent="0.2">
      <c r="A23" s="1477">
        <v>1820</v>
      </c>
      <c r="B23" s="355" t="s">
        <v>287</v>
      </c>
      <c r="C23" s="356"/>
      <c r="D23" s="411"/>
      <c r="E23" s="413">
        <f t="shared" si="0"/>
        <v>0</v>
      </c>
      <c r="F23" s="374">
        <f>IF(D23=0,'App.2-CE_MIFRS_DepExp_2015'!K23,+'App.2-CE_MIFRS_DepExp_2015'!K23+((C23*0.5)/D23))</f>
        <v>0</v>
      </c>
      <c r="G23" s="485"/>
      <c r="H23" s="374">
        <f t="shared" si="1"/>
        <v>0</v>
      </c>
    </row>
    <row r="24" spans="1:8" x14ac:dyDescent="0.2">
      <c r="A24" s="1477">
        <v>1825</v>
      </c>
      <c r="B24" s="363" t="s">
        <v>361</v>
      </c>
      <c r="C24" s="356"/>
      <c r="D24" s="411"/>
      <c r="E24" s="413">
        <f t="shared" si="0"/>
        <v>0</v>
      </c>
      <c r="F24" s="374">
        <f>IF(D24=0,'App.2-CE_MIFRS_DepExp_2015'!K24,+'App.2-CE_MIFRS_DepExp_2015'!K24+((C24*0.5)/D24))</f>
        <v>0</v>
      </c>
      <c r="G24" s="485"/>
      <c r="H24" s="374">
        <f t="shared" si="1"/>
        <v>0</v>
      </c>
    </row>
    <row r="25" spans="1:8" x14ac:dyDescent="0.2">
      <c r="A25" s="1477">
        <v>1830</v>
      </c>
      <c r="B25" s="363" t="s">
        <v>362</v>
      </c>
      <c r="C25" s="356"/>
      <c r="D25" s="411"/>
      <c r="E25" s="413">
        <f t="shared" si="0"/>
        <v>0</v>
      </c>
      <c r="F25" s="374">
        <f>IF(D25=0,'App.2-CE_MIFRS_DepExp_2015'!K25,+'App.2-CE_MIFRS_DepExp_2015'!K25+((C25*0.5)/D25))</f>
        <v>0</v>
      </c>
      <c r="G25" s="485"/>
      <c r="H25" s="374">
        <f t="shared" si="1"/>
        <v>0</v>
      </c>
    </row>
    <row r="26" spans="1:8" x14ac:dyDescent="0.2">
      <c r="A26" s="1477">
        <v>1835</v>
      </c>
      <c r="B26" s="363" t="s">
        <v>288</v>
      </c>
      <c r="C26" s="356"/>
      <c r="D26" s="411"/>
      <c r="E26" s="413">
        <f t="shared" si="0"/>
        <v>0</v>
      </c>
      <c r="F26" s="374">
        <f>IF(D26=0,'App.2-CE_MIFRS_DepExp_2015'!K26,+'App.2-CE_MIFRS_DepExp_2015'!K26+((C26*0.5)/D26))</f>
        <v>0</v>
      </c>
      <c r="G26" s="485"/>
      <c r="H26" s="374">
        <f t="shared" si="1"/>
        <v>0</v>
      </c>
    </row>
    <row r="27" spans="1:8" x14ac:dyDescent="0.2">
      <c r="A27" s="1477">
        <v>1840</v>
      </c>
      <c r="B27" s="363" t="s">
        <v>289</v>
      </c>
      <c r="C27" s="356"/>
      <c r="D27" s="411"/>
      <c r="E27" s="413">
        <f t="shared" si="0"/>
        <v>0</v>
      </c>
      <c r="F27" s="374">
        <f>IF(D27=0,'App.2-CE_MIFRS_DepExp_2015'!K27,+'App.2-CE_MIFRS_DepExp_2015'!K27+((C27*0.5)/D27))</f>
        <v>0</v>
      </c>
      <c r="G27" s="485"/>
      <c r="H27" s="374">
        <f t="shared" si="1"/>
        <v>0</v>
      </c>
    </row>
    <row r="28" spans="1:8" x14ac:dyDescent="0.2">
      <c r="A28" s="1477">
        <v>1845</v>
      </c>
      <c r="B28" s="363" t="s">
        <v>290</v>
      </c>
      <c r="C28" s="356"/>
      <c r="D28" s="411"/>
      <c r="E28" s="413">
        <f t="shared" si="0"/>
        <v>0</v>
      </c>
      <c r="F28" s="374">
        <f>IF(D28=0,'App.2-CE_MIFRS_DepExp_2015'!K28,+'App.2-CE_MIFRS_DepExp_2015'!K28+((C28*0.5)/D28))</f>
        <v>0</v>
      </c>
      <c r="G28" s="485"/>
      <c r="H28" s="374">
        <f t="shared" si="1"/>
        <v>0</v>
      </c>
    </row>
    <row r="29" spans="1:8" x14ac:dyDescent="0.2">
      <c r="A29" s="1477">
        <v>1850</v>
      </c>
      <c r="B29" s="363" t="s">
        <v>363</v>
      </c>
      <c r="C29" s="356"/>
      <c r="D29" s="411"/>
      <c r="E29" s="413">
        <f t="shared" si="0"/>
        <v>0</v>
      </c>
      <c r="F29" s="374">
        <f>IF(D29=0,'App.2-CE_MIFRS_DepExp_2015'!K29,+'App.2-CE_MIFRS_DepExp_2015'!K29+((C29*0.5)/D29))</f>
        <v>0</v>
      </c>
      <c r="G29" s="485"/>
      <c r="H29" s="374">
        <f t="shared" si="1"/>
        <v>0</v>
      </c>
    </row>
    <row r="30" spans="1:8" x14ac:dyDescent="0.2">
      <c r="A30" s="1477">
        <v>1855</v>
      </c>
      <c r="B30" s="363" t="s">
        <v>291</v>
      </c>
      <c r="C30" s="356"/>
      <c r="D30" s="411"/>
      <c r="E30" s="413">
        <f t="shared" si="0"/>
        <v>0</v>
      </c>
      <c r="F30" s="374">
        <f>IF(D30=0,'App.2-CE_MIFRS_DepExp_2015'!K30,+'App.2-CE_MIFRS_DepExp_2015'!K30+((C30*0.5)/D30))</f>
        <v>0</v>
      </c>
      <c r="G30" s="485"/>
      <c r="H30" s="374">
        <f t="shared" si="1"/>
        <v>0</v>
      </c>
    </row>
    <row r="31" spans="1:8" x14ac:dyDescent="0.2">
      <c r="A31" s="1477">
        <v>1860</v>
      </c>
      <c r="B31" s="363" t="s">
        <v>364</v>
      </c>
      <c r="C31" s="356"/>
      <c r="D31" s="411"/>
      <c r="E31" s="413">
        <f t="shared" si="0"/>
        <v>0</v>
      </c>
      <c r="F31" s="374">
        <f>IF(D31=0,'App.2-CE_MIFRS_DepExp_2015'!K31,+'App.2-CE_MIFRS_DepExp_2015'!K31+((C31*0.5)/D31))</f>
        <v>0</v>
      </c>
      <c r="G31" s="485"/>
      <c r="H31" s="374">
        <f t="shared" si="1"/>
        <v>0</v>
      </c>
    </row>
    <row r="32" spans="1:8" x14ac:dyDescent="0.2">
      <c r="A32" s="414">
        <v>1860</v>
      </c>
      <c r="B32" s="362" t="s">
        <v>292</v>
      </c>
      <c r="C32" s="356"/>
      <c r="D32" s="411"/>
      <c r="E32" s="413">
        <f t="shared" si="0"/>
        <v>0</v>
      </c>
      <c r="F32" s="374">
        <f>IF(D32=0,'App.2-CE_MIFRS_DepExp_2015'!K32,+'App.2-CE_MIFRS_DepExp_2015'!K32+((C32*0.5)/D32))</f>
        <v>0</v>
      </c>
      <c r="G32" s="485"/>
      <c r="H32" s="374">
        <f t="shared" si="1"/>
        <v>0</v>
      </c>
    </row>
    <row r="33" spans="1:8" x14ac:dyDescent="0.2">
      <c r="A33" s="414">
        <v>1905</v>
      </c>
      <c r="B33" s="362" t="s">
        <v>358</v>
      </c>
      <c r="C33" s="356"/>
      <c r="D33" s="411"/>
      <c r="E33" s="413">
        <f t="shared" si="0"/>
        <v>0</v>
      </c>
      <c r="F33" s="374">
        <f>IF(D33=0,'App.2-CE_MIFRS_DepExp_2015'!K33,+'App.2-CE_MIFRS_DepExp_2015'!K33+((C33*0.5)/D33))</f>
        <v>0</v>
      </c>
      <c r="G33" s="485"/>
      <c r="H33" s="374">
        <f t="shared" si="1"/>
        <v>0</v>
      </c>
    </row>
    <row r="34" spans="1:8" x14ac:dyDescent="0.2">
      <c r="A34" s="1477">
        <v>1908</v>
      </c>
      <c r="B34" s="363" t="s">
        <v>366</v>
      </c>
      <c r="C34" s="356"/>
      <c r="D34" s="411"/>
      <c r="E34" s="413">
        <f t="shared" si="0"/>
        <v>0</v>
      </c>
      <c r="F34" s="374">
        <f>IF(D34=0,'App.2-CE_MIFRS_DepExp_2015'!K34,+'App.2-CE_MIFRS_DepExp_2015'!K34+((C34*0.5)/D34))</f>
        <v>0</v>
      </c>
      <c r="G34" s="485"/>
      <c r="H34" s="374">
        <f t="shared" si="1"/>
        <v>0</v>
      </c>
    </row>
    <row r="35" spans="1:8" x14ac:dyDescent="0.2">
      <c r="A35" s="1477">
        <v>1910</v>
      </c>
      <c r="B35" s="363" t="s">
        <v>392</v>
      </c>
      <c r="C35" s="356"/>
      <c r="D35" s="411"/>
      <c r="E35" s="413">
        <f t="shared" si="0"/>
        <v>0</v>
      </c>
      <c r="F35" s="374">
        <f>IF(D35=0,'App.2-CE_MIFRS_DepExp_2015'!K35,+'App.2-CE_MIFRS_DepExp_2015'!K35+((C35*0.5)/D35))</f>
        <v>0</v>
      </c>
      <c r="G35" s="485"/>
      <c r="H35" s="374">
        <f t="shared" si="1"/>
        <v>0</v>
      </c>
    </row>
    <row r="36" spans="1:8" x14ac:dyDescent="0.2">
      <c r="A36" s="1477">
        <v>1915</v>
      </c>
      <c r="B36" s="363" t="s">
        <v>293</v>
      </c>
      <c r="C36" s="356"/>
      <c r="D36" s="411"/>
      <c r="E36" s="413">
        <f t="shared" si="0"/>
        <v>0</v>
      </c>
      <c r="F36" s="374">
        <f>IF(D36=0,'App.2-CE_MIFRS_DepExp_2015'!K36,+'App.2-CE_MIFRS_DepExp_2015'!K36+((C36*0.5)/D36))</f>
        <v>0</v>
      </c>
      <c r="G36" s="485"/>
      <c r="H36" s="374">
        <f t="shared" si="1"/>
        <v>0</v>
      </c>
    </row>
    <row r="37" spans="1:8" x14ac:dyDescent="0.2">
      <c r="A37" s="1477">
        <v>1915</v>
      </c>
      <c r="B37" s="363" t="s">
        <v>294</v>
      </c>
      <c r="C37" s="356"/>
      <c r="D37" s="411"/>
      <c r="E37" s="413">
        <f t="shared" si="0"/>
        <v>0</v>
      </c>
      <c r="F37" s="374">
        <f>IF(D37=0,'App.2-CE_MIFRS_DepExp_2015'!K37,+'App.2-CE_MIFRS_DepExp_2015'!K37+((C37*0.5)/D37))</f>
        <v>0</v>
      </c>
      <c r="G37" s="485"/>
      <c r="H37" s="374">
        <f t="shared" si="1"/>
        <v>0</v>
      </c>
    </row>
    <row r="38" spans="1:8" x14ac:dyDescent="0.2">
      <c r="A38" s="1477">
        <v>1920</v>
      </c>
      <c r="B38" s="363" t="s">
        <v>295</v>
      </c>
      <c r="C38" s="356"/>
      <c r="D38" s="411"/>
      <c r="E38" s="413">
        <f t="shared" si="0"/>
        <v>0</v>
      </c>
      <c r="F38" s="374">
        <f>IF(D38=0,'App.2-CE_MIFRS_DepExp_2015'!K38,+'App.2-CE_MIFRS_DepExp_2015'!K38+((C38*0.5)/D38))</f>
        <v>0</v>
      </c>
      <c r="G38" s="485"/>
      <c r="H38" s="374">
        <f t="shared" si="1"/>
        <v>0</v>
      </c>
    </row>
    <row r="39" spans="1:8" x14ac:dyDescent="0.2">
      <c r="A39" s="415">
        <v>1920</v>
      </c>
      <c r="B39" s="355" t="s">
        <v>297</v>
      </c>
      <c r="C39" s="356"/>
      <c r="D39" s="411"/>
      <c r="E39" s="413">
        <f t="shared" si="0"/>
        <v>0</v>
      </c>
      <c r="F39" s="374">
        <f>IF(D39=0,'App.2-CE_MIFRS_DepExp_2015'!K39,+'App.2-CE_MIFRS_DepExp_2015'!K39+((C39*0.5)/D39))</f>
        <v>0</v>
      </c>
      <c r="G39" s="485"/>
      <c r="H39" s="374">
        <f t="shared" si="1"/>
        <v>0</v>
      </c>
    </row>
    <row r="40" spans="1:8" x14ac:dyDescent="0.2">
      <c r="A40" s="415">
        <v>1920</v>
      </c>
      <c r="B40" s="355" t="s">
        <v>296</v>
      </c>
      <c r="C40" s="356"/>
      <c r="D40" s="411"/>
      <c r="E40" s="413">
        <f t="shared" si="0"/>
        <v>0</v>
      </c>
      <c r="F40" s="374">
        <f>IF(D40=0,'App.2-CE_MIFRS_DepExp_2015'!K40,+'App.2-CE_MIFRS_DepExp_2015'!K40+((C40*0.5)/D40))</f>
        <v>0</v>
      </c>
      <c r="G40" s="485"/>
      <c r="H40" s="374">
        <f t="shared" si="1"/>
        <v>0</v>
      </c>
    </row>
    <row r="41" spans="1:8" x14ac:dyDescent="0.2">
      <c r="A41" s="1477">
        <v>1930</v>
      </c>
      <c r="B41" s="363" t="s">
        <v>379</v>
      </c>
      <c r="C41" s="356"/>
      <c r="D41" s="411"/>
      <c r="E41" s="413">
        <f t="shared" si="0"/>
        <v>0</v>
      </c>
      <c r="F41" s="374">
        <f>IF(D41=0,'App.2-CE_MIFRS_DepExp_2015'!K41,+'App.2-CE_MIFRS_DepExp_2015'!K41+((C41*0.5)/D41))</f>
        <v>0</v>
      </c>
      <c r="G41" s="485"/>
      <c r="H41" s="374">
        <f t="shared" si="1"/>
        <v>0</v>
      </c>
    </row>
    <row r="42" spans="1:8" x14ac:dyDescent="0.2">
      <c r="A42" s="1477">
        <v>1935</v>
      </c>
      <c r="B42" s="363" t="s">
        <v>380</v>
      </c>
      <c r="C42" s="356"/>
      <c r="D42" s="411"/>
      <c r="E42" s="413">
        <f t="shared" si="0"/>
        <v>0</v>
      </c>
      <c r="F42" s="374">
        <f>IF(D42=0,'App.2-CE_MIFRS_DepExp_2015'!K42,+'App.2-CE_MIFRS_DepExp_2015'!K42+((C42*0.5)/D42))</f>
        <v>0</v>
      </c>
      <c r="G42" s="485"/>
      <c r="H42" s="374">
        <f t="shared" si="1"/>
        <v>0</v>
      </c>
    </row>
    <row r="43" spans="1:8" x14ac:dyDescent="0.2">
      <c r="A43" s="1477">
        <v>1940</v>
      </c>
      <c r="B43" s="363" t="s">
        <v>381</v>
      </c>
      <c r="C43" s="356"/>
      <c r="D43" s="411"/>
      <c r="E43" s="413">
        <f t="shared" si="0"/>
        <v>0</v>
      </c>
      <c r="F43" s="374">
        <f>IF(D43=0,'App.2-CE_MIFRS_DepExp_2015'!K43,+'App.2-CE_MIFRS_DepExp_2015'!K43+((C43*0.5)/D43))</f>
        <v>0</v>
      </c>
      <c r="G43" s="485"/>
      <c r="H43" s="374">
        <f t="shared" si="1"/>
        <v>0</v>
      </c>
    </row>
    <row r="44" spans="1:8" x14ac:dyDescent="0.2">
      <c r="A44" s="1477">
        <v>1945</v>
      </c>
      <c r="B44" s="363" t="s">
        <v>382</v>
      </c>
      <c r="C44" s="356"/>
      <c r="D44" s="411"/>
      <c r="E44" s="413">
        <f t="shared" si="0"/>
        <v>0</v>
      </c>
      <c r="F44" s="374">
        <f>IF(D44=0,'App.2-CE_MIFRS_DepExp_2015'!K44,+'App.2-CE_MIFRS_DepExp_2015'!K44+((C44*0.5)/D44))</f>
        <v>0</v>
      </c>
      <c r="G44" s="485"/>
      <c r="H44" s="374">
        <f t="shared" si="1"/>
        <v>0</v>
      </c>
    </row>
    <row r="45" spans="1:8" x14ac:dyDescent="0.2">
      <c r="A45" s="1477">
        <v>1950</v>
      </c>
      <c r="B45" s="363" t="s">
        <v>298</v>
      </c>
      <c r="C45" s="356"/>
      <c r="D45" s="411"/>
      <c r="E45" s="413">
        <f t="shared" si="0"/>
        <v>0</v>
      </c>
      <c r="F45" s="374">
        <f>IF(D45=0,'App.2-CE_MIFRS_DepExp_2015'!K45,+'App.2-CE_MIFRS_DepExp_2015'!K45+((C45*0.5)/D45))</f>
        <v>0</v>
      </c>
      <c r="G45" s="485"/>
      <c r="H45" s="374">
        <f t="shared" si="1"/>
        <v>0</v>
      </c>
    </row>
    <row r="46" spans="1:8" x14ac:dyDescent="0.2">
      <c r="A46" s="1477">
        <v>1955</v>
      </c>
      <c r="B46" s="363" t="s">
        <v>383</v>
      </c>
      <c r="C46" s="356"/>
      <c r="D46" s="411"/>
      <c r="E46" s="413">
        <f t="shared" si="0"/>
        <v>0</v>
      </c>
      <c r="F46" s="374">
        <f>IF(D46=0,'App.2-CE_MIFRS_DepExp_2015'!K46,+'App.2-CE_MIFRS_DepExp_2015'!K46+((C46*0.5)/D46))</f>
        <v>0</v>
      </c>
      <c r="G46" s="485"/>
      <c r="H46" s="374">
        <f t="shared" si="1"/>
        <v>0</v>
      </c>
    </row>
    <row r="47" spans="1:8" x14ac:dyDescent="0.2">
      <c r="A47" s="416">
        <v>1955</v>
      </c>
      <c r="B47" s="367" t="s">
        <v>299</v>
      </c>
      <c r="C47" s="356"/>
      <c r="D47" s="411"/>
      <c r="E47" s="413">
        <f t="shared" si="0"/>
        <v>0</v>
      </c>
      <c r="F47" s="374">
        <f>IF(D47=0,'App.2-CE_MIFRS_DepExp_2015'!K47,+'App.2-CE_MIFRS_DepExp_2015'!K47+((C47*0.5)/D47))</f>
        <v>0</v>
      </c>
      <c r="G47" s="485"/>
      <c r="H47" s="374">
        <f t="shared" si="1"/>
        <v>0</v>
      </c>
    </row>
    <row r="48" spans="1:8" x14ac:dyDescent="0.2">
      <c r="A48" s="415">
        <v>1960</v>
      </c>
      <c r="B48" s="355" t="s">
        <v>300</v>
      </c>
      <c r="C48" s="356"/>
      <c r="D48" s="411"/>
      <c r="E48" s="413">
        <f t="shared" si="0"/>
        <v>0</v>
      </c>
      <c r="F48" s="374">
        <f>IF(D48=0,'App.2-CE_MIFRS_DepExp_2015'!K48,+'App.2-CE_MIFRS_DepExp_2015'!K48+((C48*0.5)/D48))</f>
        <v>0</v>
      </c>
      <c r="G48" s="485"/>
      <c r="H48" s="374">
        <f t="shared" si="1"/>
        <v>0</v>
      </c>
    </row>
    <row r="49" spans="1:9" x14ac:dyDescent="0.2">
      <c r="A49" s="416">
        <v>1970</v>
      </c>
      <c r="B49" s="417" t="s">
        <v>649</v>
      </c>
      <c r="C49" s="356"/>
      <c r="D49" s="411"/>
      <c r="E49" s="413">
        <f t="shared" si="0"/>
        <v>0</v>
      </c>
      <c r="F49" s="374">
        <f>IF(D49=0,'App.2-CE_MIFRS_DepExp_2015'!K49,+'App.2-CE_MIFRS_DepExp_2015'!K49+((C49*0.5)/D49))</f>
        <v>0</v>
      </c>
      <c r="G49" s="485"/>
      <c r="H49" s="374">
        <f t="shared" si="1"/>
        <v>0</v>
      </c>
    </row>
    <row r="50" spans="1:9" x14ac:dyDescent="0.2">
      <c r="A50" s="1477">
        <v>1975</v>
      </c>
      <c r="B50" s="363" t="s">
        <v>384</v>
      </c>
      <c r="C50" s="356"/>
      <c r="D50" s="411"/>
      <c r="E50" s="413">
        <f t="shared" si="0"/>
        <v>0</v>
      </c>
      <c r="F50" s="374">
        <f>IF(D50=0,'App.2-CE_MIFRS_DepExp_2015'!K50,+'App.2-CE_MIFRS_DepExp_2015'!K50+((C50*0.5)/D50))</f>
        <v>0</v>
      </c>
      <c r="G50" s="485"/>
      <c r="H50" s="374">
        <f t="shared" si="1"/>
        <v>0</v>
      </c>
    </row>
    <row r="51" spans="1:9" x14ac:dyDescent="0.2">
      <c r="A51" s="1477">
        <v>1980</v>
      </c>
      <c r="B51" s="363" t="s">
        <v>385</v>
      </c>
      <c r="C51" s="356"/>
      <c r="D51" s="411"/>
      <c r="E51" s="413">
        <f t="shared" si="0"/>
        <v>0</v>
      </c>
      <c r="F51" s="374">
        <f>IF(D51=0,'App.2-CE_MIFRS_DepExp_2015'!K51,+'App.2-CE_MIFRS_DepExp_2015'!K51+((C51*0.5)/D51))</f>
        <v>0</v>
      </c>
      <c r="G51" s="485"/>
      <c r="H51" s="374">
        <f t="shared" si="1"/>
        <v>0</v>
      </c>
    </row>
    <row r="52" spans="1:9" x14ac:dyDescent="0.2">
      <c r="A52" s="1477">
        <v>1985</v>
      </c>
      <c r="B52" s="363" t="s">
        <v>386</v>
      </c>
      <c r="C52" s="356"/>
      <c r="D52" s="411"/>
      <c r="E52" s="413">
        <f t="shared" si="0"/>
        <v>0</v>
      </c>
      <c r="F52" s="374">
        <f>IF(D52=0,'App.2-CE_MIFRS_DepExp_2015'!K52,+'App.2-CE_MIFRS_DepExp_2015'!K52+((C52*0.5)/D52))</f>
        <v>0</v>
      </c>
      <c r="G52" s="485"/>
      <c r="H52" s="374">
        <f t="shared" si="1"/>
        <v>0</v>
      </c>
    </row>
    <row r="53" spans="1:9" x14ac:dyDescent="0.2">
      <c r="A53" s="1477">
        <v>1990</v>
      </c>
      <c r="B53" s="1475" t="s">
        <v>650</v>
      </c>
      <c r="C53" s="356"/>
      <c r="D53" s="411"/>
      <c r="E53" s="413">
        <f t="shared" si="0"/>
        <v>0</v>
      </c>
      <c r="F53" s="374">
        <f>IF(D53=0,'App.2-CE_MIFRS_DepExp_2015'!K53,+'App.2-CE_MIFRS_DepExp_2015'!K53+((C53*0.5)/D53))</f>
        <v>0</v>
      </c>
      <c r="G53" s="485"/>
      <c r="H53" s="374">
        <f t="shared" si="1"/>
        <v>0</v>
      </c>
    </row>
    <row r="54" spans="1:9" ht="13.5" thickBot="1" x14ac:dyDescent="0.25">
      <c r="A54" s="1473">
        <v>1995</v>
      </c>
      <c r="B54" s="363" t="s">
        <v>387</v>
      </c>
      <c r="C54" s="356"/>
      <c r="D54" s="411"/>
      <c r="E54" s="413">
        <f t="shared" si="0"/>
        <v>0</v>
      </c>
      <c r="F54" s="446">
        <f>IF(D54=0,'App.2-CE_MIFRS_DepExp_2015'!K54,+'App.2-CE_MIFRS_DepExp_2015'!K54+((C54*0.5)/D54))</f>
        <v>0</v>
      </c>
      <c r="G54" s="486"/>
      <c r="H54" s="446">
        <f t="shared" si="1"/>
        <v>0</v>
      </c>
    </row>
    <row r="55" spans="1:9" ht="14.25" thickTop="1" thickBot="1" x14ac:dyDescent="0.25">
      <c r="A55" s="422"/>
      <c r="B55" s="462" t="s">
        <v>388</v>
      </c>
      <c r="C55" s="463">
        <f>SUM(C17:C54)</f>
        <v>0</v>
      </c>
      <c r="D55" s="448"/>
      <c r="E55" s="487"/>
      <c r="F55" s="471">
        <f>SUM(F17:F54)</f>
        <v>0</v>
      </c>
      <c r="G55" s="471">
        <f>SUM(G17:G54)</f>
        <v>0</v>
      </c>
      <c r="H55" s="471">
        <f>SUM(H17:H54)</f>
        <v>0</v>
      </c>
    </row>
    <row r="56" spans="1:9" x14ac:dyDescent="0.2">
      <c r="A56" s="450"/>
      <c r="B56" s="472" t="s">
        <v>654</v>
      </c>
      <c r="C56" s="473"/>
      <c r="D56" s="473"/>
      <c r="E56" s="473"/>
      <c r="F56" s="356"/>
      <c r="G56" s="473"/>
      <c r="H56" s="473"/>
    </row>
    <row r="57" spans="1:9" ht="27" customHeight="1" x14ac:dyDescent="0.2">
      <c r="B57" s="2069" t="s">
        <v>493</v>
      </c>
      <c r="C57" s="2069"/>
      <c r="D57" s="2069"/>
      <c r="E57" s="2084"/>
      <c r="F57" s="374">
        <f>SUM(F55:F56)</f>
        <v>0</v>
      </c>
    </row>
    <row r="58" spans="1:9" x14ac:dyDescent="0.2">
      <c r="A58" s="334" t="s">
        <v>13</v>
      </c>
      <c r="B58" s="158"/>
      <c r="C58" s="158"/>
      <c r="D58" s="158"/>
      <c r="E58" s="158"/>
      <c r="F58" s="158"/>
      <c r="G58" s="158"/>
      <c r="H58" s="158"/>
    </row>
    <row r="59" spans="1:9" ht="27" customHeight="1" x14ac:dyDescent="0.2">
      <c r="A59" s="466">
        <v>1</v>
      </c>
      <c r="B59" s="2001" t="s">
        <v>524</v>
      </c>
      <c r="C59" s="2001"/>
      <c r="D59" s="2001"/>
      <c r="E59" s="2001"/>
      <c r="F59" s="2001"/>
      <c r="G59" s="2001"/>
      <c r="H59" s="2001"/>
      <c r="I59" s="1478"/>
    </row>
    <row r="60" spans="1:9" ht="12.75" customHeight="1" x14ac:dyDescent="0.2">
      <c r="A60" s="455">
        <v>2</v>
      </c>
      <c r="B60" s="2001" t="s">
        <v>1498</v>
      </c>
      <c r="C60" s="2001"/>
      <c r="D60" s="2001"/>
      <c r="E60" s="2001"/>
      <c r="F60" s="2001"/>
      <c r="G60" s="2001"/>
      <c r="H60" s="2001"/>
      <c r="I60" s="2001"/>
    </row>
    <row r="61" spans="1:9" ht="12.75" customHeight="1" x14ac:dyDescent="0.2">
      <c r="A61" s="488"/>
      <c r="I61" s="1472"/>
    </row>
    <row r="62" spans="1:9" ht="11.25" customHeight="1" x14ac:dyDescent="0.2">
      <c r="A62" s="455"/>
      <c r="B62" s="2001"/>
      <c r="C62" s="2001"/>
      <c r="D62" s="2001"/>
      <c r="E62" s="2001"/>
      <c r="F62" s="2001"/>
      <c r="G62" s="2001"/>
      <c r="H62" s="2001"/>
      <c r="I62" s="2001"/>
    </row>
    <row r="63" spans="1:9" ht="12.75" customHeight="1" x14ac:dyDescent="0.2">
      <c r="A63" s="334" t="s">
        <v>306</v>
      </c>
      <c r="B63" s="2069" t="s">
        <v>257</v>
      </c>
      <c r="C63" s="2069"/>
      <c r="D63" s="2069"/>
      <c r="E63" s="2069"/>
      <c r="F63" s="2069"/>
      <c r="G63" s="2069"/>
      <c r="H63" s="2069"/>
      <c r="I63" s="432"/>
    </row>
    <row r="64" spans="1:9" ht="27" customHeight="1" x14ac:dyDescent="0.2">
      <c r="A64" s="158"/>
      <c r="B64" s="2069"/>
      <c r="C64" s="2069"/>
      <c r="D64" s="2069"/>
      <c r="E64" s="2069"/>
      <c r="F64" s="2069"/>
      <c r="G64" s="2069"/>
      <c r="H64" s="2069"/>
      <c r="I64" s="432"/>
    </row>
    <row r="65" spans="1:11" ht="12.75" customHeight="1" x14ac:dyDescent="0.2">
      <c r="A65" s="334"/>
      <c r="B65" s="2069"/>
      <c r="C65" s="2069"/>
      <c r="D65" s="2069"/>
      <c r="E65" s="2069"/>
      <c r="F65" s="2069"/>
      <c r="G65" s="2069"/>
      <c r="H65" s="2069"/>
      <c r="I65" s="432"/>
    </row>
    <row r="66" spans="1:11" ht="27" customHeight="1" x14ac:dyDescent="0.2">
      <c r="A66" s="158"/>
      <c r="B66" s="2069"/>
      <c r="C66" s="2069"/>
      <c r="D66" s="2069"/>
      <c r="E66" s="2069"/>
      <c r="F66" s="2069"/>
      <c r="G66" s="2069"/>
      <c r="H66" s="2069"/>
      <c r="I66" s="432"/>
    </row>
    <row r="67" spans="1:11" x14ac:dyDescent="0.2">
      <c r="J67" s="483"/>
      <c r="K67" s="483"/>
    </row>
    <row r="68" spans="1:11" ht="23.25" customHeight="1" x14ac:dyDescent="0.2">
      <c r="J68" s="483"/>
      <c r="K68" s="483"/>
    </row>
    <row r="69" spans="1:11" x14ac:dyDescent="0.2">
      <c r="A69" s="158"/>
      <c r="B69" s="483"/>
      <c r="C69" s="483"/>
      <c r="D69" s="483"/>
      <c r="E69" s="483"/>
      <c r="F69" s="483"/>
      <c r="G69" s="483"/>
      <c r="H69" s="483"/>
      <c r="I69" s="483"/>
      <c r="J69" s="483"/>
      <c r="K69" s="483"/>
    </row>
    <row r="70" spans="1:11" x14ac:dyDescent="0.2">
      <c r="A70" s="1478"/>
      <c r="B70" s="1478"/>
      <c r="C70" s="1478"/>
      <c r="D70" s="1478"/>
      <c r="E70" s="1478"/>
      <c r="F70" s="158"/>
      <c r="G70" s="158"/>
      <c r="H70" s="158"/>
    </row>
  </sheetData>
  <mergeCells count="11">
    <mergeCell ref="B59:H59"/>
    <mergeCell ref="B60:I60"/>
    <mergeCell ref="B62:I62"/>
    <mergeCell ref="B63:H64"/>
    <mergeCell ref="B65:H66"/>
    <mergeCell ref="B57:E57"/>
    <mergeCell ref="A9:I9"/>
    <mergeCell ref="A10:I10"/>
    <mergeCell ref="A11:H11"/>
    <mergeCell ref="B15:B16"/>
    <mergeCell ref="G15:G16"/>
  </mergeCells>
  <dataValidations count="1">
    <dataValidation allowBlank="1" showInputMessage="1" showErrorMessage="1" promptTitle="Date Format" prompt="E.g:  &quot;August 1, 2011&quot;" sqref="WVO983052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H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H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H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H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H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H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H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H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H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H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H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H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H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H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H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dataValidations>
  <printOptions horizontalCentered="1"/>
  <pageMargins left="0.74803149606299213" right="0.74803149606299213" top="0.70866141732283472" bottom="0.39370078740157483" header="0.39370078740157483" footer="0.27559055118110237"/>
  <pageSetup scale="5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N65"/>
  <sheetViews>
    <sheetView showGridLines="0" zoomScale="90" zoomScaleNormal="90" workbookViewId="0"/>
  </sheetViews>
  <sheetFormatPr defaultRowHeight="12.75" x14ac:dyDescent="0.2"/>
  <cols>
    <col min="1" max="1" width="9.140625" style="140"/>
    <col min="2" max="2" width="45" style="140" customWidth="1"/>
    <col min="3" max="3" width="16.7109375" style="140" customWidth="1"/>
    <col min="4" max="4" width="13.28515625" style="140" bestFit="1" customWidth="1"/>
    <col min="5" max="5" width="17" style="140" customWidth="1"/>
    <col min="6" max="6" width="15.42578125" style="140" customWidth="1"/>
    <col min="7" max="7" width="19.42578125" style="140" customWidth="1"/>
    <col min="8" max="8" width="7.7109375" style="140" customWidth="1"/>
    <col min="9" max="9" width="12.28515625" style="140" customWidth="1"/>
    <col min="10" max="10" width="12.7109375" style="140" customWidth="1"/>
    <col min="11" max="11" width="17.28515625" style="140" customWidth="1"/>
    <col min="12" max="12" width="16.5703125" style="140" bestFit="1" customWidth="1"/>
    <col min="13" max="257" width="9.140625" style="140"/>
    <col min="258" max="258" width="2.7109375" style="140" customWidth="1"/>
    <col min="259" max="259" width="9.140625" style="140"/>
    <col min="260" max="260" width="40.28515625" style="140" bestFit="1" customWidth="1"/>
    <col min="261" max="261" width="12.85546875" style="140" customWidth="1"/>
    <col min="262" max="262" width="10" style="140" customWidth="1"/>
    <col min="263" max="263" width="19.42578125" style="140" customWidth="1"/>
    <col min="264" max="264" width="7.7109375" style="140" customWidth="1"/>
    <col min="265" max="265" width="12.28515625" style="140" customWidth="1"/>
    <col min="266" max="266" width="12.7109375" style="140" customWidth="1"/>
    <col min="267" max="267" width="13.5703125" style="140" customWidth="1"/>
    <col min="268" max="268" width="11.85546875" style="140" customWidth="1"/>
    <col min="269" max="513" width="9.140625" style="140"/>
    <col min="514" max="514" width="2.7109375" style="140" customWidth="1"/>
    <col min="515" max="515" width="9.140625" style="140"/>
    <col min="516" max="516" width="40.28515625" style="140" bestFit="1" customWidth="1"/>
    <col min="517" max="517" width="12.85546875" style="140" customWidth="1"/>
    <col min="518" max="518" width="10" style="140" customWidth="1"/>
    <col min="519" max="519" width="19.42578125" style="140" customWidth="1"/>
    <col min="520" max="520" width="7.7109375" style="140" customWidth="1"/>
    <col min="521" max="521" width="12.28515625" style="140" customWidth="1"/>
    <col min="522" max="522" width="12.7109375" style="140" customWidth="1"/>
    <col min="523" max="523" width="13.5703125" style="140" customWidth="1"/>
    <col min="524" max="524" width="11.85546875" style="140" customWidth="1"/>
    <col min="525" max="769" width="9.140625" style="140"/>
    <col min="770" max="770" width="2.7109375" style="140" customWidth="1"/>
    <col min="771" max="771" width="9.140625" style="140"/>
    <col min="772" max="772" width="40.28515625" style="140" bestFit="1" customWidth="1"/>
    <col min="773" max="773" width="12.85546875" style="140" customWidth="1"/>
    <col min="774" max="774" width="10" style="140" customWidth="1"/>
    <col min="775" max="775" width="19.42578125" style="140" customWidth="1"/>
    <col min="776" max="776" width="7.7109375" style="140" customWidth="1"/>
    <col min="777" max="777" width="12.28515625" style="140" customWidth="1"/>
    <col min="778" max="778" width="12.7109375" style="140" customWidth="1"/>
    <col min="779" max="779" width="13.5703125" style="140" customWidth="1"/>
    <col min="780" max="780" width="11.85546875" style="140" customWidth="1"/>
    <col min="781" max="1025" width="9.140625" style="140"/>
    <col min="1026" max="1026" width="2.7109375" style="140" customWidth="1"/>
    <col min="1027" max="1027" width="9.140625" style="140"/>
    <col min="1028" max="1028" width="40.28515625" style="140" bestFit="1" customWidth="1"/>
    <col min="1029" max="1029" width="12.85546875" style="140" customWidth="1"/>
    <col min="1030" max="1030" width="10" style="140" customWidth="1"/>
    <col min="1031" max="1031" width="19.42578125" style="140" customWidth="1"/>
    <col min="1032" max="1032" width="7.7109375" style="140" customWidth="1"/>
    <col min="1033" max="1033" width="12.28515625" style="140" customWidth="1"/>
    <col min="1034" max="1034" width="12.7109375" style="140" customWidth="1"/>
    <col min="1035" max="1035" width="13.5703125" style="140" customWidth="1"/>
    <col min="1036" max="1036" width="11.85546875" style="140" customWidth="1"/>
    <col min="1037" max="1281" width="9.140625" style="140"/>
    <col min="1282" max="1282" width="2.7109375" style="140" customWidth="1"/>
    <col min="1283" max="1283" width="9.140625" style="140"/>
    <col min="1284" max="1284" width="40.28515625" style="140" bestFit="1" customWidth="1"/>
    <col min="1285" max="1285" width="12.85546875" style="140" customWidth="1"/>
    <col min="1286" max="1286" width="10" style="140" customWidth="1"/>
    <col min="1287" max="1287" width="19.42578125" style="140" customWidth="1"/>
    <col min="1288" max="1288" width="7.7109375" style="140" customWidth="1"/>
    <col min="1289" max="1289" width="12.28515625" style="140" customWidth="1"/>
    <col min="1290" max="1290" width="12.7109375" style="140" customWidth="1"/>
    <col min="1291" max="1291" width="13.5703125" style="140" customWidth="1"/>
    <col min="1292" max="1292" width="11.85546875" style="140" customWidth="1"/>
    <col min="1293" max="1537" width="9.140625" style="140"/>
    <col min="1538" max="1538" width="2.7109375" style="140" customWidth="1"/>
    <col min="1539" max="1539" width="9.140625" style="140"/>
    <col min="1540" max="1540" width="40.28515625" style="140" bestFit="1" customWidth="1"/>
    <col min="1541" max="1541" width="12.85546875" style="140" customWidth="1"/>
    <col min="1542" max="1542" width="10" style="140" customWidth="1"/>
    <col min="1543" max="1543" width="19.42578125" style="140" customWidth="1"/>
    <col min="1544" max="1544" width="7.7109375" style="140" customWidth="1"/>
    <col min="1545" max="1545" width="12.28515625" style="140" customWidth="1"/>
    <col min="1546" max="1546" width="12.7109375" style="140" customWidth="1"/>
    <col min="1547" max="1547" width="13.5703125" style="140" customWidth="1"/>
    <col min="1548" max="1548" width="11.85546875" style="140" customWidth="1"/>
    <col min="1549" max="1793" width="9.140625" style="140"/>
    <col min="1794" max="1794" width="2.7109375" style="140" customWidth="1"/>
    <col min="1795" max="1795" width="9.140625" style="140"/>
    <col min="1796" max="1796" width="40.28515625" style="140" bestFit="1" customWidth="1"/>
    <col min="1797" max="1797" width="12.85546875" style="140" customWidth="1"/>
    <col min="1798" max="1798" width="10" style="140" customWidth="1"/>
    <col min="1799" max="1799" width="19.42578125" style="140" customWidth="1"/>
    <col min="1800" max="1800" width="7.7109375" style="140" customWidth="1"/>
    <col min="1801" max="1801" width="12.28515625" style="140" customWidth="1"/>
    <col min="1802" max="1802" width="12.7109375" style="140" customWidth="1"/>
    <col min="1803" max="1803" width="13.5703125" style="140" customWidth="1"/>
    <col min="1804" max="1804" width="11.85546875" style="140" customWidth="1"/>
    <col min="1805" max="2049" width="9.140625" style="140"/>
    <col min="2050" max="2050" width="2.7109375" style="140" customWidth="1"/>
    <col min="2051" max="2051" width="9.140625" style="140"/>
    <col min="2052" max="2052" width="40.28515625" style="140" bestFit="1" customWidth="1"/>
    <col min="2053" max="2053" width="12.85546875" style="140" customWidth="1"/>
    <col min="2054" max="2054" width="10" style="140" customWidth="1"/>
    <col min="2055" max="2055" width="19.42578125" style="140" customWidth="1"/>
    <col min="2056" max="2056" width="7.7109375" style="140" customWidth="1"/>
    <col min="2057" max="2057" width="12.28515625" style="140" customWidth="1"/>
    <col min="2058" max="2058" width="12.7109375" style="140" customWidth="1"/>
    <col min="2059" max="2059" width="13.5703125" style="140" customWidth="1"/>
    <col min="2060" max="2060" width="11.85546875" style="140" customWidth="1"/>
    <col min="2061" max="2305" width="9.140625" style="140"/>
    <col min="2306" max="2306" width="2.7109375" style="140" customWidth="1"/>
    <col min="2307" max="2307" width="9.140625" style="140"/>
    <col min="2308" max="2308" width="40.28515625" style="140" bestFit="1" customWidth="1"/>
    <col min="2309" max="2309" width="12.85546875" style="140" customWidth="1"/>
    <col min="2310" max="2310" width="10" style="140" customWidth="1"/>
    <col min="2311" max="2311" width="19.42578125" style="140" customWidth="1"/>
    <col min="2312" max="2312" width="7.7109375" style="140" customWidth="1"/>
    <col min="2313" max="2313" width="12.28515625" style="140" customWidth="1"/>
    <col min="2314" max="2314" width="12.7109375" style="140" customWidth="1"/>
    <col min="2315" max="2315" width="13.5703125" style="140" customWidth="1"/>
    <col min="2316" max="2316" width="11.85546875" style="140" customWidth="1"/>
    <col min="2317" max="2561" width="9.140625" style="140"/>
    <col min="2562" max="2562" width="2.7109375" style="140" customWidth="1"/>
    <col min="2563" max="2563" width="9.140625" style="140"/>
    <col min="2564" max="2564" width="40.28515625" style="140" bestFit="1" customWidth="1"/>
    <col min="2565" max="2565" width="12.85546875" style="140" customWidth="1"/>
    <col min="2566" max="2566" width="10" style="140" customWidth="1"/>
    <col min="2567" max="2567" width="19.42578125" style="140" customWidth="1"/>
    <col min="2568" max="2568" width="7.7109375" style="140" customWidth="1"/>
    <col min="2569" max="2569" width="12.28515625" style="140" customWidth="1"/>
    <col min="2570" max="2570" width="12.7109375" style="140" customWidth="1"/>
    <col min="2571" max="2571" width="13.5703125" style="140" customWidth="1"/>
    <col min="2572" max="2572" width="11.85546875" style="140" customWidth="1"/>
    <col min="2573" max="2817" width="9.140625" style="140"/>
    <col min="2818" max="2818" width="2.7109375" style="140" customWidth="1"/>
    <col min="2819" max="2819" width="9.140625" style="140"/>
    <col min="2820" max="2820" width="40.28515625" style="140" bestFit="1" customWidth="1"/>
    <col min="2821" max="2821" width="12.85546875" style="140" customWidth="1"/>
    <col min="2822" max="2822" width="10" style="140" customWidth="1"/>
    <col min="2823" max="2823" width="19.42578125" style="140" customWidth="1"/>
    <col min="2824" max="2824" width="7.7109375" style="140" customWidth="1"/>
    <col min="2825" max="2825" width="12.28515625" style="140" customWidth="1"/>
    <col min="2826" max="2826" width="12.7109375" style="140" customWidth="1"/>
    <col min="2827" max="2827" width="13.5703125" style="140" customWidth="1"/>
    <col min="2828" max="2828" width="11.85546875" style="140" customWidth="1"/>
    <col min="2829" max="3073" width="9.140625" style="140"/>
    <col min="3074" max="3074" width="2.7109375" style="140" customWidth="1"/>
    <col min="3075" max="3075" width="9.140625" style="140"/>
    <col min="3076" max="3076" width="40.28515625" style="140" bestFit="1" customWidth="1"/>
    <col min="3077" max="3077" width="12.85546875" style="140" customWidth="1"/>
    <col min="3078" max="3078" width="10" style="140" customWidth="1"/>
    <col min="3079" max="3079" width="19.42578125" style="140" customWidth="1"/>
    <col min="3080" max="3080" width="7.7109375" style="140" customWidth="1"/>
    <col min="3081" max="3081" width="12.28515625" style="140" customWidth="1"/>
    <col min="3082" max="3082" width="12.7109375" style="140" customWidth="1"/>
    <col min="3083" max="3083" width="13.5703125" style="140" customWidth="1"/>
    <col min="3084" max="3084" width="11.85546875" style="140" customWidth="1"/>
    <col min="3085" max="3329" width="9.140625" style="140"/>
    <col min="3330" max="3330" width="2.7109375" style="140" customWidth="1"/>
    <col min="3331" max="3331" width="9.140625" style="140"/>
    <col min="3332" max="3332" width="40.28515625" style="140" bestFit="1" customWidth="1"/>
    <col min="3333" max="3333" width="12.85546875" style="140" customWidth="1"/>
    <col min="3334" max="3334" width="10" style="140" customWidth="1"/>
    <col min="3335" max="3335" width="19.42578125" style="140" customWidth="1"/>
    <col min="3336" max="3336" width="7.7109375" style="140" customWidth="1"/>
    <col min="3337" max="3337" width="12.28515625" style="140" customWidth="1"/>
    <col min="3338" max="3338" width="12.7109375" style="140" customWidth="1"/>
    <col min="3339" max="3339" width="13.5703125" style="140" customWidth="1"/>
    <col min="3340" max="3340" width="11.85546875" style="140" customWidth="1"/>
    <col min="3341" max="3585" width="9.140625" style="140"/>
    <col min="3586" max="3586" width="2.7109375" style="140" customWidth="1"/>
    <col min="3587" max="3587" width="9.140625" style="140"/>
    <col min="3588" max="3588" width="40.28515625" style="140" bestFit="1" customWidth="1"/>
    <col min="3589" max="3589" width="12.85546875" style="140" customWidth="1"/>
    <col min="3590" max="3590" width="10" style="140" customWidth="1"/>
    <col min="3591" max="3591" width="19.42578125" style="140" customWidth="1"/>
    <col min="3592" max="3592" width="7.7109375" style="140" customWidth="1"/>
    <col min="3593" max="3593" width="12.28515625" style="140" customWidth="1"/>
    <col min="3594" max="3594" width="12.7109375" style="140" customWidth="1"/>
    <col min="3595" max="3595" width="13.5703125" style="140" customWidth="1"/>
    <col min="3596" max="3596" width="11.85546875" style="140" customWidth="1"/>
    <col min="3597" max="3841" width="9.140625" style="140"/>
    <col min="3842" max="3842" width="2.7109375" style="140" customWidth="1"/>
    <col min="3843" max="3843" width="9.140625" style="140"/>
    <col min="3844" max="3844" width="40.28515625" style="140" bestFit="1" customWidth="1"/>
    <col min="3845" max="3845" width="12.85546875" style="140" customWidth="1"/>
    <col min="3846" max="3846" width="10" style="140" customWidth="1"/>
    <col min="3847" max="3847" width="19.42578125" style="140" customWidth="1"/>
    <col min="3848" max="3848" width="7.7109375" style="140" customWidth="1"/>
    <col min="3849" max="3849" width="12.28515625" style="140" customWidth="1"/>
    <col min="3850" max="3850" width="12.7109375" style="140" customWidth="1"/>
    <col min="3851" max="3851" width="13.5703125" style="140" customWidth="1"/>
    <col min="3852" max="3852" width="11.85546875" style="140" customWidth="1"/>
    <col min="3853" max="4097" width="9.140625" style="140"/>
    <col min="4098" max="4098" width="2.7109375" style="140" customWidth="1"/>
    <col min="4099" max="4099" width="9.140625" style="140"/>
    <col min="4100" max="4100" width="40.28515625" style="140" bestFit="1" customWidth="1"/>
    <col min="4101" max="4101" width="12.85546875" style="140" customWidth="1"/>
    <col min="4102" max="4102" width="10" style="140" customWidth="1"/>
    <col min="4103" max="4103" width="19.42578125" style="140" customWidth="1"/>
    <col min="4104" max="4104" width="7.7109375" style="140" customWidth="1"/>
    <col min="4105" max="4105" width="12.28515625" style="140" customWidth="1"/>
    <col min="4106" max="4106" width="12.7109375" style="140" customWidth="1"/>
    <col min="4107" max="4107" width="13.5703125" style="140" customWidth="1"/>
    <col min="4108" max="4108" width="11.85546875" style="140" customWidth="1"/>
    <col min="4109" max="4353" width="9.140625" style="140"/>
    <col min="4354" max="4354" width="2.7109375" style="140" customWidth="1"/>
    <col min="4355" max="4355" width="9.140625" style="140"/>
    <col min="4356" max="4356" width="40.28515625" style="140" bestFit="1" customWidth="1"/>
    <col min="4357" max="4357" width="12.85546875" style="140" customWidth="1"/>
    <col min="4358" max="4358" width="10" style="140" customWidth="1"/>
    <col min="4359" max="4359" width="19.42578125" style="140" customWidth="1"/>
    <col min="4360" max="4360" width="7.7109375" style="140" customWidth="1"/>
    <col min="4361" max="4361" width="12.28515625" style="140" customWidth="1"/>
    <col min="4362" max="4362" width="12.7109375" style="140" customWidth="1"/>
    <col min="4363" max="4363" width="13.5703125" style="140" customWidth="1"/>
    <col min="4364" max="4364" width="11.85546875" style="140" customWidth="1"/>
    <col min="4365" max="4609" width="9.140625" style="140"/>
    <col min="4610" max="4610" width="2.7109375" style="140" customWidth="1"/>
    <col min="4611" max="4611" width="9.140625" style="140"/>
    <col min="4612" max="4612" width="40.28515625" style="140" bestFit="1" customWidth="1"/>
    <col min="4613" max="4613" width="12.85546875" style="140" customWidth="1"/>
    <col min="4614" max="4614" width="10" style="140" customWidth="1"/>
    <col min="4615" max="4615" width="19.42578125" style="140" customWidth="1"/>
    <col min="4616" max="4616" width="7.7109375" style="140" customWidth="1"/>
    <col min="4617" max="4617" width="12.28515625" style="140" customWidth="1"/>
    <col min="4618" max="4618" width="12.7109375" style="140" customWidth="1"/>
    <col min="4619" max="4619" width="13.5703125" style="140" customWidth="1"/>
    <col min="4620" max="4620" width="11.85546875" style="140" customWidth="1"/>
    <col min="4621" max="4865" width="9.140625" style="140"/>
    <col min="4866" max="4866" width="2.7109375" style="140" customWidth="1"/>
    <col min="4867" max="4867" width="9.140625" style="140"/>
    <col min="4868" max="4868" width="40.28515625" style="140" bestFit="1" customWidth="1"/>
    <col min="4869" max="4869" width="12.85546875" style="140" customWidth="1"/>
    <col min="4870" max="4870" width="10" style="140" customWidth="1"/>
    <col min="4871" max="4871" width="19.42578125" style="140" customWidth="1"/>
    <col min="4872" max="4872" width="7.7109375" style="140" customWidth="1"/>
    <col min="4873" max="4873" width="12.28515625" style="140" customWidth="1"/>
    <col min="4874" max="4874" width="12.7109375" style="140" customWidth="1"/>
    <col min="4875" max="4875" width="13.5703125" style="140" customWidth="1"/>
    <col min="4876" max="4876" width="11.85546875" style="140" customWidth="1"/>
    <col min="4877" max="5121" width="9.140625" style="140"/>
    <col min="5122" max="5122" width="2.7109375" style="140" customWidth="1"/>
    <col min="5123" max="5123" width="9.140625" style="140"/>
    <col min="5124" max="5124" width="40.28515625" style="140" bestFit="1" customWidth="1"/>
    <col min="5125" max="5125" width="12.85546875" style="140" customWidth="1"/>
    <col min="5126" max="5126" width="10" style="140" customWidth="1"/>
    <col min="5127" max="5127" width="19.42578125" style="140" customWidth="1"/>
    <col min="5128" max="5128" width="7.7109375" style="140" customWidth="1"/>
    <col min="5129" max="5129" width="12.28515625" style="140" customWidth="1"/>
    <col min="5130" max="5130" width="12.7109375" style="140" customWidth="1"/>
    <col min="5131" max="5131" width="13.5703125" style="140" customWidth="1"/>
    <col min="5132" max="5132" width="11.85546875" style="140" customWidth="1"/>
    <col min="5133" max="5377" width="9.140625" style="140"/>
    <col min="5378" max="5378" width="2.7109375" style="140" customWidth="1"/>
    <col min="5379" max="5379" width="9.140625" style="140"/>
    <col min="5380" max="5380" width="40.28515625" style="140" bestFit="1" customWidth="1"/>
    <col min="5381" max="5381" width="12.85546875" style="140" customWidth="1"/>
    <col min="5382" max="5382" width="10" style="140" customWidth="1"/>
    <col min="5383" max="5383" width="19.42578125" style="140" customWidth="1"/>
    <col min="5384" max="5384" width="7.7109375" style="140" customWidth="1"/>
    <col min="5385" max="5385" width="12.28515625" style="140" customWidth="1"/>
    <col min="5386" max="5386" width="12.7109375" style="140" customWidth="1"/>
    <col min="5387" max="5387" width="13.5703125" style="140" customWidth="1"/>
    <col min="5388" max="5388" width="11.85546875" style="140" customWidth="1"/>
    <col min="5389" max="5633" width="9.140625" style="140"/>
    <col min="5634" max="5634" width="2.7109375" style="140" customWidth="1"/>
    <col min="5635" max="5635" width="9.140625" style="140"/>
    <col min="5636" max="5636" width="40.28515625" style="140" bestFit="1" customWidth="1"/>
    <col min="5637" max="5637" width="12.85546875" style="140" customWidth="1"/>
    <col min="5638" max="5638" width="10" style="140" customWidth="1"/>
    <col min="5639" max="5639" width="19.42578125" style="140" customWidth="1"/>
    <col min="5640" max="5640" width="7.7109375" style="140" customWidth="1"/>
    <col min="5641" max="5641" width="12.28515625" style="140" customWidth="1"/>
    <col min="5642" max="5642" width="12.7109375" style="140" customWidth="1"/>
    <col min="5643" max="5643" width="13.5703125" style="140" customWidth="1"/>
    <col min="5644" max="5644" width="11.85546875" style="140" customWidth="1"/>
    <col min="5645" max="5889" width="9.140625" style="140"/>
    <col min="5890" max="5890" width="2.7109375" style="140" customWidth="1"/>
    <col min="5891" max="5891" width="9.140625" style="140"/>
    <col min="5892" max="5892" width="40.28515625" style="140" bestFit="1" customWidth="1"/>
    <col min="5893" max="5893" width="12.85546875" style="140" customWidth="1"/>
    <col min="5894" max="5894" width="10" style="140" customWidth="1"/>
    <col min="5895" max="5895" width="19.42578125" style="140" customWidth="1"/>
    <col min="5896" max="5896" width="7.7109375" style="140" customWidth="1"/>
    <col min="5897" max="5897" width="12.28515625" style="140" customWidth="1"/>
    <col min="5898" max="5898" width="12.7109375" style="140" customWidth="1"/>
    <col min="5899" max="5899" width="13.5703125" style="140" customWidth="1"/>
    <col min="5900" max="5900" width="11.85546875" style="140" customWidth="1"/>
    <col min="5901" max="6145" width="9.140625" style="140"/>
    <col min="6146" max="6146" width="2.7109375" style="140" customWidth="1"/>
    <col min="6147" max="6147" width="9.140625" style="140"/>
    <col min="6148" max="6148" width="40.28515625" style="140" bestFit="1" customWidth="1"/>
    <col min="6149" max="6149" width="12.85546875" style="140" customWidth="1"/>
    <col min="6150" max="6150" width="10" style="140" customWidth="1"/>
    <col min="6151" max="6151" width="19.42578125" style="140" customWidth="1"/>
    <col min="6152" max="6152" width="7.7109375" style="140" customWidth="1"/>
    <col min="6153" max="6153" width="12.28515625" style="140" customWidth="1"/>
    <col min="6154" max="6154" width="12.7109375" style="140" customWidth="1"/>
    <col min="6155" max="6155" width="13.5703125" style="140" customWidth="1"/>
    <col min="6156" max="6156" width="11.85546875" style="140" customWidth="1"/>
    <col min="6157" max="6401" width="9.140625" style="140"/>
    <col min="6402" max="6402" width="2.7109375" style="140" customWidth="1"/>
    <col min="6403" max="6403" width="9.140625" style="140"/>
    <col min="6404" max="6404" width="40.28515625" style="140" bestFit="1" customWidth="1"/>
    <col min="6405" max="6405" width="12.85546875" style="140" customWidth="1"/>
    <col min="6406" max="6406" width="10" style="140" customWidth="1"/>
    <col min="6407" max="6407" width="19.42578125" style="140" customWidth="1"/>
    <col min="6408" max="6408" width="7.7109375" style="140" customWidth="1"/>
    <col min="6409" max="6409" width="12.28515625" style="140" customWidth="1"/>
    <col min="6410" max="6410" width="12.7109375" style="140" customWidth="1"/>
    <col min="6411" max="6411" width="13.5703125" style="140" customWidth="1"/>
    <col min="6412" max="6412" width="11.85546875" style="140" customWidth="1"/>
    <col min="6413" max="6657" width="9.140625" style="140"/>
    <col min="6658" max="6658" width="2.7109375" style="140" customWidth="1"/>
    <col min="6659" max="6659" width="9.140625" style="140"/>
    <col min="6660" max="6660" width="40.28515625" style="140" bestFit="1" customWidth="1"/>
    <col min="6661" max="6661" width="12.85546875" style="140" customWidth="1"/>
    <col min="6662" max="6662" width="10" style="140" customWidth="1"/>
    <col min="6663" max="6663" width="19.42578125" style="140" customWidth="1"/>
    <col min="6664" max="6664" width="7.7109375" style="140" customWidth="1"/>
    <col min="6665" max="6665" width="12.28515625" style="140" customWidth="1"/>
    <col min="6666" max="6666" width="12.7109375" style="140" customWidth="1"/>
    <col min="6667" max="6667" width="13.5703125" style="140" customWidth="1"/>
    <col min="6668" max="6668" width="11.85546875" style="140" customWidth="1"/>
    <col min="6669" max="6913" width="9.140625" style="140"/>
    <col min="6914" max="6914" width="2.7109375" style="140" customWidth="1"/>
    <col min="6915" max="6915" width="9.140625" style="140"/>
    <col min="6916" max="6916" width="40.28515625" style="140" bestFit="1" customWidth="1"/>
    <col min="6917" max="6917" width="12.85546875" style="140" customWidth="1"/>
    <col min="6918" max="6918" width="10" style="140" customWidth="1"/>
    <col min="6919" max="6919" width="19.42578125" style="140" customWidth="1"/>
    <col min="6920" max="6920" width="7.7109375" style="140" customWidth="1"/>
    <col min="6921" max="6921" width="12.28515625" style="140" customWidth="1"/>
    <col min="6922" max="6922" width="12.7109375" style="140" customWidth="1"/>
    <col min="6923" max="6923" width="13.5703125" style="140" customWidth="1"/>
    <col min="6924" max="6924" width="11.85546875" style="140" customWidth="1"/>
    <col min="6925" max="7169" width="9.140625" style="140"/>
    <col min="7170" max="7170" width="2.7109375" style="140" customWidth="1"/>
    <col min="7171" max="7171" width="9.140625" style="140"/>
    <col min="7172" max="7172" width="40.28515625" style="140" bestFit="1" customWidth="1"/>
    <col min="7173" max="7173" width="12.85546875" style="140" customWidth="1"/>
    <col min="7174" max="7174" width="10" style="140" customWidth="1"/>
    <col min="7175" max="7175" width="19.42578125" style="140" customWidth="1"/>
    <col min="7176" max="7176" width="7.7109375" style="140" customWidth="1"/>
    <col min="7177" max="7177" width="12.28515625" style="140" customWidth="1"/>
    <col min="7178" max="7178" width="12.7109375" style="140" customWidth="1"/>
    <col min="7179" max="7179" width="13.5703125" style="140" customWidth="1"/>
    <col min="7180" max="7180" width="11.85546875" style="140" customWidth="1"/>
    <col min="7181" max="7425" width="9.140625" style="140"/>
    <col min="7426" max="7426" width="2.7109375" style="140" customWidth="1"/>
    <col min="7427" max="7427" width="9.140625" style="140"/>
    <col min="7428" max="7428" width="40.28515625" style="140" bestFit="1" customWidth="1"/>
    <col min="7429" max="7429" width="12.85546875" style="140" customWidth="1"/>
    <col min="7430" max="7430" width="10" style="140" customWidth="1"/>
    <col min="7431" max="7431" width="19.42578125" style="140" customWidth="1"/>
    <col min="7432" max="7432" width="7.7109375" style="140" customWidth="1"/>
    <col min="7433" max="7433" width="12.28515625" style="140" customWidth="1"/>
    <col min="7434" max="7434" width="12.7109375" style="140" customWidth="1"/>
    <col min="7435" max="7435" width="13.5703125" style="140" customWidth="1"/>
    <col min="7436" max="7436" width="11.85546875" style="140" customWidth="1"/>
    <col min="7437" max="7681" width="9.140625" style="140"/>
    <col min="7682" max="7682" width="2.7109375" style="140" customWidth="1"/>
    <col min="7683" max="7683" width="9.140625" style="140"/>
    <col min="7684" max="7684" width="40.28515625" style="140" bestFit="1" customWidth="1"/>
    <col min="7685" max="7685" width="12.85546875" style="140" customWidth="1"/>
    <col min="7686" max="7686" width="10" style="140" customWidth="1"/>
    <col min="7687" max="7687" width="19.42578125" style="140" customWidth="1"/>
    <col min="7688" max="7688" width="7.7109375" style="140" customWidth="1"/>
    <col min="7689" max="7689" width="12.28515625" style="140" customWidth="1"/>
    <col min="7690" max="7690" width="12.7109375" style="140" customWidth="1"/>
    <col min="7691" max="7691" width="13.5703125" style="140" customWidth="1"/>
    <col min="7692" max="7692" width="11.85546875" style="140" customWidth="1"/>
    <col min="7693" max="7937" width="9.140625" style="140"/>
    <col min="7938" max="7938" width="2.7109375" style="140" customWidth="1"/>
    <col min="7939" max="7939" width="9.140625" style="140"/>
    <col min="7940" max="7940" width="40.28515625" style="140" bestFit="1" customWidth="1"/>
    <col min="7941" max="7941" width="12.85546875" style="140" customWidth="1"/>
    <col min="7942" max="7942" width="10" style="140" customWidth="1"/>
    <col min="7943" max="7943" width="19.42578125" style="140" customWidth="1"/>
    <col min="7944" max="7944" width="7.7109375" style="140" customWidth="1"/>
    <col min="7945" max="7945" width="12.28515625" style="140" customWidth="1"/>
    <col min="7946" max="7946" width="12.7109375" style="140" customWidth="1"/>
    <col min="7947" max="7947" width="13.5703125" style="140" customWidth="1"/>
    <col min="7948" max="7948" width="11.85546875" style="140" customWidth="1"/>
    <col min="7949" max="8193" width="9.140625" style="140"/>
    <col min="8194" max="8194" width="2.7109375" style="140" customWidth="1"/>
    <col min="8195" max="8195" width="9.140625" style="140"/>
    <col min="8196" max="8196" width="40.28515625" style="140" bestFit="1" customWidth="1"/>
    <col min="8197" max="8197" width="12.85546875" style="140" customWidth="1"/>
    <col min="8198" max="8198" width="10" style="140" customWidth="1"/>
    <col min="8199" max="8199" width="19.42578125" style="140" customWidth="1"/>
    <col min="8200" max="8200" width="7.7109375" style="140" customWidth="1"/>
    <col min="8201" max="8201" width="12.28515625" style="140" customWidth="1"/>
    <col min="8202" max="8202" width="12.7109375" style="140" customWidth="1"/>
    <col min="8203" max="8203" width="13.5703125" style="140" customWidth="1"/>
    <col min="8204" max="8204" width="11.85546875" style="140" customWidth="1"/>
    <col min="8205" max="8449" width="9.140625" style="140"/>
    <col min="8450" max="8450" width="2.7109375" style="140" customWidth="1"/>
    <col min="8451" max="8451" width="9.140625" style="140"/>
    <col min="8452" max="8452" width="40.28515625" style="140" bestFit="1" customWidth="1"/>
    <col min="8453" max="8453" width="12.85546875" style="140" customWidth="1"/>
    <col min="8454" max="8454" width="10" style="140" customWidth="1"/>
    <col min="8455" max="8455" width="19.42578125" style="140" customWidth="1"/>
    <col min="8456" max="8456" width="7.7109375" style="140" customWidth="1"/>
    <col min="8457" max="8457" width="12.28515625" style="140" customWidth="1"/>
    <col min="8458" max="8458" width="12.7109375" style="140" customWidth="1"/>
    <col min="8459" max="8459" width="13.5703125" style="140" customWidth="1"/>
    <col min="8460" max="8460" width="11.85546875" style="140" customWidth="1"/>
    <col min="8461" max="8705" width="9.140625" style="140"/>
    <col min="8706" max="8706" width="2.7109375" style="140" customWidth="1"/>
    <col min="8707" max="8707" width="9.140625" style="140"/>
    <col min="8708" max="8708" width="40.28515625" style="140" bestFit="1" customWidth="1"/>
    <col min="8709" max="8709" width="12.85546875" style="140" customWidth="1"/>
    <col min="8710" max="8710" width="10" style="140" customWidth="1"/>
    <col min="8711" max="8711" width="19.42578125" style="140" customWidth="1"/>
    <col min="8712" max="8712" width="7.7109375" style="140" customWidth="1"/>
    <col min="8713" max="8713" width="12.28515625" style="140" customWidth="1"/>
    <col min="8714" max="8714" width="12.7109375" style="140" customWidth="1"/>
    <col min="8715" max="8715" width="13.5703125" style="140" customWidth="1"/>
    <col min="8716" max="8716" width="11.85546875" style="140" customWidth="1"/>
    <col min="8717" max="8961" width="9.140625" style="140"/>
    <col min="8962" max="8962" width="2.7109375" style="140" customWidth="1"/>
    <col min="8963" max="8963" width="9.140625" style="140"/>
    <col min="8964" max="8964" width="40.28515625" style="140" bestFit="1" customWidth="1"/>
    <col min="8965" max="8965" width="12.85546875" style="140" customWidth="1"/>
    <col min="8966" max="8966" width="10" style="140" customWidth="1"/>
    <col min="8967" max="8967" width="19.42578125" style="140" customWidth="1"/>
    <col min="8968" max="8968" width="7.7109375" style="140" customWidth="1"/>
    <col min="8969" max="8969" width="12.28515625" style="140" customWidth="1"/>
    <col min="8970" max="8970" width="12.7109375" style="140" customWidth="1"/>
    <col min="8971" max="8971" width="13.5703125" style="140" customWidth="1"/>
    <col min="8972" max="8972" width="11.85546875" style="140" customWidth="1"/>
    <col min="8973" max="9217" width="9.140625" style="140"/>
    <col min="9218" max="9218" width="2.7109375" style="140" customWidth="1"/>
    <col min="9219" max="9219" width="9.140625" style="140"/>
    <col min="9220" max="9220" width="40.28515625" style="140" bestFit="1" customWidth="1"/>
    <col min="9221" max="9221" width="12.85546875" style="140" customWidth="1"/>
    <col min="9222" max="9222" width="10" style="140" customWidth="1"/>
    <col min="9223" max="9223" width="19.42578125" style="140" customWidth="1"/>
    <col min="9224" max="9224" width="7.7109375" style="140" customWidth="1"/>
    <col min="9225" max="9225" width="12.28515625" style="140" customWidth="1"/>
    <col min="9226" max="9226" width="12.7109375" style="140" customWidth="1"/>
    <col min="9227" max="9227" width="13.5703125" style="140" customWidth="1"/>
    <col min="9228" max="9228" width="11.85546875" style="140" customWidth="1"/>
    <col min="9229" max="9473" width="9.140625" style="140"/>
    <col min="9474" max="9474" width="2.7109375" style="140" customWidth="1"/>
    <col min="9475" max="9475" width="9.140625" style="140"/>
    <col min="9476" max="9476" width="40.28515625" style="140" bestFit="1" customWidth="1"/>
    <col min="9477" max="9477" width="12.85546875" style="140" customWidth="1"/>
    <col min="9478" max="9478" width="10" style="140" customWidth="1"/>
    <col min="9479" max="9479" width="19.42578125" style="140" customWidth="1"/>
    <col min="9480" max="9480" width="7.7109375" style="140" customWidth="1"/>
    <col min="9481" max="9481" width="12.28515625" style="140" customWidth="1"/>
    <col min="9482" max="9482" width="12.7109375" style="140" customWidth="1"/>
    <col min="9483" max="9483" width="13.5703125" style="140" customWidth="1"/>
    <col min="9484" max="9484" width="11.85546875" style="140" customWidth="1"/>
    <col min="9485" max="9729" width="9.140625" style="140"/>
    <col min="9730" max="9730" width="2.7109375" style="140" customWidth="1"/>
    <col min="9731" max="9731" width="9.140625" style="140"/>
    <col min="9732" max="9732" width="40.28515625" style="140" bestFit="1" customWidth="1"/>
    <col min="9733" max="9733" width="12.85546875" style="140" customWidth="1"/>
    <col min="9734" max="9734" width="10" style="140" customWidth="1"/>
    <col min="9735" max="9735" width="19.42578125" style="140" customWidth="1"/>
    <col min="9736" max="9736" width="7.7109375" style="140" customWidth="1"/>
    <col min="9737" max="9737" width="12.28515625" style="140" customWidth="1"/>
    <col min="9738" max="9738" width="12.7109375" style="140" customWidth="1"/>
    <col min="9739" max="9739" width="13.5703125" style="140" customWidth="1"/>
    <col min="9740" max="9740" width="11.85546875" style="140" customWidth="1"/>
    <col min="9741" max="9985" width="9.140625" style="140"/>
    <col min="9986" max="9986" width="2.7109375" style="140" customWidth="1"/>
    <col min="9987" max="9987" width="9.140625" style="140"/>
    <col min="9988" max="9988" width="40.28515625" style="140" bestFit="1" customWidth="1"/>
    <col min="9989" max="9989" width="12.85546875" style="140" customWidth="1"/>
    <col min="9990" max="9990" width="10" style="140" customWidth="1"/>
    <col min="9991" max="9991" width="19.42578125" style="140" customWidth="1"/>
    <col min="9992" max="9992" width="7.7109375" style="140" customWidth="1"/>
    <col min="9993" max="9993" width="12.28515625" style="140" customWidth="1"/>
    <col min="9994" max="9994" width="12.7109375" style="140" customWidth="1"/>
    <col min="9995" max="9995" width="13.5703125" style="140" customWidth="1"/>
    <col min="9996" max="9996" width="11.85546875" style="140" customWidth="1"/>
    <col min="9997" max="10241" width="9.140625" style="140"/>
    <col min="10242" max="10242" width="2.7109375" style="140" customWidth="1"/>
    <col min="10243" max="10243" width="9.140625" style="140"/>
    <col min="10244" max="10244" width="40.28515625" style="140" bestFit="1" customWidth="1"/>
    <col min="10245" max="10245" width="12.85546875" style="140" customWidth="1"/>
    <col min="10246" max="10246" width="10" style="140" customWidth="1"/>
    <col min="10247" max="10247" width="19.42578125" style="140" customWidth="1"/>
    <col min="10248" max="10248" width="7.7109375" style="140" customWidth="1"/>
    <col min="10249" max="10249" width="12.28515625" style="140" customWidth="1"/>
    <col min="10250" max="10250" width="12.7109375" style="140" customWidth="1"/>
    <col min="10251" max="10251" width="13.5703125" style="140" customWidth="1"/>
    <col min="10252" max="10252" width="11.85546875" style="140" customWidth="1"/>
    <col min="10253" max="10497" width="9.140625" style="140"/>
    <col min="10498" max="10498" width="2.7109375" style="140" customWidth="1"/>
    <col min="10499" max="10499" width="9.140625" style="140"/>
    <col min="10500" max="10500" width="40.28515625" style="140" bestFit="1" customWidth="1"/>
    <col min="10501" max="10501" width="12.85546875" style="140" customWidth="1"/>
    <col min="10502" max="10502" width="10" style="140" customWidth="1"/>
    <col min="10503" max="10503" width="19.42578125" style="140" customWidth="1"/>
    <col min="10504" max="10504" width="7.7109375" style="140" customWidth="1"/>
    <col min="10505" max="10505" width="12.28515625" style="140" customWidth="1"/>
    <col min="10506" max="10506" width="12.7109375" style="140" customWidth="1"/>
    <col min="10507" max="10507" width="13.5703125" style="140" customWidth="1"/>
    <col min="10508" max="10508" width="11.85546875" style="140" customWidth="1"/>
    <col min="10509" max="10753" width="9.140625" style="140"/>
    <col min="10754" max="10754" width="2.7109375" style="140" customWidth="1"/>
    <col min="10755" max="10755" width="9.140625" style="140"/>
    <col min="10756" max="10756" width="40.28515625" style="140" bestFit="1" customWidth="1"/>
    <col min="10757" max="10757" width="12.85546875" style="140" customWidth="1"/>
    <col min="10758" max="10758" width="10" style="140" customWidth="1"/>
    <col min="10759" max="10759" width="19.42578125" style="140" customWidth="1"/>
    <col min="10760" max="10760" width="7.7109375" style="140" customWidth="1"/>
    <col min="10761" max="10761" width="12.28515625" style="140" customWidth="1"/>
    <col min="10762" max="10762" width="12.7109375" style="140" customWidth="1"/>
    <col min="10763" max="10763" width="13.5703125" style="140" customWidth="1"/>
    <col min="10764" max="10764" width="11.85546875" style="140" customWidth="1"/>
    <col min="10765" max="11009" width="9.140625" style="140"/>
    <col min="11010" max="11010" width="2.7109375" style="140" customWidth="1"/>
    <col min="11011" max="11011" width="9.140625" style="140"/>
    <col min="11012" max="11012" width="40.28515625" style="140" bestFit="1" customWidth="1"/>
    <col min="11013" max="11013" width="12.85546875" style="140" customWidth="1"/>
    <col min="11014" max="11014" width="10" style="140" customWidth="1"/>
    <col min="11015" max="11015" width="19.42578125" style="140" customWidth="1"/>
    <col min="11016" max="11016" width="7.7109375" style="140" customWidth="1"/>
    <col min="11017" max="11017" width="12.28515625" style="140" customWidth="1"/>
    <col min="11018" max="11018" width="12.7109375" style="140" customWidth="1"/>
    <col min="11019" max="11019" width="13.5703125" style="140" customWidth="1"/>
    <col min="11020" max="11020" width="11.85546875" style="140" customWidth="1"/>
    <col min="11021" max="11265" width="9.140625" style="140"/>
    <col min="11266" max="11266" width="2.7109375" style="140" customWidth="1"/>
    <col min="11267" max="11267" width="9.140625" style="140"/>
    <col min="11268" max="11268" width="40.28515625" style="140" bestFit="1" customWidth="1"/>
    <col min="11269" max="11269" width="12.85546875" style="140" customWidth="1"/>
    <col min="11270" max="11270" width="10" style="140" customWidth="1"/>
    <col min="11271" max="11271" width="19.42578125" style="140" customWidth="1"/>
    <col min="11272" max="11272" width="7.7109375" style="140" customWidth="1"/>
    <col min="11273" max="11273" width="12.28515625" style="140" customWidth="1"/>
    <col min="11274" max="11274" width="12.7109375" style="140" customWidth="1"/>
    <col min="11275" max="11275" width="13.5703125" style="140" customWidth="1"/>
    <col min="11276" max="11276" width="11.85546875" style="140" customWidth="1"/>
    <col min="11277" max="11521" width="9.140625" style="140"/>
    <col min="11522" max="11522" width="2.7109375" style="140" customWidth="1"/>
    <col min="11523" max="11523" width="9.140625" style="140"/>
    <col min="11524" max="11524" width="40.28515625" style="140" bestFit="1" customWidth="1"/>
    <col min="11525" max="11525" width="12.85546875" style="140" customWidth="1"/>
    <col min="11526" max="11526" width="10" style="140" customWidth="1"/>
    <col min="11527" max="11527" width="19.42578125" style="140" customWidth="1"/>
    <col min="11528" max="11528" width="7.7109375" style="140" customWidth="1"/>
    <col min="11529" max="11529" width="12.28515625" style="140" customWidth="1"/>
    <col min="11530" max="11530" width="12.7109375" style="140" customWidth="1"/>
    <col min="11531" max="11531" width="13.5703125" style="140" customWidth="1"/>
    <col min="11532" max="11532" width="11.85546875" style="140" customWidth="1"/>
    <col min="11533" max="11777" width="9.140625" style="140"/>
    <col min="11778" max="11778" width="2.7109375" style="140" customWidth="1"/>
    <col min="11779" max="11779" width="9.140625" style="140"/>
    <col min="11780" max="11780" width="40.28515625" style="140" bestFit="1" customWidth="1"/>
    <col min="11781" max="11781" width="12.85546875" style="140" customWidth="1"/>
    <col min="11782" max="11782" width="10" style="140" customWidth="1"/>
    <col min="11783" max="11783" width="19.42578125" style="140" customWidth="1"/>
    <col min="11784" max="11784" width="7.7109375" style="140" customWidth="1"/>
    <col min="11785" max="11785" width="12.28515625" style="140" customWidth="1"/>
    <col min="11786" max="11786" width="12.7109375" style="140" customWidth="1"/>
    <col min="11787" max="11787" width="13.5703125" style="140" customWidth="1"/>
    <col min="11788" max="11788" width="11.85546875" style="140" customWidth="1"/>
    <col min="11789" max="12033" width="9.140625" style="140"/>
    <col min="12034" max="12034" width="2.7109375" style="140" customWidth="1"/>
    <col min="12035" max="12035" width="9.140625" style="140"/>
    <col min="12036" max="12036" width="40.28515625" style="140" bestFit="1" customWidth="1"/>
    <col min="12037" max="12037" width="12.85546875" style="140" customWidth="1"/>
    <col min="12038" max="12038" width="10" style="140" customWidth="1"/>
    <col min="12039" max="12039" width="19.42578125" style="140" customWidth="1"/>
    <col min="12040" max="12040" width="7.7109375" style="140" customWidth="1"/>
    <col min="12041" max="12041" width="12.28515625" style="140" customWidth="1"/>
    <col min="12042" max="12042" width="12.7109375" style="140" customWidth="1"/>
    <col min="12043" max="12043" width="13.5703125" style="140" customWidth="1"/>
    <col min="12044" max="12044" width="11.85546875" style="140" customWidth="1"/>
    <col min="12045" max="12289" width="9.140625" style="140"/>
    <col min="12290" max="12290" width="2.7109375" style="140" customWidth="1"/>
    <col min="12291" max="12291" width="9.140625" style="140"/>
    <col min="12292" max="12292" width="40.28515625" style="140" bestFit="1" customWidth="1"/>
    <col min="12293" max="12293" width="12.85546875" style="140" customWidth="1"/>
    <col min="12294" max="12294" width="10" style="140" customWidth="1"/>
    <col min="12295" max="12295" width="19.42578125" style="140" customWidth="1"/>
    <col min="12296" max="12296" width="7.7109375" style="140" customWidth="1"/>
    <col min="12297" max="12297" width="12.28515625" style="140" customWidth="1"/>
    <col min="12298" max="12298" width="12.7109375" style="140" customWidth="1"/>
    <col min="12299" max="12299" width="13.5703125" style="140" customWidth="1"/>
    <col min="12300" max="12300" width="11.85546875" style="140" customWidth="1"/>
    <col min="12301" max="12545" width="9.140625" style="140"/>
    <col min="12546" max="12546" width="2.7109375" style="140" customWidth="1"/>
    <col min="12547" max="12547" width="9.140625" style="140"/>
    <col min="12548" max="12548" width="40.28515625" style="140" bestFit="1" customWidth="1"/>
    <col min="12549" max="12549" width="12.85546875" style="140" customWidth="1"/>
    <col min="12550" max="12550" width="10" style="140" customWidth="1"/>
    <col min="12551" max="12551" width="19.42578125" style="140" customWidth="1"/>
    <col min="12552" max="12552" width="7.7109375" style="140" customWidth="1"/>
    <col min="12553" max="12553" width="12.28515625" style="140" customWidth="1"/>
    <col min="12554" max="12554" width="12.7109375" style="140" customWidth="1"/>
    <col min="12555" max="12555" width="13.5703125" style="140" customWidth="1"/>
    <col min="12556" max="12556" width="11.85546875" style="140" customWidth="1"/>
    <col min="12557" max="12801" width="9.140625" style="140"/>
    <col min="12802" max="12802" width="2.7109375" style="140" customWidth="1"/>
    <col min="12803" max="12803" width="9.140625" style="140"/>
    <col min="12804" max="12804" width="40.28515625" style="140" bestFit="1" customWidth="1"/>
    <col min="12805" max="12805" width="12.85546875" style="140" customWidth="1"/>
    <col min="12806" max="12806" width="10" style="140" customWidth="1"/>
    <col min="12807" max="12807" width="19.42578125" style="140" customWidth="1"/>
    <col min="12808" max="12808" width="7.7109375" style="140" customWidth="1"/>
    <col min="12809" max="12809" width="12.28515625" style="140" customWidth="1"/>
    <col min="12810" max="12810" width="12.7109375" style="140" customWidth="1"/>
    <col min="12811" max="12811" width="13.5703125" style="140" customWidth="1"/>
    <col min="12812" max="12812" width="11.85546875" style="140" customWidth="1"/>
    <col min="12813" max="13057" width="9.140625" style="140"/>
    <col min="13058" max="13058" width="2.7109375" style="140" customWidth="1"/>
    <col min="13059" max="13059" width="9.140625" style="140"/>
    <col min="13060" max="13060" width="40.28515625" style="140" bestFit="1" customWidth="1"/>
    <col min="13061" max="13061" width="12.85546875" style="140" customWidth="1"/>
    <col min="13062" max="13062" width="10" style="140" customWidth="1"/>
    <col min="13063" max="13063" width="19.42578125" style="140" customWidth="1"/>
    <col min="13064" max="13064" width="7.7109375" style="140" customWidth="1"/>
    <col min="13065" max="13065" width="12.28515625" style="140" customWidth="1"/>
    <col min="13066" max="13066" width="12.7109375" style="140" customWidth="1"/>
    <col min="13067" max="13067" width="13.5703125" style="140" customWidth="1"/>
    <col min="13068" max="13068" width="11.85546875" style="140" customWidth="1"/>
    <col min="13069" max="13313" width="9.140625" style="140"/>
    <col min="13314" max="13314" width="2.7109375" style="140" customWidth="1"/>
    <col min="13315" max="13315" width="9.140625" style="140"/>
    <col min="13316" max="13316" width="40.28515625" style="140" bestFit="1" customWidth="1"/>
    <col min="13317" max="13317" width="12.85546875" style="140" customWidth="1"/>
    <col min="13318" max="13318" width="10" style="140" customWidth="1"/>
    <col min="13319" max="13319" width="19.42578125" style="140" customWidth="1"/>
    <col min="13320" max="13320" width="7.7109375" style="140" customWidth="1"/>
    <col min="13321" max="13321" width="12.28515625" style="140" customWidth="1"/>
    <col min="13322" max="13322" width="12.7109375" style="140" customWidth="1"/>
    <col min="13323" max="13323" width="13.5703125" style="140" customWidth="1"/>
    <col min="13324" max="13324" width="11.85546875" style="140" customWidth="1"/>
    <col min="13325" max="13569" width="9.140625" style="140"/>
    <col min="13570" max="13570" width="2.7109375" style="140" customWidth="1"/>
    <col min="13571" max="13571" width="9.140625" style="140"/>
    <col min="13572" max="13572" width="40.28515625" style="140" bestFit="1" customWidth="1"/>
    <col min="13573" max="13573" width="12.85546875" style="140" customWidth="1"/>
    <col min="13574" max="13574" width="10" style="140" customWidth="1"/>
    <col min="13575" max="13575" width="19.42578125" style="140" customWidth="1"/>
    <col min="13576" max="13576" width="7.7109375" style="140" customWidth="1"/>
    <col min="13577" max="13577" width="12.28515625" style="140" customWidth="1"/>
    <col min="13578" max="13578" width="12.7109375" style="140" customWidth="1"/>
    <col min="13579" max="13579" width="13.5703125" style="140" customWidth="1"/>
    <col min="13580" max="13580" width="11.85546875" style="140" customWidth="1"/>
    <col min="13581" max="13825" width="9.140625" style="140"/>
    <col min="13826" max="13826" width="2.7109375" style="140" customWidth="1"/>
    <col min="13827" max="13827" width="9.140625" style="140"/>
    <col min="13828" max="13828" width="40.28515625" style="140" bestFit="1" customWidth="1"/>
    <col min="13829" max="13829" width="12.85546875" style="140" customWidth="1"/>
    <col min="13830" max="13830" width="10" style="140" customWidth="1"/>
    <col min="13831" max="13831" width="19.42578125" style="140" customWidth="1"/>
    <col min="13832" max="13832" width="7.7109375" style="140" customWidth="1"/>
    <col min="13833" max="13833" width="12.28515625" style="140" customWidth="1"/>
    <col min="13834" max="13834" width="12.7109375" style="140" customWidth="1"/>
    <col min="13835" max="13835" width="13.5703125" style="140" customWidth="1"/>
    <col min="13836" max="13836" width="11.85546875" style="140" customWidth="1"/>
    <col min="13837" max="14081" width="9.140625" style="140"/>
    <col min="14082" max="14082" width="2.7109375" style="140" customWidth="1"/>
    <col min="14083" max="14083" width="9.140625" style="140"/>
    <col min="14084" max="14084" width="40.28515625" style="140" bestFit="1" customWidth="1"/>
    <col min="14085" max="14085" width="12.85546875" style="140" customWidth="1"/>
    <col min="14086" max="14086" width="10" style="140" customWidth="1"/>
    <col min="14087" max="14087" width="19.42578125" style="140" customWidth="1"/>
    <col min="14088" max="14088" width="7.7109375" style="140" customWidth="1"/>
    <col min="14089" max="14089" width="12.28515625" style="140" customWidth="1"/>
    <col min="14090" max="14090" width="12.7109375" style="140" customWidth="1"/>
    <col min="14091" max="14091" width="13.5703125" style="140" customWidth="1"/>
    <col min="14092" max="14092" width="11.85546875" style="140" customWidth="1"/>
    <col min="14093" max="14337" width="9.140625" style="140"/>
    <col min="14338" max="14338" width="2.7109375" style="140" customWidth="1"/>
    <col min="14339" max="14339" width="9.140625" style="140"/>
    <col min="14340" max="14340" width="40.28515625" style="140" bestFit="1" customWidth="1"/>
    <col min="14341" max="14341" width="12.85546875" style="140" customWidth="1"/>
    <col min="14342" max="14342" width="10" style="140" customWidth="1"/>
    <col min="14343" max="14343" width="19.42578125" style="140" customWidth="1"/>
    <col min="14344" max="14344" width="7.7109375" style="140" customWidth="1"/>
    <col min="14345" max="14345" width="12.28515625" style="140" customWidth="1"/>
    <col min="14346" max="14346" width="12.7109375" style="140" customWidth="1"/>
    <col min="14347" max="14347" width="13.5703125" style="140" customWidth="1"/>
    <col min="14348" max="14348" width="11.85546875" style="140" customWidth="1"/>
    <col min="14349" max="14593" width="9.140625" style="140"/>
    <col min="14594" max="14594" width="2.7109375" style="140" customWidth="1"/>
    <col min="14595" max="14595" width="9.140625" style="140"/>
    <col min="14596" max="14596" width="40.28515625" style="140" bestFit="1" customWidth="1"/>
    <col min="14597" max="14597" width="12.85546875" style="140" customWidth="1"/>
    <col min="14598" max="14598" width="10" style="140" customWidth="1"/>
    <col min="14599" max="14599" width="19.42578125" style="140" customWidth="1"/>
    <col min="14600" max="14600" width="7.7109375" style="140" customWidth="1"/>
    <col min="14601" max="14601" width="12.28515625" style="140" customWidth="1"/>
    <col min="14602" max="14602" width="12.7109375" style="140" customWidth="1"/>
    <col min="14603" max="14603" width="13.5703125" style="140" customWidth="1"/>
    <col min="14604" max="14604" width="11.85546875" style="140" customWidth="1"/>
    <col min="14605" max="14849" width="9.140625" style="140"/>
    <col min="14850" max="14850" width="2.7109375" style="140" customWidth="1"/>
    <col min="14851" max="14851" width="9.140625" style="140"/>
    <col min="14852" max="14852" width="40.28515625" style="140" bestFit="1" customWidth="1"/>
    <col min="14853" max="14853" width="12.85546875" style="140" customWidth="1"/>
    <col min="14854" max="14854" width="10" style="140" customWidth="1"/>
    <col min="14855" max="14855" width="19.42578125" style="140" customWidth="1"/>
    <col min="14856" max="14856" width="7.7109375" style="140" customWidth="1"/>
    <col min="14857" max="14857" width="12.28515625" style="140" customWidth="1"/>
    <col min="14858" max="14858" width="12.7109375" style="140" customWidth="1"/>
    <col min="14859" max="14859" width="13.5703125" style="140" customWidth="1"/>
    <col min="14860" max="14860" width="11.85546875" style="140" customWidth="1"/>
    <col min="14861" max="15105" width="9.140625" style="140"/>
    <col min="15106" max="15106" width="2.7109375" style="140" customWidth="1"/>
    <col min="15107" max="15107" width="9.140625" style="140"/>
    <col min="15108" max="15108" width="40.28515625" style="140" bestFit="1" customWidth="1"/>
    <col min="15109" max="15109" width="12.85546875" style="140" customWidth="1"/>
    <col min="15110" max="15110" width="10" style="140" customWidth="1"/>
    <col min="15111" max="15111" width="19.42578125" style="140" customWidth="1"/>
    <col min="15112" max="15112" width="7.7109375" style="140" customWidth="1"/>
    <col min="15113" max="15113" width="12.28515625" style="140" customWidth="1"/>
    <col min="15114" max="15114" width="12.7109375" style="140" customWidth="1"/>
    <col min="15115" max="15115" width="13.5703125" style="140" customWidth="1"/>
    <col min="15116" max="15116" width="11.85546875" style="140" customWidth="1"/>
    <col min="15117" max="15361" width="9.140625" style="140"/>
    <col min="15362" max="15362" width="2.7109375" style="140" customWidth="1"/>
    <col min="15363" max="15363" width="9.140625" style="140"/>
    <col min="15364" max="15364" width="40.28515625" style="140" bestFit="1" customWidth="1"/>
    <col min="15365" max="15365" width="12.85546875" style="140" customWidth="1"/>
    <col min="15366" max="15366" width="10" style="140" customWidth="1"/>
    <col min="15367" max="15367" width="19.42578125" style="140" customWidth="1"/>
    <col min="15368" max="15368" width="7.7109375" style="140" customWidth="1"/>
    <col min="15369" max="15369" width="12.28515625" style="140" customWidth="1"/>
    <col min="15370" max="15370" width="12.7109375" style="140" customWidth="1"/>
    <col min="15371" max="15371" width="13.5703125" style="140" customWidth="1"/>
    <col min="15372" max="15372" width="11.85546875" style="140" customWidth="1"/>
    <col min="15373" max="15617" width="9.140625" style="140"/>
    <col min="15618" max="15618" width="2.7109375" style="140" customWidth="1"/>
    <col min="15619" max="15619" width="9.140625" style="140"/>
    <col min="15620" max="15620" width="40.28515625" style="140" bestFit="1" customWidth="1"/>
    <col min="15621" max="15621" width="12.85546875" style="140" customWidth="1"/>
    <col min="15622" max="15622" width="10" style="140" customWidth="1"/>
    <col min="15623" max="15623" width="19.42578125" style="140" customWidth="1"/>
    <col min="15624" max="15624" width="7.7109375" style="140" customWidth="1"/>
    <col min="15625" max="15625" width="12.28515625" style="140" customWidth="1"/>
    <col min="15626" max="15626" width="12.7109375" style="140" customWidth="1"/>
    <col min="15627" max="15627" width="13.5703125" style="140" customWidth="1"/>
    <col min="15628" max="15628" width="11.85546875" style="140" customWidth="1"/>
    <col min="15629" max="15873" width="9.140625" style="140"/>
    <col min="15874" max="15874" width="2.7109375" style="140" customWidth="1"/>
    <col min="15875" max="15875" width="9.140625" style="140"/>
    <col min="15876" max="15876" width="40.28515625" style="140" bestFit="1" customWidth="1"/>
    <col min="15877" max="15877" width="12.85546875" style="140" customWidth="1"/>
    <col min="15878" max="15878" width="10" style="140" customWidth="1"/>
    <col min="15879" max="15879" width="19.42578125" style="140" customWidth="1"/>
    <col min="15880" max="15880" width="7.7109375" style="140" customWidth="1"/>
    <col min="15881" max="15881" width="12.28515625" style="140" customWidth="1"/>
    <col min="15882" max="15882" width="12.7109375" style="140" customWidth="1"/>
    <col min="15883" max="15883" width="13.5703125" style="140" customWidth="1"/>
    <col min="15884" max="15884" width="11.85546875" style="140" customWidth="1"/>
    <col min="15885" max="16129" width="9.140625" style="140"/>
    <col min="16130" max="16130" width="2.7109375" style="140" customWidth="1"/>
    <col min="16131" max="16131" width="9.140625" style="140"/>
    <col min="16132" max="16132" width="40.28515625" style="140" bestFit="1" customWidth="1"/>
    <col min="16133" max="16133" width="12.85546875" style="140" customWidth="1"/>
    <col min="16134" max="16134" width="10" style="140" customWidth="1"/>
    <col min="16135" max="16135" width="19.42578125" style="140" customWidth="1"/>
    <col min="16136" max="16136" width="7.7109375" style="140" customWidth="1"/>
    <col min="16137" max="16137" width="12.28515625" style="140" customWidth="1"/>
    <col min="16138" max="16138" width="12.7109375" style="140" customWidth="1"/>
    <col min="16139" max="16139" width="13.5703125" style="140" customWidth="1"/>
    <col min="16140" max="16140" width="11.85546875" style="140" customWidth="1"/>
    <col min="16141" max="16384" width="9.140625" style="140"/>
  </cols>
  <sheetData>
    <row r="1" spans="1:13" x14ac:dyDescent="0.2">
      <c r="G1" s="337"/>
      <c r="H1" s="336"/>
      <c r="I1" s="337"/>
      <c r="J1" s="337"/>
      <c r="K1" s="334" t="s">
        <v>394</v>
      </c>
      <c r="L1" s="253" t="str">
        <f>EBNUMBER</f>
        <v>EB-2015-0089</v>
      </c>
      <c r="M1" s="337"/>
    </row>
    <row r="2" spans="1:13" x14ac:dyDescent="0.2">
      <c r="G2" s="337"/>
      <c r="H2" s="336"/>
      <c r="I2" s="337"/>
      <c r="J2" s="337"/>
      <c r="K2" s="334" t="s">
        <v>395</v>
      </c>
      <c r="L2" s="136">
        <v>4</v>
      </c>
      <c r="M2" s="337"/>
    </row>
    <row r="3" spans="1:13" x14ac:dyDescent="0.2">
      <c r="G3" s="337"/>
      <c r="H3" s="336"/>
      <c r="I3" s="337"/>
      <c r="J3" s="337"/>
      <c r="K3" s="334" t="s">
        <v>396</v>
      </c>
      <c r="L3" s="136" t="s">
        <v>2456</v>
      </c>
      <c r="M3" s="337"/>
    </row>
    <row r="4" spans="1:13" x14ac:dyDescent="0.2">
      <c r="G4" s="337"/>
      <c r="H4" s="336"/>
      <c r="I4" s="337"/>
      <c r="J4" s="337"/>
      <c r="K4" s="334" t="s">
        <v>397</v>
      </c>
      <c r="L4" s="136" t="s">
        <v>2416</v>
      </c>
      <c r="M4" s="337"/>
    </row>
    <row r="5" spans="1:13" x14ac:dyDescent="0.2">
      <c r="G5" s="337"/>
      <c r="H5" s="336"/>
      <c r="I5" s="337"/>
      <c r="J5" s="337"/>
      <c r="K5" s="334" t="s">
        <v>398</v>
      </c>
      <c r="L5" s="1514">
        <v>69</v>
      </c>
      <c r="M5" s="337"/>
    </row>
    <row r="6" spans="1:13" x14ac:dyDescent="0.2">
      <c r="G6" s="337"/>
      <c r="H6" s="336"/>
      <c r="I6" s="337"/>
      <c r="J6" s="337"/>
      <c r="K6" s="334"/>
      <c r="L6" s="1513"/>
      <c r="M6" s="337"/>
    </row>
    <row r="7" spans="1:13" x14ac:dyDescent="0.2">
      <c r="G7" s="337"/>
      <c r="H7" s="336"/>
      <c r="I7" s="337"/>
      <c r="J7" s="394"/>
      <c r="K7" s="334" t="s">
        <v>399</v>
      </c>
      <c r="L7" s="1838" t="s">
        <v>2455</v>
      </c>
      <c r="M7" s="394"/>
    </row>
    <row r="9" spans="1:13" ht="18" x14ac:dyDescent="0.25">
      <c r="A9" s="1979" t="s">
        <v>1809</v>
      </c>
      <c r="B9" s="1979"/>
      <c r="C9" s="1979"/>
      <c r="D9" s="1979"/>
      <c r="E9" s="1979"/>
      <c r="F9" s="1979"/>
      <c r="G9" s="1979"/>
      <c r="H9" s="1979"/>
      <c r="I9" s="1979"/>
      <c r="J9" s="1979"/>
      <c r="K9" s="1979"/>
      <c r="L9" s="1979"/>
    </row>
    <row r="10" spans="1:13" ht="18" x14ac:dyDescent="0.25">
      <c r="A10" s="1979" t="s">
        <v>3</v>
      </c>
      <c r="B10" s="1979"/>
      <c r="C10" s="1979"/>
      <c r="D10" s="1979"/>
      <c r="E10" s="1979"/>
      <c r="F10" s="1979"/>
      <c r="G10" s="1979"/>
      <c r="H10" s="1979"/>
      <c r="I10" s="1979"/>
      <c r="J10" s="1979"/>
      <c r="K10" s="1979"/>
      <c r="L10" s="1979"/>
    </row>
    <row r="11" spans="1:13" ht="22.5" customHeight="1" x14ac:dyDescent="0.2">
      <c r="B11" s="2076" t="s">
        <v>1853</v>
      </c>
      <c r="C11" s="2076"/>
      <c r="D11" s="2076"/>
      <c r="E11" s="2076"/>
      <c r="F11" s="2076"/>
      <c r="G11" s="2076"/>
      <c r="H11" s="2076"/>
      <c r="I11" s="2076"/>
      <c r="J11" s="2076"/>
      <c r="K11" s="2076"/>
      <c r="L11" s="456"/>
    </row>
    <row r="12" spans="1:13" ht="22.5" customHeight="1" x14ac:dyDescent="0.2">
      <c r="B12" s="1479"/>
      <c r="C12" s="1479"/>
      <c r="D12" s="1479"/>
      <c r="E12" s="1479"/>
      <c r="F12" s="1479"/>
      <c r="G12" s="1479"/>
      <c r="H12" s="1479"/>
      <c r="I12" s="1479"/>
      <c r="J12" s="1479"/>
      <c r="K12" s="1479"/>
      <c r="L12" s="456"/>
    </row>
    <row r="13" spans="1:13" ht="13.5" customHeight="1" x14ac:dyDescent="0.25">
      <c r="A13" s="1467"/>
      <c r="B13" s="1467"/>
      <c r="C13" s="435" t="s">
        <v>39</v>
      </c>
      <c r="D13" s="489">
        <v>2013</v>
      </c>
      <c r="E13" s="398" t="s">
        <v>1587</v>
      </c>
      <c r="H13" s="1467"/>
      <c r="I13" s="1467"/>
      <c r="J13" s="1467"/>
    </row>
    <row r="14" spans="1:13" ht="15" customHeight="1" thickBot="1" x14ac:dyDescent="0.25"/>
    <row r="15" spans="1:13" ht="61.5" customHeight="1" x14ac:dyDescent="0.2">
      <c r="A15" s="2070" t="s">
        <v>4</v>
      </c>
      <c r="B15" s="2072" t="s">
        <v>324</v>
      </c>
      <c r="C15" s="404" t="s">
        <v>664</v>
      </c>
      <c r="D15" s="404" t="s">
        <v>608</v>
      </c>
      <c r="E15" s="404" t="s">
        <v>609</v>
      </c>
      <c r="F15" s="404" t="s">
        <v>326</v>
      </c>
      <c r="G15" s="404" t="s">
        <v>1826</v>
      </c>
      <c r="H15" s="404" t="s">
        <v>7</v>
      </c>
      <c r="I15" s="404" t="s">
        <v>391</v>
      </c>
      <c r="J15" s="438" t="s">
        <v>10</v>
      </c>
      <c r="K15" s="2079" t="s">
        <v>1606</v>
      </c>
      <c r="L15" s="438" t="s">
        <v>482</v>
      </c>
    </row>
    <row r="16" spans="1:13" ht="25.5" customHeight="1" x14ac:dyDescent="0.2">
      <c r="A16" s="2071"/>
      <c r="B16" s="2073"/>
      <c r="C16" s="409" t="s">
        <v>5</v>
      </c>
      <c r="D16" s="409" t="s">
        <v>610</v>
      </c>
      <c r="E16" s="409" t="s">
        <v>611</v>
      </c>
      <c r="F16" s="409" t="s">
        <v>6</v>
      </c>
      <c r="G16" s="490" t="s">
        <v>1827</v>
      </c>
      <c r="H16" s="409" t="s">
        <v>8</v>
      </c>
      <c r="I16" s="409" t="s">
        <v>9</v>
      </c>
      <c r="J16" s="491" t="s">
        <v>11</v>
      </c>
      <c r="K16" s="2085"/>
      <c r="L16" s="491" t="s">
        <v>476</v>
      </c>
    </row>
    <row r="17" spans="1:12" x14ac:dyDescent="0.2">
      <c r="A17" s="1553">
        <v>1609</v>
      </c>
      <c r="B17" s="355" t="s">
        <v>2159</v>
      </c>
      <c r="C17" s="356"/>
      <c r="D17" s="1535"/>
      <c r="E17" s="374"/>
      <c r="F17" s="356">
        <v>122349</v>
      </c>
      <c r="G17" s="374">
        <f>E17+0.5*F17</f>
        <v>61174.5</v>
      </c>
      <c r="H17" s="411">
        <v>25</v>
      </c>
      <c r="I17" s="412">
        <f t="shared" ref="I17:I55" si="0">IF(H17=0,0,1/H17)</f>
        <v>0.04</v>
      </c>
      <c r="J17" s="374">
        <f t="shared" ref="J17:J55" si="1">IF(H17=0,0,G17/H17)</f>
        <v>2446.98</v>
      </c>
      <c r="K17" s="356">
        <f>-'App.2-BA_Fixed Asset Cont'!J139</f>
        <v>2447</v>
      </c>
      <c r="L17" s="374">
        <f t="shared" ref="L17:L55" si="2">IF(ISERROR(+J17-K17), 0, +J17-K17)</f>
        <v>-1.999999999998181E-2</v>
      </c>
    </row>
    <row r="18" spans="1:12" ht="25.5" x14ac:dyDescent="0.2">
      <c r="A18" s="1477">
        <v>1611</v>
      </c>
      <c r="B18" s="355" t="s">
        <v>475</v>
      </c>
      <c r="C18" s="356">
        <v>697333</v>
      </c>
      <c r="D18" s="1535">
        <f>336487+45336+97300</f>
        <v>479123</v>
      </c>
      <c r="E18" s="374">
        <f>C18-D18</f>
        <v>218210</v>
      </c>
      <c r="F18" s="356">
        <v>183251</v>
      </c>
      <c r="G18" s="374">
        <f>E18+0.5*F18</f>
        <v>309835.5</v>
      </c>
      <c r="H18" s="411">
        <v>3</v>
      </c>
      <c r="I18" s="412">
        <f t="shared" si="0"/>
        <v>0.33333333333333331</v>
      </c>
      <c r="J18" s="374">
        <f t="shared" si="1"/>
        <v>103278.5</v>
      </c>
      <c r="K18" s="356">
        <f>-'App.2-BA_Fixed Asset Cont'!J140</f>
        <v>103278</v>
      </c>
      <c r="L18" s="374">
        <f t="shared" si="2"/>
        <v>0.5</v>
      </c>
    </row>
    <row r="19" spans="1:12" x14ac:dyDescent="0.2">
      <c r="A19" s="1477">
        <v>1612</v>
      </c>
      <c r="B19" s="355" t="s">
        <v>563</v>
      </c>
      <c r="C19" s="356"/>
      <c r="D19" s="356"/>
      <c r="E19" s="374">
        <f t="shared" ref="E19:E55" si="3">C19-D19</f>
        <v>0</v>
      </c>
      <c r="F19" s="356"/>
      <c r="G19" s="374">
        <f t="shared" ref="G19:G55" si="4">E19+0.5*F19</f>
        <v>0</v>
      </c>
      <c r="H19" s="411"/>
      <c r="I19" s="413">
        <f t="shared" si="0"/>
        <v>0</v>
      </c>
      <c r="J19" s="374">
        <f t="shared" si="1"/>
        <v>0</v>
      </c>
      <c r="K19" s="356">
        <f>-'App.2-BA_Fixed Asset Cont'!J141</f>
        <v>0</v>
      </c>
      <c r="L19" s="374">
        <f t="shared" si="2"/>
        <v>0</v>
      </c>
    </row>
    <row r="20" spans="1:12" x14ac:dyDescent="0.2">
      <c r="A20" s="414">
        <v>1805</v>
      </c>
      <c r="B20" s="362" t="s">
        <v>358</v>
      </c>
      <c r="C20" s="356">
        <v>69883</v>
      </c>
      <c r="D20" s="356"/>
      <c r="E20" s="374">
        <f t="shared" si="3"/>
        <v>69883</v>
      </c>
      <c r="F20" s="356"/>
      <c r="G20" s="374">
        <f t="shared" si="4"/>
        <v>69883</v>
      </c>
      <c r="H20" s="411"/>
      <c r="I20" s="413">
        <f t="shared" si="0"/>
        <v>0</v>
      </c>
      <c r="J20" s="374">
        <f t="shared" si="1"/>
        <v>0</v>
      </c>
      <c r="K20" s="356">
        <f>-'App.2-BA_Fixed Asset Cont'!J142</f>
        <v>0</v>
      </c>
      <c r="L20" s="374">
        <f t="shared" si="2"/>
        <v>0</v>
      </c>
    </row>
    <row r="21" spans="1:12" x14ac:dyDescent="0.2">
      <c r="A21" s="1477">
        <v>1808</v>
      </c>
      <c r="B21" s="363" t="s">
        <v>359</v>
      </c>
      <c r="C21" s="356"/>
      <c r="D21" s="356"/>
      <c r="E21" s="374">
        <f t="shared" si="3"/>
        <v>0</v>
      </c>
      <c r="F21" s="356"/>
      <c r="G21" s="374">
        <f t="shared" si="4"/>
        <v>0</v>
      </c>
      <c r="H21" s="411"/>
      <c r="I21" s="413">
        <f t="shared" si="0"/>
        <v>0</v>
      </c>
      <c r="J21" s="374">
        <f t="shared" si="1"/>
        <v>0</v>
      </c>
      <c r="K21" s="356">
        <f>-'App.2-BA_Fixed Asset Cont'!J143</f>
        <v>0</v>
      </c>
      <c r="L21" s="374">
        <f t="shared" si="2"/>
        <v>0</v>
      </c>
    </row>
    <row r="22" spans="1:12" x14ac:dyDescent="0.2">
      <c r="A22" s="1477">
        <v>1810</v>
      </c>
      <c r="B22" s="363" t="s">
        <v>392</v>
      </c>
      <c r="C22" s="356"/>
      <c r="D22" s="356"/>
      <c r="E22" s="374">
        <f t="shared" si="3"/>
        <v>0</v>
      </c>
      <c r="F22" s="356"/>
      <c r="G22" s="374">
        <f t="shared" si="4"/>
        <v>0</v>
      </c>
      <c r="H22" s="411"/>
      <c r="I22" s="413">
        <f t="shared" si="0"/>
        <v>0</v>
      </c>
      <c r="J22" s="374">
        <f t="shared" si="1"/>
        <v>0</v>
      </c>
      <c r="K22" s="356">
        <f>-'App.2-BA_Fixed Asset Cont'!J144</f>
        <v>0</v>
      </c>
      <c r="L22" s="374">
        <f t="shared" si="2"/>
        <v>0</v>
      </c>
    </row>
    <row r="23" spans="1:12" x14ac:dyDescent="0.2">
      <c r="A23" s="1477">
        <v>1815</v>
      </c>
      <c r="B23" s="363" t="s">
        <v>360</v>
      </c>
      <c r="C23" s="356"/>
      <c r="D23" s="356"/>
      <c r="E23" s="374">
        <f t="shared" si="3"/>
        <v>0</v>
      </c>
      <c r="F23" s="356"/>
      <c r="G23" s="374">
        <f t="shared" si="4"/>
        <v>0</v>
      </c>
      <c r="H23" s="411"/>
      <c r="I23" s="413">
        <f t="shared" si="0"/>
        <v>0</v>
      </c>
      <c r="J23" s="374">
        <f t="shared" si="1"/>
        <v>0</v>
      </c>
      <c r="K23" s="356">
        <f>-'App.2-BA_Fixed Asset Cont'!J145</f>
        <v>0</v>
      </c>
      <c r="L23" s="374">
        <f t="shared" si="2"/>
        <v>0</v>
      </c>
    </row>
    <row r="24" spans="1:12" x14ac:dyDescent="0.2">
      <c r="A24" s="1477">
        <v>1820</v>
      </c>
      <c r="B24" s="355" t="s">
        <v>287</v>
      </c>
      <c r="C24" s="356">
        <v>1516192</v>
      </c>
      <c r="D24" s="1535">
        <f>782134.53+43727</f>
        <v>825861.53</v>
      </c>
      <c r="E24" s="374">
        <f t="shared" si="3"/>
        <v>690330.47</v>
      </c>
      <c r="F24" s="356"/>
      <c r="G24" s="374">
        <f t="shared" si="4"/>
        <v>690330.47</v>
      </c>
      <c r="H24" s="411">
        <v>30</v>
      </c>
      <c r="I24" s="413">
        <f t="shared" si="0"/>
        <v>3.3333333333333333E-2</v>
      </c>
      <c r="J24" s="374">
        <f t="shared" si="1"/>
        <v>23011.015666666666</v>
      </c>
      <c r="K24" s="356">
        <f>-'App.2-BA_Fixed Asset Cont'!J146</f>
        <v>23011</v>
      </c>
      <c r="L24" s="374">
        <f t="shared" si="2"/>
        <v>1.5666666666220408E-2</v>
      </c>
    </row>
    <row r="25" spans="1:12" x14ac:dyDescent="0.2">
      <c r="A25" s="1477">
        <v>1825</v>
      </c>
      <c r="B25" s="363" t="s">
        <v>361</v>
      </c>
      <c r="C25" s="356"/>
      <c r="D25" s="1535"/>
      <c r="E25" s="374">
        <f t="shared" si="3"/>
        <v>0</v>
      </c>
      <c r="F25" s="356"/>
      <c r="G25" s="374">
        <f t="shared" si="4"/>
        <v>0</v>
      </c>
      <c r="H25" s="411"/>
      <c r="I25" s="413">
        <f t="shared" si="0"/>
        <v>0</v>
      </c>
      <c r="J25" s="374">
        <f t="shared" si="1"/>
        <v>0</v>
      </c>
      <c r="K25" s="356">
        <f>-'App.2-BA_Fixed Asset Cont'!J147</f>
        <v>0</v>
      </c>
      <c r="L25" s="374">
        <f t="shared" si="2"/>
        <v>0</v>
      </c>
    </row>
    <row r="26" spans="1:12" x14ac:dyDescent="0.2">
      <c r="A26" s="1477">
        <v>1830</v>
      </c>
      <c r="B26" s="363" t="s">
        <v>362</v>
      </c>
      <c r="C26" s="356">
        <v>26746711</v>
      </c>
      <c r="D26" s="1535">
        <f>2763307+1240807+51725+960375</f>
        <v>5016214</v>
      </c>
      <c r="E26" s="374">
        <f t="shared" si="3"/>
        <v>21730497</v>
      </c>
      <c r="F26" s="356">
        <v>2320857</v>
      </c>
      <c r="G26" s="374">
        <f t="shared" si="4"/>
        <v>22890925.5</v>
      </c>
      <c r="H26" s="411">
        <v>25</v>
      </c>
      <c r="I26" s="413">
        <f t="shared" si="0"/>
        <v>0.04</v>
      </c>
      <c r="J26" s="374">
        <f t="shared" si="1"/>
        <v>915637.02</v>
      </c>
      <c r="K26" s="356">
        <f>-'App.2-BA_Fixed Asset Cont'!J148</f>
        <v>915637</v>
      </c>
      <c r="L26" s="374">
        <f t="shared" si="2"/>
        <v>2.0000000018626451E-2</v>
      </c>
    </row>
    <row r="27" spans="1:12" x14ac:dyDescent="0.2">
      <c r="A27" s="1477">
        <v>1835</v>
      </c>
      <c r="B27" s="363" t="s">
        <v>288</v>
      </c>
      <c r="C27" s="356">
        <v>21079859</v>
      </c>
      <c r="D27" s="1535">
        <f>4219230-746309-155</f>
        <v>3472766</v>
      </c>
      <c r="E27" s="374">
        <f t="shared" si="3"/>
        <v>17607093</v>
      </c>
      <c r="F27" s="356">
        <v>907786</v>
      </c>
      <c r="G27" s="374">
        <f t="shared" si="4"/>
        <v>18060986</v>
      </c>
      <c r="H27" s="411">
        <v>25</v>
      </c>
      <c r="I27" s="413">
        <f t="shared" si="0"/>
        <v>0.04</v>
      </c>
      <c r="J27" s="374">
        <f t="shared" si="1"/>
        <v>722439.44</v>
      </c>
      <c r="K27" s="356">
        <f>-'App.2-BA_Fixed Asset Cont'!J149</f>
        <v>722438</v>
      </c>
      <c r="L27" s="374">
        <f t="shared" si="2"/>
        <v>1.4399999999441206</v>
      </c>
    </row>
    <row r="28" spans="1:12" x14ac:dyDescent="0.2">
      <c r="A28" s="1477">
        <v>1840</v>
      </c>
      <c r="B28" s="363" t="s">
        <v>289</v>
      </c>
      <c r="C28" s="356">
        <v>22291209</v>
      </c>
      <c r="D28" s="1535">
        <v>924300</v>
      </c>
      <c r="E28" s="374">
        <f t="shared" si="3"/>
        <v>21366909</v>
      </c>
      <c r="F28" s="356">
        <v>1895764</v>
      </c>
      <c r="G28" s="374">
        <f t="shared" si="4"/>
        <v>22314791</v>
      </c>
      <c r="H28" s="411">
        <v>25</v>
      </c>
      <c r="I28" s="413">
        <f t="shared" si="0"/>
        <v>0.04</v>
      </c>
      <c r="J28" s="374">
        <f t="shared" si="1"/>
        <v>892591.64</v>
      </c>
      <c r="K28" s="356">
        <f>-'App.2-BA_Fixed Asset Cont'!J150</f>
        <v>892593</v>
      </c>
      <c r="L28" s="374">
        <f t="shared" si="2"/>
        <v>-1.3599999999860302</v>
      </c>
    </row>
    <row r="29" spans="1:12" x14ac:dyDescent="0.2">
      <c r="A29" s="1477">
        <v>1845</v>
      </c>
      <c r="B29" s="363" t="s">
        <v>290</v>
      </c>
      <c r="C29" s="356">
        <v>16497130</v>
      </c>
      <c r="D29" s="1535">
        <f>489736-132580+74850</f>
        <v>432006</v>
      </c>
      <c r="E29" s="374">
        <f t="shared" si="3"/>
        <v>16065124</v>
      </c>
      <c r="F29" s="356">
        <v>926889</v>
      </c>
      <c r="G29" s="374">
        <f t="shared" si="4"/>
        <v>16528568.5</v>
      </c>
      <c r="H29" s="411">
        <v>25</v>
      </c>
      <c r="I29" s="413">
        <f t="shared" si="0"/>
        <v>0.04</v>
      </c>
      <c r="J29" s="374">
        <f t="shared" si="1"/>
        <v>661142.74</v>
      </c>
      <c r="K29" s="356">
        <f>-'App.2-BA_Fixed Asset Cont'!J151</f>
        <v>661143</v>
      </c>
      <c r="L29" s="374">
        <f t="shared" si="2"/>
        <v>-0.26000000000931323</v>
      </c>
    </row>
    <row r="30" spans="1:12" x14ac:dyDescent="0.2">
      <c r="A30" s="1477">
        <v>1850</v>
      </c>
      <c r="B30" s="363" t="s">
        <v>363</v>
      </c>
      <c r="C30" s="356">
        <v>35028627</v>
      </c>
      <c r="D30" s="1535">
        <f>3342917-2698845.36-504603+1015390</f>
        <v>1154858.6400000001</v>
      </c>
      <c r="E30" s="374">
        <f t="shared" si="3"/>
        <v>33873768.359999999</v>
      </c>
      <c r="F30" s="356">
        <v>1209577</v>
      </c>
      <c r="G30" s="374">
        <f t="shared" si="4"/>
        <v>34478556.859999999</v>
      </c>
      <c r="H30" s="411">
        <v>25</v>
      </c>
      <c r="I30" s="413">
        <f t="shared" si="0"/>
        <v>0.04</v>
      </c>
      <c r="J30" s="374">
        <f t="shared" si="1"/>
        <v>1379142.2744</v>
      </c>
      <c r="K30" s="356">
        <f>-'App.2-BA_Fixed Asset Cont'!J152</f>
        <v>1379144</v>
      </c>
      <c r="L30" s="374">
        <f t="shared" si="2"/>
        <v>-1.7256000000052154</v>
      </c>
    </row>
    <row r="31" spans="1:12" x14ac:dyDescent="0.2">
      <c r="A31" s="1477">
        <v>1855</v>
      </c>
      <c r="B31" s="363" t="s">
        <v>291</v>
      </c>
      <c r="C31" s="356">
        <v>13221495</v>
      </c>
      <c r="D31" s="1535">
        <f>4185133.69+643208+475</f>
        <v>4828816.6899999995</v>
      </c>
      <c r="E31" s="374">
        <f t="shared" si="3"/>
        <v>8392678.3100000005</v>
      </c>
      <c r="F31" s="356">
        <v>869824</v>
      </c>
      <c r="G31" s="374">
        <f t="shared" si="4"/>
        <v>8827590.3100000005</v>
      </c>
      <c r="H31" s="411">
        <v>25</v>
      </c>
      <c r="I31" s="413">
        <f t="shared" si="0"/>
        <v>0.04</v>
      </c>
      <c r="J31" s="374">
        <f t="shared" si="1"/>
        <v>353103.61240000004</v>
      </c>
      <c r="K31" s="356">
        <f>-'App.2-BA_Fixed Asset Cont'!J153</f>
        <v>353105</v>
      </c>
      <c r="L31" s="374">
        <f t="shared" si="2"/>
        <v>-1.3875999999581836</v>
      </c>
    </row>
    <row r="32" spans="1:12" x14ac:dyDescent="0.2">
      <c r="A32" s="1477">
        <v>1860</v>
      </c>
      <c r="B32" s="363" t="s">
        <v>364</v>
      </c>
      <c r="C32" s="356">
        <v>2413282</v>
      </c>
      <c r="D32" s="1535"/>
      <c r="E32" s="374">
        <f t="shared" si="3"/>
        <v>2413282</v>
      </c>
      <c r="F32" s="356"/>
      <c r="G32" s="374">
        <f t="shared" si="4"/>
        <v>2413282</v>
      </c>
      <c r="H32" s="411">
        <v>25</v>
      </c>
      <c r="I32" s="413">
        <f t="shared" si="0"/>
        <v>0.04</v>
      </c>
      <c r="J32" s="374">
        <f t="shared" si="1"/>
        <v>96531.28</v>
      </c>
      <c r="K32" s="356">
        <f>-'App.2-BA_Fixed Asset Cont'!J154</f>
        <v>0</v>
      </c>
      <c r="L32" s="374">
        <f t="shared" si="2"/>
        <v>96531.28</v>
      </c>
    </row>
    <row r="33" spans="1:12" x14ac:dyDescent="0.2">
      <c r="A33" s="414">
        <v>1860</v>
      </c>
      <c r="B33" s="362" t="s">
        <v>292</v>
      </c>
      <c r="C33" s="356">
        <v>7985182</v>
      </c>
      <c r="D33" s="1535">
        <f>564465+50000-2000500+1942350-520700</f>
        <v>35615</v>
      </c>
      <c r="E33" s="374">
        <f t="shared" si="3"/>
        <v>7949567</v>
      </c>
      <c r="F33" s="356">
        <v>891399</v>
      </c>
      <c r="G33" s="374">
        <f t="shared" si="4"/>
        <v>8395266.5</v>
      </c>
      <c r="H33" s="411">
        <v>15</v>
      </c>
      <c r="I33" s="413">
        <f t="shared" si="0"/>
        <v>6.6666666666666666E-2</v>
      </c>
      <c r="J33" s="374">
        <f t="shared" si="1"/>
        <v>559684.43333333335</v>
      </c>
      <c r="K33" s="356">
        <f>-'App.2-BA_Fixed Asset Cont'!J155</f>
        <v>656214</v>
      </c>
      <c r="L33" s="374">
        <f t="shared" si="2"/>
        <v>-96529.566666666651</v>
      </c>
    </row>
    <row r="34" spans="1:12" x14ac:dyDescent="0.2">
      <c r="A34" s="414">
        <v>1905</v>
      </c>
      <c r="B34" s="362" t="s">
        <v>358</v>
      </c>
      <c r="C34" s="356">
        <v>1142051</v>
      </c>
      <c r="D34" s="356"/>
      <c r="E34" s="374">
        <f t="shared" si="3"/>
        <v>1142051</v>
      </c>
      <c r="F34" s="356"/>
      <c r="G34" s="374">
        <f t="shared" si="4"/>
        <v>1142051</v>
      </c>
      <c r="H34" s="411"/>
      <c r="I34" s="413">
        <f t="shared" si="0"/>
        <v>0</v>
      </c>
      <c r="J34" s="374">
        <f t="shared" si="1"/>
        <v>0</v>
      </c>
      <c r="K34" s="356">
        <f>-'App.2-BA_Fixed Asset Cont'!J156</f>
        <v>0</v>
      </c>
      <c r="L34" s="374">
        <f t="shared" si="2"/>
        <v>0</v>
      </c>
    </row>
    <row r="35" spans="1:12" x14ac:dyDescent="0.2">
      <c r="A35" s="1477">
        <v>1908</v>
      </c>
      <c r="B35" s="363" t="s">
        <v>366</v>
      </c>
      <c r="C35" s="356"/>
      <c r="D35" s="356"/>
      <c r="E35" s="374">
        <f t="shared" si="3"/>
        <v>0</v>
      </c>
      <c r="F35" s="356"/>
      <c r="G35" s="374">
        <f t="shared" si="4"/>
        <v>0</v>
      </c>
      <c r="H35" s="411"/>
      <c r="I35" s="413">
        <f t="shared" si="0"/>
        <v>0</v>
      </c>
      <c r="J35" s="374">
        <f t="shared" si="1"/>
        <v>0</v>
      </c>
      <c r="K35" s="356">
        <f>-'App.2-BA_Fixed Asset Cont'!J157</f>
        <v>0</v>
      </c>
      <c r="L35" s="374">
        <f t="shared" si="2"/>
        <v>0</v>
      </c>
    </row>
    <row r="36" spans="1:12" x14ac:dyDescent="0.2">
      <c r="A36" s="1477">
        <v>1910</v>
      </c>
      <c r="B36" s="363" t="s">
        <v>392</v>
      </c>
      <c r="C36" s="356">
        <v>377009</v>
      </c>
      <c r="D36" s="356"/>
      <c r="E36" s="374">
        <f t="shared" si="3"/>
        <v>377009</v>
      </c>
      <c r="F36" s="356"/>
      <c r="G36" s="374">
        <f t="shared" si="4"/>
        <v>377009</v>
      </c>
      <c r="H36" s="411">
        <v>4.7</v>
      </c>
      <c r="I36" s="413">
        <f t="shared" si="0"/>
        <v>0.21276595744680851</v>
      </c>
      <c r="J36" s="374">
        <f t="shared" si="1"/>
        <v>80214.680851063822</v>
      </c>
      <c r="K36" s="356">
        <f>-'App.2-BA_Fixed Asset Cont'!J158</f>
        <v>80211</v>
      </c>
      <c r="L36" s="374">
        <f t="shared" si="2"/>
        <v>3.6808510638220469</v>
      </c>
    </row>
    <row r="37" spans="1:12" x14ac:dyDescent="0.2">
      <c r="A37" s="1477">
        <v>1915</v>
      </c>
      <c r="B37" s="363" t="s">
        <v>293</v>
      </c>
      <c r="C37" s="356">
        <v>712088</v>
      </c>
      <c r="D37" s="1535">
        <f>541266+4050-2600</f>
        <v>542716</v>
      </c>
      <c r="E37" s="374">
        <f t="shared" si="3"/>
        <v>169372</v>
      </c>
      <c r="F37" s="356"/>
      <c r="G37" s="374">
        <f t="shared" si="4"/>
        <v>169372</v>
      </c>
      <c r="H37" s="411">
        <v>10</v>
      </c>
      <c r="I37" s="413">
        <f t="shared" si="0"/>
        <v>0.1</v>
      </c>
      <c r="J37" s="374">
        <f t="shared" si="1"/>
        <v>16937.2</v>
      </c>
      <c r="K37" s="356">
        <f>-'App.2-BA_Fixed Asset Cont'!J159</f>
        <v>16939</v>
      </c>
      <c r="L37" s="374">
        <f t="shared" si="2"/>
        <v>-1.7999999999992724</v>
      </c>
    </row>
    <row r="38" spans="1:12" x14ac:dyDescent="0.2">
      <c r="A38" s="1477">
        <v>1915</v>
      </c>
      <c r="B38" s="363" t="s">
        <v>294</v>
      </c>
      <c r="C38" s="356"/>
      <c r="D38" s="1535"/>
      <c r="E38" s="374">
        <f t="shared" si="3"/>
        <v>0</v>
      </c>
      <c r="F38" s="356"/>
      <c r="G38" s="374">
        <f t="shared" si="4"/>
        <v>0</v>
      </c>
      <c r="H38" s="411"/>
      <c r="I38" s="413">
        <f t="shared" si="0"/>
        <v>0</v>
      </c>
      <c r="J38" s="374">
        <f t="shared" si="1"/>
        <v>0</v>
      </c>
      <c r="K38" s="356">
        <f>-'App.2-BA_Fixed Asset Cont'!J160</f>
        <v>0</v>
      </c>
      <c r="L38" s="374">
        <f t="shared" si="2"/>
        <v>0</v>
      </c>
    </row>
    <row r="39" spans="1:12" x14ac:dyDescent="0.2">
      <c r="A39" s="1477">
        <v>1920</v>
      </c>
      <c r="B39" s="363" t="s">
        <v>295</v>
      </c>
      <c r="C39" s="356">
        <v>1656712</v>
      </c>
      <c r="D39" s="1535">
        <f>1388597.57-31188+28300</f>
        <v>1385709.57</v>
      </c>
      <c r="E39" s="374">
        <f t="shared" si="3"/>
        <v>271002.42999999993</v>
      </c>
      <c r="F39" s="356">
        <v>137423</v>
      </c>
      <c r="G39" s="374">
        <f t="shared" si="4"/>
        <v>339713.92999999993</v>
      </c>
      <c r="H39" s="411">
        <v>5</v>
      </c>
      <c r="I39" s="413">
        <f t="shared" si="0"/>
        <v>0.2</v>
      </c>
      <c r="J39" s="374">
        <f t="shared" si="1"/>
        <v>67942.785999999993</v>
      </c>
      <c r="K39" s="356">
        <f>-'App.2-BA_Fixed Asset Cont'!J161</f>
        <v>67940</v>
      </c>
      <c r="L39" s="374">
        <f t="shared" si="2"/>
        <v>2.7859999999927823</v>
      </c>
    </row>
    <row r="40" spans="1:12" x14ac:dyDescent="0.2">
      <c r="A40" s="415">
        <v>1920</v>
      </c>
      <c r="B40" s="355" t="s">
        <v>297</v>
      </c>
      <c r="C40" s="356"/>
      <c r="D40" s="1535"/>
      <c r="E40" s="374">
        <f t="shared" si="3"/>
        <v>0</v>
      </c>
      <c r="F40" s="356"/>
      <c r="G40" s="374">
        <f t="shared" si="4"/>
        <v>0</v>
      </c>
      <c r="H40" s="411"/>
      <c r="I40" s="413">
        <f t="shared" si="0"/>
        <v>0</v>
      </c>
      <c r="J40" s="374">
        <f t="shared" si="1"/>
        <v>0</v>
      </c>
      <c r="K40" s="356">
        <f>-'App.2-BA_Fixed Asset Cont'!J162</f>
        <v>0</v>
      </c>
      <c r="L40" s="374">
        <f t="shared" si="2"/>
        <v>0</v>
      </c>
    </row>
    <row r="41" spans="1:12" x14ac:dyDescent="0.2">
      <c r="A41" s="415">
        <v>1920</v>
      </c>
      <c r="B41" s="355" t="s">
        <v>296</v>
      </c>
      <c r="C41" s="356"/>
      <c r="D41" s="1535"/>
      <c r="E41" s="374">
        <f t="shared" si="3"/>
        <v>0</v>
      </c>
      <c r="F41" s="356"/>
      <c r="G41" s="374">
        <f t="shared" si="4"/>
        <v>0</v>
      </c>
      <c r="H41" s="411"/>
      <c r="I41" s="413">
        <f t="shared" si="0"/>
        <v>0</v>
      </c>
      <c r="J41" s="374">
        <f t="shared" si="1"/>
        <v>0</v>
      </c>
      <c r="K41" s="356">
        <f>-'App.2-BA_Fixed Asset Cont'!J163</f>
        <v>0</v>
      </c>
      <c r="L41" s="374">
        <f t="shared" si="2"/>
        <v>0</v>
      </c>
    </row>
    <row r="42" spans="1:12" x14ac:dyDescent="0.2">
      <c r="A42" s="1477">
        <v>1930</v>
      </c>
      <c r="B42" s="363" t="s">
        <v>379</v>
      </c>
      <c r="C42" s="356">
        <v>1954646</v>
      </c>
      <c r="D42" s="1535">
        <f>1293218+119463-12200</f>
        <v>1400481</v>
      </c>
      <c r="E42" s="374">
        <f t="shared" si="3"/>
        <v>554165</v>
      </c>
      <c r="F42" s="356">
        <v>380175</v>
      </c>
      <c r="G42" s="374">
        <f t="shared" si="4"/>
        <v>744252.5</v>
      </c>
      <c r="H42" s="411">
        <v>5</v>
      </c>
      <c r="I42" s="413">
        <f t="shared" si="0"/>
        <v>0.2</v>
      </c>
      <c r="J42" s="374">
        <f t="shared" si="1"/>
        <v>148850.5</v>
      </c>
      <c r="K42" s="356">
        <f>-'App.2-BA_Fixed Asset Cont'!J164</f>
        <v>148853</v>
      </c>
      <c r="L42" s="374">
        <f t="shared" si="2"/>
        <v>-2.5</v>
      </c>
    </row>
    <row r="43" spans="1:12" x14ac:dyDescent="0.2">
      <c r="A43" s="1477">
        <v>1935</v>
      </c>
      <c r="B43" s="363" t="s">
        <v>380</v>
      </c>
      <c r="C43" s="356">
        <v>224974</v>
      </c>
      <c r="D43" s="1535">
        <f>164205.67+1100</f>
        <v>165305.67000000001</v>
      </c>
      <c r="E43" s="374">
        <f t="shared" si="3"/>
        <v>59668.329999999987</v>
      </c>
      <c r="F43" s="356">
        <v>56545</v>
      </c>
      <c r="G43" s="374">
        <f t="shared" si="4"/>
        <v>87940.829999999987</v>
      </c>
      <c r="H43" s="411">
        <v>10</v>
      </c>
      <c r="I43" s="413">
        <f t="shared" si="0"/>
        <v>0.1</v>
      </c>
      <c r="J43" s="374">
        <f t="shared" si="1"/>
        <v>8794.0829999999987</v>
      </c>
      <c r="K43" s="356">
        <f>-'App.2-BA_Fixed Asset Cont'!J165</f>
        <v>8795</v>
      </c>
      <c r="L43" s="374">
        <f t="shared" si="2"/>
        <v>-0.91700000000128057</v>
      </c>
    </row>
    <row r="44" spans="1:12" x14ac:dyDescent="0.2">
      <c r="A44" s="1477">
        <v>1940</v>
      </c>
      <c r="B44" s="363" t="s">
        <v>381</v>
      </c>
      <c r="C44" s="356">
        <v>403954</v>
      </c>
      <c r="D44" s="1535">
        <f>341497+5108+11190</f>
        <v>357795</v>
      </c>
      <c r="E44" s="374">
        <f t="shared" si="3"/>
        <v>46159</v>
      </c>
      <c r="F44" s="356">
        <v>5382</v>
      </c>
      <c r="G44" s="374">
        <f t="shared" si="4"/>
        <v>48850</v>
      </c>
      <c r="H44" s="411">
        <v>10</v>
      </c>
      <c r="I44" s="413">
        <f t="shared" si="0"/>
        <v>0.1</v>
      </c>
      <c r="J44" s="374">
        <f t="shared" si="1"/>
        <v>4885</v>
      </c>
      <c r="K44" s="356">
        <f>-'App.2-BA_Fixed Asset Cont'!J166</f>
        <v>17020</v>
      </c>
      <c r="L44" s="374">
        <f t="shared" si="2"/>
        <v>-12135</v>
      </c>
    </row>
    <row r="45" spans="1:12" x14ac:dyDescent="0.2">
      <c r="A45" s="1477">
        <v>1945</v>
      </c>
      <c r="B45" s="363" t="s">
        <v>382</v>
      </c>
      <c r="C45" s="356">
        <v>120166</v>
      </c>
      <c r="D45" s="356"/>
      <c r="E45" s="374">
        <f t="shared" si="3"/>
        <v>120166</v>
      </c>
      <c r="F45" s="356">
        <v>2345</v>
      </c>
      <c r="G45" s="374">
        <f t="shared" si="4"/>
        <v>121338.5</v>
      </c>
      <c r="H45" s="411">
        <v>10</v>
      </c>
      <c r="I45" s="413">
        <f t="shared" si="0"/>
        <v>0.1</v>
      </c>
      <c r="J45" s="374">
        <f t="shared" si="1"/>
        <v>12133.85</v>
      </c>
      <c r="K45" s="356">
        <f>-'App.2-BA_Fixed Asset Cont'!J167</f>
        <v>0</v>
      </c>
      <c r="L45" s="374">
        <f t="shared" si="2"/>
        <v>12133.85</v>
      </c>
    </row>
    <row r="46" spans="1:12" x14ac:dyDescent="0.2">
      <c r="A46" s="1477">
        <v>1950</v>
      </c>
      <c r="B46" s="363" t="s">
        <v>298</v>
      </c>
      <c r="C46" s="356"/>
      <c r="D46" s="356"/>
      <c r="E46" s="374">
        <f t="shared" si="3"/>
        <v>0</v>
      </c>
      <c r="F46" s="356"/>
      <c r="G46" s="374">
        <f t="shared" si="4"/>
        <v>0</v>
      </c>
      <c r="H46" s="411"/>
      <c r="I46" s="413">
        <f t="shared" si="0"/>
        <v>0</v>
      </c>
      <c r="J46" s="374">
        <f t="shared" si="1"/>
        <v>0</v>
      </c>
      <c r="K46" s="356">
        <f>-'App.2-BA_Fixed Asset Cont'!J168</f>
        <v>0</v>
      </c>
      <c r="L46" s="374">
        <f t="shared" si="2"/>
        <v>0</v>
      </c>
    </row>
    <row r="47" spans="1:12" x14ac:dyDescent="0.2">
      <c r="A47" s="1477">
        <v>1955</v>
      </c>
      <c r="B47" s="363" t="s">
        <v>383</v>
      </c>
      <c r="C47" s="356"/>
      <c r="D47" s="356"/>
      <c r="E47" s="374">
        <f t="shared" si="3"/>
        <v>0</v>
      </c>
      <c r="F47" s="356"/>
      <c r="G47" s="374">
        <f t="shared" si="4"/>
        <v>0</v>
      </c>
      <c r="H47" s="411"/>
      <c r="I47" s="413">
        <f t="shared" si="0"/>
        <v>0</v>
      </c>
      <c r="J47" s="374">
        <f t="shared" si="1"/>
        <v>0</v>
      </c>
      <c r="K47" s="356">
        <v>0</v>
      </c>
      <c r="L47" s="374">
        <f t="shared" si="2"/>
        <v>0</v>
      </c>
    </row>
    <row r="48" spans="1:12" x14ac:dyDescent="0.2">
      <c r="A48" s="416">
        <v>1955</v>
      </c>
      <c r="B48" s="367" t="s">
        <v>299</v>
      </c>
      <c r="C48" s="356">
        <v>236292</v>
      </c>
      <c r="D48" s="1535">
        <f>118962+2000+9000</f>
        <v>129962</v>
      </c>
      <c r="E48" s="374">
        <f t="shared" si="3"/>
        <v>106330</v>
      </c>
      <c r="F48" s="356">
        <v>3896</v>
      </c>
      <c r="G48" s="374">
        <f t="shared" si="4"/>
        <v>108278</v>
      </c>
      <c r="H48" s="411">
        <v>10</v>
      </c>
      <c r="I48" s="413">
        <f t="shared" si="0"/>
        <v>0.1</v>
      </c>
      <c r="J48" s="374">
        <f t="shared" si="1"/>
        <v>10827.8</v>
      </c>
      <c r="K48" s="356">
        <f>-'App.2-BA_Fixed Asset Cont'!J169</f>
        <v>10830</v>
      </c>
      <c r="L48" s="374">
        <f t="shared" si="2"/>
        <v>-2.2000000000007276</v>
      </c>
    </row>
    <row r="49" spans="1:14" x14ac:dyDescent="0.2">
      <c r="A49" s="415">
        <v>1960</v>
      </c>
      <c r="B49" s="355" t="s">
        <v>300</v>
      </c>
      <c r="C49" s="356"/>
      <c r="D49" s="1535"/>
      <c r="E49" s="374">
        <f t="shared" si="3"/>
        <v>0</v>
      </c>
      <c r="F49" s="356"/>
      <c r="G49" s="374">
        <f t="shared" si="4"/>
        <v>0</v>
      </c>
      <c r="H49" s="411"/>
      <c r="I49" s="413">
        <f t="shared" si="0"/>
        <v>0</v>
      </c>
      <c r="J49" s="374">
        <f t="shared" si="1"/>
        <v>0</v>
      </c>
      <c r="K49" s="356">
        <f>-'App.2-BA_Fixed Asset Cont'!J171</f>
        <v>0</v>
      </c>
      <c r="L49" s="374">
        <f t="shared" si="2"/>
        <v>0</v>
      </c>
    </row>
    <row r="50" spans="1:14" x14ac:dyDescent="0.2">
      <c r="A50" s="415">
        <v>1970</v>
      </c>
      <c r="B50" s="1474" t="s">
        <v>712</v>
      </c>
      <c r="C50" s="356"/>
      <c r="D50" s="1535"/>
      <c r="E50" s="374">
        <f t="shared" si="3"/>
        <v>0</v>
      </c>
      <c r="F50" s="356"/>
      <c r="G50" s="374">
        <f t="shared" si="4"/>
        <v>0</v>
      </c>
      <c r="H50" s="411"/>
      <c r="I50" s="413">
        <f t="shared" si="0"/>
        <v>0</v>
      </c>
      <c r="J50" s="374">
        <f t="shared" si="1"/>
        <v>0</v>
      </c>
      <c r="K50" s="356">
        <f>-'App.2-BA_Fixed Asset Cont'!J172</f>
        <v>0</v>
      </c>
      <c r="L50" s="374">
        <f t="shared" si="2"/>
        <v>0</v>
      </c>
    </row>
    <row r="51" spans="1:14" x14ac:dyDescent="0.2">
      <c r="A51" s="1477">
        <v>1975</v>
      </c>
      <c r="B51" s="363" t="s">
        <v>384</v>
      </c>
      <c r="C51" s="356"/>
      <c r="D51" s="1535"/>
      <c r="E51" s="374">
        <f t="shared" si="3"/>
        <v>0</v>
      </c>
      <c r="F51" s="356"/>
      <c r="G51" s="374">
        <f t="shared" si="4"/>
        <v>0</v>
      </c>
      <c r="H51" s="411"/>
      <c r="I51" s="413">
        <f t="shared" si="0"/>
        <v>0</v>
      </c>
      <c r="J51" s="374">
        <f t="shared" si="1"/>
        <v>0</v>
      </c>
      <c r="K51" s="356">
        <f>-'App.2-BA_Fixed Asset Cont'!J173</f>
        <v>0</v>
      </c>
      <c r="L51" s="374">
        <f t="shared" si="2"/>
        <v>0</v>
      </c>
    </row>
    <row r="52" spans="1:14" x14ac:dyDescent="0.2">
      <c r="A52" s="1477">
        <v>1980</v>
      </c>
      <c r="B52" s="363" t="s">
        <v>385</v>
      </c>
      <c r="C52" s="356">
        <v>41545</v>
      </c>
      <c r="D52" s="1535">
        <v>41545</v>
      </c>
      <c r="E52" s="374">
        <f t="shared" si="3"/>
        <v>0</v>
      </c>
      <c r="F52" s="356">
        <v>52654</v>
      </c>
      <c r="G52" s="374">
        <f t="shared" si="4"/>
        <v>26327</v>
      </c>
      <c r="H52" s="411">
        <v>15</v>
      </c>
      <c r="I52" s="413">
        <f t="shared" si="0"/>
        <v>6.6666666666666666E-2</v>
      </c>
      <c r="J52" s="374">
        <f t="shared" si="1"/>
        <v>1755.1333333333334</v>
      </c>
      <c r="K52" s="356">
        <f>-'App.2-BA_Fixed Asset Cont'!J174</f>
        <v>1755</v>
      </c>
      <c r="L52" s="374">
        <f t="shared" si="2"/>
        <v>0.13333333333343944</v>
      </c>
    </row>
    <row r="53" spans="1:14" x14ac:dyDescent="0.2">
      <c r="A53" s="1477">
        <v>1985</v>
      </c>
      <c r="B53" s="363" t="s">
        <v>386</v>
      </c>
      <c r="C53" s="356"/>
      <c r="D53" s="1535"/>
      <c r="E53" s="374">
        <f t="shared" si="3"/>
        <v>0</v>
      </c>
      <c r="F53" s="356"/>
      <c r="G53" s="374">
        <f t="shared" si="4"/>
        <v>0</v>
      </c>
      <c r="H53" s="411"/>
      <c r="I53" s="413">
        <f t="shared" si="0"/>
        <v>0</v>
      </c>
      <c r="J53" s="374">
        <f t="shared" si="1"/>
        <v>0</v>
      </c>
      <c r="K53" s="356">
        <f>-'App.2-BA_Fixed Asset Cont'!J175</f>
        <v>0</v>
      </c>
      <c r="L53" s="374">
        <f t="shared" si="2"/>
        <v>0</v>
      </c>
    </row>
    <row r="54" spans="1:14" x14ac:dyDescent="0.2">
      <c r="A54" s="1477">
        <v>1990</v>
      </c>
      <c r="B54" s="1475" t="s">
        <v>650</v>
      </c>
      <c r="C54" s="356">
        <v>133004</v>
      </c>
      <c r="D54" s="1535">
        <v>32100</v>
      </c>
      <c r="E54" s="374">
        <f t="shared" si="3"/>
        <v>100904</v>
      </c>
      <c r="F54" s="356"/>
      <c r="G54" s="374">
        <f t="shared" si="4"/>
        <v>100904</v>
      </c>
      <c r="H54" s="411">
        <v>10</v>
      </c>
      <c r="I54" s="413">
        <f t="shared" si="0"/>
        <v>0.1</v>
      </c>
      <c r="J54" s="374">
        <f t="shared" si="1"/>
        <v>10090.4</v>
      </c>
      <c r="K54" s="356">
        <f>-'App.2-BA_Fixed Asset Cont'!J176</f>
        <v>10089</v>
      </c>
      <c r="L54" s="374">
        <f t="shared" si="2"/>
        <v>1.3999999999996362</v>
      </c>
    </row>
    <row r="55" spans="1:14" ht="13.5" thickBot="1" x14ac:dyDescent="0.25">
      <c r="A55" s="1477">
        <v>1995</v>
      </c>
      <c r="B55" s="363" t="s">
        <v>387</v>
      </c>
      <c r="C55" s="418">
        <v>-43960304</v>
      </c>
      <c r="D55" s="1535">
        <f>-400950+305000-181700</f>
        <v>-277650</v>
      </c>
      <c r="E55" s="446">
        <f t="shared" si="3"/>
        <v>-43682654</v>
      </c>
      <c r="F55" s="418">
        <v>-3155364</v>
      </c>
      <c r="G55" s="446">
        <f t="shared" si="4"/>
        <v>-45260336</v>
      </c>
      <c r="H55" s="420">
        <v>25</v>
      </c>
      <c r="I55" s="421">
        <f t="shared" si="0"/>
        <v>0.04</v>
      </c>
      <c r="J55" s="446">
        <f t="shared" si="1"/>
        <v>-1810413.44</v>
      </c>
      <c r="K55" s="356">
        <f>-'App.2-BA_Fixed Asset Cont'!J177</f>
        <v>-1810413</v>
      </c>
      <c r="L55" s="446">
        <f t="shared" si="2"/>
        <v>-0.43999999994412065</v>
      </c>
    </row>
    <row r="56" spans="1:14" ht="14.25" thickTop="1" thickBot="1" x14ac:dyDescent="0.25">
      <c r="A56" s="422"/>
      <c r="B56" s="423" t="s">
        <v>388</v>
      </c>
      <c r="C56" s="424">
        <f>SUM(C17:C55)</f>
        <v>110589040</v>
      </c>
      <c r="D56" s="424">
        <f t="shared" ref="D56:F56" si="5">SUM(D17:D55)</f>
        <v>20947525.100000001</v>
      </c>
      <c r="E56" s="424">
        <f t="shared" si="5"/>
        <v>89641514.900000006</v>
      </c>
      <c r="F56" s="424">
        <f t="shared" si="5"/>
        <v>6810752</v>
      </c>
      <c r="G56" s="424">
        <f>SUM(G17:G55)</f>
        <v>93046890.900000006</v>
      </c>
      <c r="H56" s="492"/>
      <c r="I56" s="427"/>
      <c r="J56" s="424">
        <f>SUM(J17:J55)</f>
        <v>4261026.928984398</v>
      </c>
      <c r="K56" s="424">
        <f>SUM(K17:K55)</f>
        <v>4261029</v>
      </c>
      <c r="L56" s="424">
        <f>SUM(L18:L55)</f>
        <v>-2.0510156027719404</v>
      </c>
    </row>
    <row r="57" spans="1:14" ht="7.5" customHeight="1" x14ac:dyDescent="0.2"/>
    <row r="58" spans="1:14" x14ac:dyDescent="0.2">
      <c r="A58" s="1484" t="s">
        <v>13</v>
      </c>
      <c r="B58" s="158"/>
      <c r="C58" s="158"/>
      <c r="D58" s="158"/>
      <c r="E58" s="158"/>
      <c r="F58" s="158"/>
      <c r="G58" s="158"/>
      <c r="H58" s="158"/>
      <c r="I58" s="158"/>
      <c r="J58" s="158"/>
    </row>
    <row r="59" spans="1:14" x14ac:dyDescent="0.2">
      <c r="A59" s="158"/>
      <c r="B59" s="158"/>
      <c r="C59" s="158"/>
      <c r="D59" s="158"/>
      <c r="E59" s="158"/>
      <c r="F59" s="158"/>
      <c r="G59" s="158"/>
      <c r="H59" s="158"/>
      <c r="I59" s="158"/>
      <c r="J59" s="158"/>
    </row>
    <row r="60" spans="1:14" ht="24.75" customHeight="1" x14ac:dyDescent="0.2">
      <c r="A60" s="455">
        <v>1</v>
      </c>
      <c r="B60" s="2001" t="s">
        <v>524</v>
      </c>
      <c r="C60" s="2001"/>
      <c r="D60" s="2001"/>
      <c r="E60" s="2001"/>
      <c r="F60" s="2001"/>
      <c r="G60" s="2001"/>
      <c r="H60" s="2001"/>
      <c r="I60" s="2001"/>
      <c r="J60" s="2001"/>
      <c r="K60" s="2001"/>
      <c r="L60" s="2001"/>
    </row>
    <row r="61" spans="1:14" x14ac:dyDescent="0.2">
      <c r="A61" s="1482">
        <v>2</v>
      </c>
      <c r="B61" s="2068" t="s">
        <v>1498</v>
      </c>
      <c r="C61" s="2068"/>
      <c r="D61" s="2068"/>
      <c r="E61" s="2068"/>
      <c r="F61" s="2068"/>
      <c r="G61" s="2068"/>
      <c r="H61" s="2068"/>
      <c r="I61" s="2068"/>
      <c r="J61" s="2068"/>
      <c r="K61" s="158"/>
    </row>
    <row r="62" spans="1:14" x14ac:dyDescent="0.2">
      <c r="A62" s="1482"/>
      <c r="B62" s="2068"/>
      <c r="C62" s="2068"/>
      <c r="D62" s="2068"/>
      <c r="E62" s="2068"/>
      <c r="F62" s="2068"/>
      <c r="G62" s="2068"/>
      <c r="H62" s="2068"/>
      <c r="I62" s="2068"/>
      <c r="J62" s="2068"/>
      <c r="K62" s="158"/>
    </row>
    <row r="63" spans="1:14" ht="12.75" customHeight="1" x14ac:dyDescent="0.2">
      <c r="A63" s="334" t="s">
        <v>523</v>
      </c>
      <c r="B63" s="2069" t="s">
        <v>257</v>
      </c>
      <c r="C63" s="2069"/>
      <c r="D63" s="2069"/>
      <c r="E63" s="2069"/>
      <c r="F63" s="2069"/>
      <c r="G63" s="2069"/>
      <c r="H63" s="2069"/>
      <c r="I63" s="2069"/>
      <c r="J63" s="2069"/>
      <c r="K63" s="2069"/>
      <c r="L63" s="2069"/>
      <c r="M63" s="432"/>
      <c r="N63" s="432"/>
    </row>
    <row r="64" spans="1:14" x14ac:dyDescent="0.2">
      <c r="B64" s="2069"/>
      <c r="C64" s="2069"/>
      <c r="D64" s="2069"/>
      <c r="E64" s="2069"/>
      <c r="F64" s="2069"/>
      <c r="G64" s="2069"/>
      <c r="H64" s="2069"/>
      <c r="I64" s="2069"/>
      <c r="J64" s="2069"/>
      <c r="K64" s="2069"/>
      <c r="L64" s="2069"/>
      <c r="M64" s="432"/>
      <c r="N64" s="432"/>
    </row>
    <row r="65" spans="2:14" x14ac:dyDescent="0.2">
      <c r="B65" s="432"/>
      <c r="C65" s="432"/>
      <c r="D65" s="432"/>
      <c r="E65" s="432"/>
      <c r="F65" s="432"/>
      <c r="G65" s="432"/>
      <c r="H65" s="432"/>
      <c r="I65" s="432"/>
      <c r="J65" s="432"/>
      <c r="K65" s="432"/>
      <c r="L65" s="432"/>
      <c r="M65" s="432"/>
      <c r="N65" s="432"/>
    </row>
  </sheetData>
  <mergeCells count="9">
    <mergeCell ref="B60:L60"/>
    <mergeCell ref="B61:J62"/>
    <mergeCell ref="B63:L64"/>
    <mergeCell ref="A9:L9"/>
    <mergeCell ref="A10:L10"/>
    <mergeCell ref="A15:A16"/>
    <mergeCell ref="B15:B16"/>
    <mergeCell ref="K15:K16"/>
    <mergeCell ref="B11:K11"/>
  </mergeCells>
  <dataValidations count="2">
    <dataValidation allowBlank="1" showErrorMessage="1" promptTitle="Date Format" prompt="E.g:  &quot;August 1, 2011&quot;" sqref="J7"/>
    <dataValidation allowBlank="1" showInputMessage="1" showErrorMessage="1" promptTitle="Date Format" prompt="E.g:  &quot;August 1, 2011&quot;" sqref="WVR983048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44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131080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196616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262152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327688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393224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458760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524296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589832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655368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720904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786440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851976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917512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983048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dataValidations>
  <printOptions horizontalCentered="1"/>
  <pageMargins left="0.74803149606299213" right="0.74803149606299213" top="0.70866141732283472" bottom="0.39370078740157483" header="0.39370078740157483" footer="0.27559055118110237"/>
  <pageSetup scale="58"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1:W81"/>
  <sheetViews>
    <sheetView showGridLines="0" topLeftCell="B1" zoomScale="98" zoomScaleNormal="98" workbookViewId="0"/>
  </sheetViews>
  <sheetFormatPr defaultRowHeight="12.75" x14ac:dyDescent="0.2"/>
  <cols>
    <col min="1" max="1" width="9.140625" style="140"/>
    <col min="2" max="2" width="43" style="140" customWidth="1"/>
    <col min="3" max="3" width="13.140625" style="140" bestFit="1" customWidth="1"/>
    <col min="4" max="4" width="11.28515625" style="140" bestFit="1" customWidth="1"/>
    <col min="5" max="5" width="14.85546875" style="140" customWidth="1"/>
    <col min="6" max="6" width="9.5703125" style="140" customWidth="1"/>
    <col min="7" max="7" width="13.28515625" style="140" customWidth="1"/>
    <col min="8" max="8" width="13.140625" style="140" customWidth="1"/>
    <col min="9" max="9" width="13.7109375" style="140" customWidth="1"/>
    <col min="10" max="10" width="12.85546875" style="140" customWidth="1"/>
    <col min="11" max="11" width="17.7109375" style="140" customWidth="1"/>
    <col min="12" max="12" width="12.7109375" style="140" customWidth="1"/>
    <col min="13" max="13" width="13.42578125" style="140" customWidth="1"/>
    <col min="14" max="14" width="19" style="140" customWidth="1"/>
    <col min="15" max="16" width="18.5703125" style="140" customWidth="1"/>
    <col min="17" max="17" width="13.5703125" style="140" customWidth="1"/>
    <col min="18" max="19" width="10.5703125" style="140" customWidth="1"/>
    <col min="20" max="20" width="9.7109375" style="140" bestFit="1" customWidth="1"/>
    <col min="21" max="260" width="9.140625" style="140"/>
    <col min="261" max="261" width="2.7109375" style="140" customWidth="1"/>
    <col min="262" max="262" width="9.140625" style="140"/>
    <col min="263" max="263" width="40.28515625" style="140" bestFit="1" customWidth="1"/>
    <col min="264" max="264" width="12" style="140" customWidth="1"/>
    <col min="265" max="265" width="10" style="140" customWidth="1"/>
    <col min="266" max="266" width="14.85546875" style="140" customWidth="1"/>
    <col min="267" max="267" width="9.5703125" style="140" customWidth="1"/>
    <col min="268" max="269" width="12.28515625" style="140" customWidth="1"/>
    <col min="270" max="272" width="12.85546875" style="140" customWidth="1"/>
    <col min="273" max="273" width="12.7109375" style="140" customWidth="1"/>
    <col min="274" max="274" width="12.28515625" style="140" bestFit="1" customWidth="1"/>
    <col min="275" max="275" width="13.140625" style="140" customWidth="1"/>
    <col min="276" max="516" width="9.140625" style="140"/>
    <col min="517" max="517" width="2.7109375" style="140" customWidth="1"/>
    <col min="518" max="518" width="9.140625" style="140"/>
    <col min="519" max="519" width="40.28515625" style="140" bestFit="1" customWidth="1"/>
    <col min="520" max="520" width="12" style="140" customWidth="1"/>
    <col min="521" max="521" width="10" style="140" customWidth="1"/>
    <col min="522" max="522" width="14.85546875" style="140" customWidth="1"/>
    <col min="523" max="523" width="9.5703125" style="140" customWidth="1"/>
    <col min="524" max="525" width="12.28515625" style="140" customWidth="1"/>
    <col min="526" max="528" width="12.85546875" style="140" customWidth="1"/>
    <col min="529" max="529" width="12.7109375" style="140" customWidth="1"/>
    <col min="530" max="530" width="12.28515625" style="140" bestFit="1" customWidth="1"/>
    <col min="531" max="531" width="13.140625" style="140" customWidth="1"/>
    <col min="532" max="772" width="9.140625" style="140"/>
    <col min="773" max="773" width="2.7109375" style="140" customWidth="1"/>
    <col min="774" max="774" width="9.140625" style="140"/>
    <col min="775" max="775" width="40.28515625" style="140" bestFit="1" customWidth="1"/>
    <col min="776" max="776" width="12" style="140" customWidth="1"/>
    <col min="777" max="777" width="10" style="140" customWidth="1"/>
    <col min="778" max="778" width="14.85546875" style="140" customWidth="1"/>
    <col min="779" max="779" width="9.5703125" style="140" customWidth="1"/>
    <col min="780" max="781" width="12.28515625" style="140" customWidth="1"/>
    <col min="782" max="784" width="12.85546875" style="140" customWidth="1"/>
    <col min="785" max="785" width="12.7109375" style="140" customWidth="1"/>
    <col min="786" max="786" width="12.28515625" style="140" bestFit="1" customWidth="1"/>
    <col min="787" max="787" width="13.140625" style="140" customWidth="1"/>
    <col min="788" max="1028" width="9.140625" style="140"/>
    <col min="1029" max="1029" width="2.7109375" style="140" customWidth="1"/>
    <col min="1030" max="1030" width="9.140625" style="140"/>
    <col min="1031" max="1031" width="40.28515625" style="140" bestFit="1" customWidth="1"/>
    <col min="1032" max="1032" width="12" style="140" customWidth="1"/>
    <col min="1033" max="1033" width="10" style="140" customWidth="1"/>
    <col min="1034" max="1034" width="14.85546875" style="140" customWidth="1"/>
    <col min="1035" max="1035" width="9.5703125" style="140" customWidth="1"/>
    <col min="1036" max="1037" width="12.28515625" style="140" customWidth="1"/>
    <col min="1038" max="1040" width="12.85546875" style="140" customWidth="1"/>
    <col min="1041" max="1041" width="12.7109375" style="140" customWidth="1"/>
    <col min="1042" max="1042" width="12.28515625" style="140" bestFit="1" customWidth="1"/>
    <col min="1043" max="1043" width="13.140625" style="140" customWidth="1"/>
    <col min="1044" max="1284" width="9.140625" style="140"/>
    <col min="1285" max="1285" width="2.7109375" style="140" customWidth="1"/>
    <col min="1286" max="1286" width="9.140625" style="140"/>
    <col min="1287" max="1287" width="40.28515625" style="140" bestFit="1" customWidth="1"/>
    <col min="1288" max="1288" width="12" style="140" customWidth="1"/>
    <col min="1289" max="1289" width="10" style="140" customWidth="1"/>
    <col min="1290" max="1290" width="14.85546875" style="140" customWidth="1"/>
    <col min="1291" max="1291" width="9.5703125" style="140" customWidth="1"/>
    <col min="1292" max="1293" width="12.28515625" style="140" customWidth="1"/>
    <col min="1294" max="1296" width="12.85546875" style="140" customWidth="1"/>
    <col min="1297" max="1297" width="12.7109375" style="140" customWidth="1"/>
    <col min="1298" max="1298" width="12.28515625" style="140" bestFit="1" customWidth="1"/>
    <col min="1299" max="1299" width="13.140625" style="140" customWidth="1"/>
    <col min="1300" max="1540" width="9.140625" style="140"/>
    <col min="1541" max="1541" width="2.7109375" style="140" customWidth="1"/>
    <col min="1542" max="1542" width="9.140625" style="140"/>
    <col min="1543" max="1543" width="40.28515625" style="140" bestFit="1" customWidth="1"/>
    <col min="1544" max="1544" width="12" style="140" customWidth="1"/>
    <col min="1545" max="1545" width="10" style="140" customWidth="1"/>
    <col min="1546" max="1546" width="14.85546875" style="140" customWidth="1"/>
    <col min="1547" max="1547" width="9.5703125" style="140" customWidth="1"/>
    <col min="1548" max="1549" width="12.28515625" style="140" customWidth="1"/>
    <col min="1550" max="1552" width="12.85546875" style="140" customWidth="1"/>
    <col min="1553" max="1553" width="12.7109375" style="140" customWidth="1"/>
    <col min="1554" max="1554" width="12.28515625" style="140" bestFit="1" customWidth="1"/>
    <col min="1555" max="1555" width="13.140625" style="140" customWidth="1"/>
    <col min="1556" max="1796" width="9.140625" style="140"/>
    <col min="1797" max="1797" width="2.7109375" style="140" customWidth="1"/>
    <col min="1798" max="1798" width="9.140625" style="140"/>
    <col min="1799" max="1799" width="40.28515625" style="140" bestFit="1" customWidth="1"/>
    <col min="1800" max="1800" width="12" style="140" customWidth="1"/>
    <col min="1801" max="1801" width="10" style="140" customWidth="1"/>
    <col min="1802" max="1802" width="14.85546875" style="140" customWidth="1"/>
    <col min="1803" max="1803" width="9.5703125" style="140" customWidth="1"/>
    <col min="1804" max="1805" width="12.28515625" style="140" customWidth="1"/>
    <col min="1806" max="1808" width="12.85546875" style="140" customWidth="1"/>
    <col min="1809" max="1809" width="12.7109375" style="140" customWidth="1"/>
    <col min="1810" max="1810" width="12.28515625" style="140" bestFit="1" customWidth="1"/>
    <col min="1811" max="1811" width="13.140625" style="140" customWidth="1"/>
    <col min="1812" max="2052" width="9.140625" style="140"/>
    <col min="2053" max="2053" width="2.7109375" style="140" customWidth="1"/>
    <col min="2054" max="2054" width="9.140625" style="140"/>
    <col min="2055" max="2055" width="40.28515625" style="140" bestFit="1" customWidth="1"/>
    <col min="2056" max="2056" width="12" style="140" customWidth="1"/>
    <col min="2057" max="2057" width="10" style="140" customWidth="1"/>
    <col min="2058" max="2058" width="14.85546875" style="140" customWidth="1"/>
    <col min="2059" max="2059" width="9.5703125" style="140" customWidth="1"/>
    <col min="2060" max="2061" width="12.28515625" style="140" customWidth="1"/>
    <col min="2062" max="2064" width="12.85546875" style="140" customWidth="1"/>
    <col min="2065" max="2065" width="12.7109375" style="140" customWidth="1"/>
    <col min="2066" max="2066" width="12.28515625" style="140" bestFit="1" customWidth="1"/>
    <col min="2067" max="2067" width="13.140625" style="140" customWidth="1"/>
    <col min="2068" max="2308" width="9.140625" style="140"/>
    <col min="2309" max="2309" width="2.7109375" style="140" customWidth="1"/>
    <col min="2310" max="2310" width="9.140625" style="140"/>
    <col min="2311" max="2311" width="40.28515625" style="140" bestFit="1" customWidth="1"/>
    <col min="2312" max="2312" width="12" style="140" customWidth="1"/>
    <col min="2313" max="2313" width="10" style="140" customWidth="1"/>
    <col min="2314" max="2314" width="14.85546875" style="140" customWidth="1"/>
    <col min="2315" max="2315" width="9.5703125" style="140" customWidth="1"/>
    <col min="2316" max="2317" width="12.28515625" style="140" customWidth="1"/>
    <col min="2318" max="2320" width="12.85546875" style="140" customWidth="1"/>
    <col min="2321" max="2321" width="12.7109375" style="140" customWidth="1"/>
    <col min="2322" max="2322" width="12.28515625" style="140" bestFit="1" customWidth="1"/>
    <col min="2323" max="2323" width="13.140625" style="140" customWidth="1"/>
    <col min="2324" max="2564" width="9.140625" style="140"/>
    <col min="2565" max="2565" width="2.7109375" style="140" customWidth="1"/>
    <col min="2566" max="2566" width="9.140625" style="140"/>
    <col min="2567" max="2567" width="40.28515625" style="140" bestFit="1" customWidth="1"/>
    <col min="2568" max="2568" width="12" style="140" customWidth="1"/>
    <col min="2569" max="2569" width="10" style="140" customWidth="1"/>
    <col min="2570" max="2570" width="14.85546875" style="140" customWidth="1"/>
    <col min="2571" max="2571" width="9.5703125" style="140" customWidth="1"/>
    <col min="2572" max="2573" width="12.28515625" style="140" customWidth="1"/>
    <col min="2574" max="2576" width="12.85546875" style="140" customWidth="1"/>
    <col min="2577" max="2577" width="12.7109375" style="140" customWidth="1"/>
    <col min="2578" max="2578" width="12.28515625" style="140" bestFit="1" customWidth="1"/>
    <col min="2579" max="2579" width="13.140625" style="140" customWidth="1"/>
    <col min="2580" max="2820" width="9.140625" style="140"/>
    <col min="2821" max="2821" width="2.7109375" style="140" customWidth="1"/>
    <col min="2822" max="2822" width="9.140625" style="140"/>
    <col min="2823" max="2823" width="40.28515625" style="140" bestFit="1" customWidth="1"/>
    <col min="2824" max="2824" width="12" style="140" customWidth="1"/>
    <col min="2825" max="2825" width="10" style="140" customWidth="1"/>
    <col min="2826" max="2826" width="14.85546875" style="140" customWidth="1"/>
    <col min="2827" max="2827" width="9.5703125" style="140" customWidth="1"/>
    <col min="2828" max="2829" width="12.28515625" style="140" customWidth="1"/>
    <col min="2830" max="2832" width="12.85546875" style="140" customWidth="1"/>
    <col min="2833" max="2833" width="12.7109375" style="140" customWidth="1"/>
    <col min="2834" max="2834" width="12.28515625" style="140" bestFit="1" customWidth="1"/>
    <col min="2835" max="2835" width="13.140625" style="140" customWidth="1"/>
    <col min="2836" max="3076" width="9.140625" style="140"/>
    <col min="3077" max="3077" width="2.7109375" style="140" customWidth="1"/>
    <col min="3078" max="3078" width="9.140625" style="140"/>
    <col min="3079" max="3079" width="40.28515625" style="140" bestFit="1" customWidth="1"/>
    <col min="3080" max="3080" width="12" style="140" customWidth="1"/>
    <col min="3081" max="3081" width="10" style="140" customWidth="1"/>
    <col min="3082" max="3082" width="14.85546875" style="140" customWidth="1"/>
    <col min="3083" max="3083" width="9.5703125" style="140" customWidth="1"/>
    <col min="3084" max="3085" width="12.28515625" style="140" customWidth="1"/>
    <col min="3086" max="3088" width="12.85546875" style="140" customWidth="1"/>
    <col min="3089" max="3089" width="12.7109375" style="140" customWidth="1"/>
    <col min="3090" max="3090" width="12.28515625" style="140" bestFit="1" customWidth="1"/>
    <col min="3091" max="3091" width="13.140625" style="140" customWidth="1"/>
    <col min="3092" max="3332" width="9.140625" style="140"/>
    <col min="3333" max="3333" width="2.7109375" style="140" customWidth="1"/>
    <col min="3334" max="3334" width="9.140625" style="140"/>
    <col min="3335" max="3335" width="40.28515625" style="140" bestFit="1" customWidth="1"/>
    <col min="3336" max="3336" width="12" style="140" customWidth="1"/>
    <col min="3337" max="3337" width="10" style="140" customWidth="1"/>
    <col min="3338" max="3338" width="14.85546875" style="140" customWidth="1"/>
    <col min="3339" max="3339" width="9.5703125" style="140" customWidth="1"/>
    <col min="3340" max="3341" width="12.28515625" style="140" customWidth="1"/>
    <col min="3342" max="3344" width="12.85546875" style="140" customWidth="1"/>
    <col min="3345" max="3345" width="12.7109375" style="140" customWidth="1"/>
    <col min="3346" max="3346" width="12.28515625" style="140" bestFit="1" customWidth="1"/>
    <col min="3347" max="3347" width="13.140625" style="140" customWidth="1"/>
    <col min="3348" max="3588" width="9.140625" style="140"/>
    <col min="3589" max="3589" width="2.7109375" style="140" customWidth="1"/>
    <col min="3590" max="3590" width="9.140625" style="140"/>
    <col min="3591" max="3591" width="40.28515625" style="140" bestFit="1" customWidth="1"/>
    <col min="3592" max="3592" width="12" style="140" customWidth="1"/>
    <col min="3593" max="3593" width="10" style="140" customWidth="1"/>
    <col min="3594" max="3594" width="14.85546875" style="140" customWidth="1"/>
    <col min="3595" max="3595" width="9.5703125" style="140" customWidth="1"/>
    <col min="3596" max="3597" width="12.28515625" style="140" customWidth="1"/>
    <col min="3598" max="3600" width="12.85546875" style="140" customWidth="1"/>
    <col min="3601" max="3601" width="12.7109375" style="140" customWidth="1"/>
    <col min="3602" max="3602" width="12.28515625" style="140" bestFit="1" customWidth="1"/>
    <col min="3603" max="3603" width="13.140625" style="140" customWidth="1"/>
    <col min="3604" max="3844" width="9.140625" style="140"/>
    <col min="3845" max="3845" width="2.7109375" style="140" customWidth="1"/>
    <col min="3846" max="3846" width="9.140625" style="140"/>
    <col min="3847" max="3847" width="40.28515625" style="140" bestFit="1" customWidth="1"/>
    <col min="3848" max="3848" width="12" style="140" customWidth="1"/>
    <col min="3849" max="3849" width="10" style="140" customWidth="1"/>
    <col min="3850" max="3850" width="14.85546875" style="140" customWidth="1"/>
    <col min="3851" max="3851" width="9.5703125" style="140" customWidth="1"/>
    <col min="3852" max="3853" width="12.28515625" style="140" customWidth="1"/>
    <col min="3854" max="3856" width="12.85546875" style="140" customWidth="1"/>
    <col min="3857" max="3857" width="12.7109375" style="140" customWidth="1"/>
    <col min="3858" max="3858" width="12.28515625" style="140" bestFit="1" customWidth="1"/>
    <col min="3859" max="3859" width="13.140625" style="140" customWidth="1"/>
    <col min="3860" max="4100" width="9.140625" style="140"/>
    <col min="4101" max="4101" width="2.7109375" style="140" customWidth="1"/>
    <col min="4102" max="4102" width="9.140625" style="140"/>
    <col min="4103" max="4103" width="40.28515625" style="140" bestFit="1" customWidth="1"/>
    <col min="4104" max="4104" width="12" style="140" customWidth="1"/>
    <col min="4105" max="4105" width="10" style="140" customWidth="1"/>
    <col min="4106" max="4106" width="14.85546875" style="140" customWidth="1"/>
    <col min="4107" max="4107" width="9.5703125" style="140" customWidth="1"/>
    <col min="4108" max="4109" width="12.28515625" style="140" customWidth="1"/>
    <col min="4110" max="4112" width="12.85546875" style="140" customWidth="1"/>
    <col min="4113" max="4113" width="12.7109375" style="140" customWidth="1"/>
    <col min="4114" max="4114" width="12.28515625" style="140" bestFit="1" customWidth="1"/>
    <col min="4115" max="4115" width="13.140625" style="140" customWidth="1"/>
    <col min="4116" max="4356" width="9.140625" style="140"/>
    <col min="4357" max="4357" width="2.7109375" style="140" customWidth="1"/>
    <col min="4358" max="4358" width="9.140625" style="140"/>
    <col min="4359" max="4359" width="40.28515625" style="140" bestFit="1" customWidth="1"/>
    <col min="4360" max="4360" width="12" style="140" customWidth="1"/>
    <col min="4361" max="4361" width="10" style="140" customWidth="1"/>
    <col min="4362" max="4362" width="14.85546875" style="140" customWidth="1"/>
    <col min="4363" max="4363" width="9.5703125" style="140" customWidth="1"/>
    <col min="4364" max="4365" width="12.28515625" style="140" customWidth="1"/>
    <col min="4366" max="4368" width="12.85546875" style="140" customWidth="1"/>
    <col min="4369" max="4369" width="12.7109375" style="140" customWidth="1"/>
    <col min="4370" max="4370" width="12.28515625" style="140" bestFit="1" customWidth="1"/>
    <col min="4371" max="4371" width="13.140625" style="140" customWidth="1"/>
    <col min="4372" max="4612" width="9.140625" style="140"/>
    <col min="4613" max="4613" width="2.7109375" style="140" customWidth="1"/>
    <col min="4614" max="4614" width="9.140625" style="140"/>
    <col min="4615" max="4615" width="40.28515625" style="140" bestFit="1" customWidth="1"/>
    <col min="4616" max="4616" width="12" style="140" customWidth="1"/>
    <col min="4617" max="4617" width="10" style="140" customWidth="1"/>
    <col min="4618" max="4618" width="14.85546875" style="140" customWidth="1"/>
    <col min="4619" max="4619" width="9.5703125" style="140" customWidth="1"/>
    <col min="4620" max="4621" width="12.28515625" style="140" customWidth="1"/>
    <col min="4622" max="4624" width="12.85546875" style="140" customWidth="1"/>
    <col min="4625" max="4625" width="12.7109375" style="140" customWidth="1"/>
    <col min="4626" max="4626" width="12.28515625" style="140" bestFit="1" customWidth="1"/>
    <col min="4627" max="4627" width="13.140625" style="140" customWidth="1"/>
    <col min="4628" max="4868" width="9.140625" style="140"/>
    <col min="4869" max="4869" width="2.7109375" style="140" customWidth="1"/>
    <col min="4870" max="4870" width="9.140625" style="140"/>
    <col min="4871" max="4871" width="40.28515625" style="140" bestFit="1" customWidth="1"/>
    <col min="4872" max="4872" width="12" style="140" customWidth="1"/>
    <col min="4873" max="4873" width="10" style="140" customWidth="1"/>
    <col min="4874" max="4874" width="14.85546875" style="140" customWidth="1"/>
    <col min="4875" max="4875" width="9.5703125" style="140" customWidth="1"/>
    <col min="4876" max="4877" width="12.28515625" style="140" customWidth="1"/>
    <col min="4878" max="4880" width="12.85546875" style="140" customWidth="1"/>
    <col min="4881" max="4881" width="12.7109375" style="140" customWidth="1"/>
    <col min="4882" max="4882" width="12.28515625" style="140" bestFit="1" customWidth="1"/>
    <col min="4883" max="4883" width="13.140625" style="140" customWidth="1"/>
    <col min="4884" max="5124" width="9.140625" style="140"/>
    <col min="5125" max="5125" width="2.7109375" style="140" customWidth="1"/>
    <col min="5126" max="5126" width="9.140625" style="140"/>
    <col min="5127" max="5127" width="40.28515625" style="140" bestFit="1" customWidth="1"/>
    <col min="5128" max="5128" width="12" style="140" customWidth="1"/>
    <col min="5129" max="5129" width="10" style="140" customWidth="1"/>
    <col min="5130" max="5130" width="14.85546875" style="140" customWidth="1"/>
    <col min="5131" max="5131" width="9.5703125" style="140" customWidth="1"/>
    <col min="5132" max="5133" width="12.28515625" style="140" customWidth="1"/>
    <col min="5134" max="5136" width="12.85546875" style="140" customWidth="1"/>
    <col min="5137" max="5137" width="12.7109375" style="140" customWidth="1"/>
    <col min="5138" max="5138" width="12.28515625" style="140" bestFit="1" customWidth="1"/>
    <col min="5139" max="5139" width="13.140625" style="140" customWidth="1"/>
    <col min="5140" max="5380" width="9.140625" style="140"/>
    <col min="5381" max="5381" width="2.7109375" style="140" customWidth="1"/>
    <col min="5382" max="5382" width="9.140625" style="140"/>
    <col min="5383" max="5383" width="40.28515625" style="140" bestFit="1" customWidth="1"/>
    <col min="5384" max="5384" width="12" style="140" customWidth="1"/>
    <col min="5385" max="5385" width="10" style="140" customWidth="1"/>
    <col min="5386" max="5386" width="14.85546875" style="140" customWidth="1"/>
    <col min="5387" max="5387" width="9.5703125" style="140" customWidth="1"/>
    <col min="5388" max="5389" width="12.28515625" style="140" customWidth="1"/>
    <col min="5390" max="5392" width="12.85546875" style="140" customWidth="1"/>
    <col min="5393" max="5393" width="12.7109375" style="140" customWidth="1"/>
    <col min="5394" max="5394" width="12.28515625" style="140" bestFit="1" customWidth="1"/>
    <col min="5395" max="5395" width="13.140625" style="140" customWidth="1"/>
    <col min="5396" max="5636" width="9.140625" style="140"/>
    <col min="5637" max="5637" width="2.7109375" style="140" customWidth="1"/>
    <col min="5638" max="5638" width="9.140625" style="140"/>
    <col min="5639" max="5639" width="40.28515625" style="140" bestFit="1" customWidth="1"/>
    <col min="5640" max="5640" width="12" style="140" customWidth="1"/>
    <col min="5641" max="5641" width="10" style="140" customWidth="1"/>
    <col min="5642" max="5642" width="14.85546875" style="140" customWidth="1"/>
    <col min="5643" max="5643" width="9.5703125" style="140" customWidth="1"/>
    <col min="5644" max="5645" width="12.28515625" style="140" customWidth="1"/>
    <col min="5646" max="5648" width="12.85546875" style="140" customWidth="1"/>
    <col min="5649" max="5649" width="12.7109375" style="140" customWidth="1"/>
    <col min="5650" max="5650" width="12.28515625" style="140" bestFit="1" customWidth="1"/>
    <col min="5651" max="5651" width="13.140625" style="140" customWidth="1"/>
    <col min="5652" max="5892" width="9.140625" style="140"/>
    <col min="5893" max="5893" width="2.7109375" style="140" customWidth="1"/>
    <col min="5894" max="5894" width="9.140625" style="140"/>
    <col min="5895" max="5895" width="40.28515625" style="140" bestFit="1" customWidth="1"/>
    <col min="5896" max="5896" width="12" style="140" customWidth="1"/>
    <col min="5897" max="5897" width="10" style="140" customWidth="1"/>
    <col min="5898" max="5898" width="14.85546875" style="140" customWidth="1"/>
    <col min="5899" max="5899" width="9.5703125" style="140" customWidth="1"/>
    <col min="5900" max="5901" width="12.28515625" style="140" customWidth="1"/>
    <col min="5902" max="5904" width="12.85546875" style="140" customWidth="1"/>
    <col min="5905" max="5905" width="12.7109375" style="140" customWidth="1"/>
    <col min="5906" max="5906" width="12.28515625" style="140" bestFit="1" customWidth="1"/>
    <col min="5907" max="5907" width="13.140625" style="140" customWidth="1"/>
    <col min="5908" max="6148" width="9.140625" style="140"/>
    <col min="6149" max="6149" width="2.7109375" style="140" customWidth="1"/>
    <col min="6150" max="6150" width="9.140625" style="140"/>
    <col min="6151" max="6151" width="40.28515625" style="140" bestFit="1" customWidth="1"/>
    <col min="6152" max="6152" width="12" style="140" customWidth="1"/>
    <col min="6153" max="6153" width="10" style="140" customWidth="1"/>
    <col min="6154" max="6154" width="14.85546875" style="140" customWidth="1"/>
    <col min="6155" max="6155" width="9.5703125" style="140" customWidth="1"/>
    <col min="6156" max="6157" width="12.28515625" style="140" customWidth="1"/>
    <col min="6158" max="6160" width="12.85546875" style="140" customWidth="1"/>
    <col min="6161" max="6161" width="12.7109375" style="140" customWidth="1"/>
    <col min="6162" max="6162" width="12.28515625" style="140" bestFit="1" customWidth="1"/>
    <col min="6163" max="6163" width="13.140625" style="140" customWidth="1"/>
    <col min="6164" max="6404" width="9.140625" style="140"/>
    <col min="6405" max="6405" width="2.7109375" style="140" customWidth="1"/>
    <col min="6406" max="6406" width="9.140625" style="140"/>
    <col min="6407" max="6407" width="40.28515625" style="140" bestFit="1" customWidth="1"/>
    <col min="6408" max="6408" width="12" style="140" customWidth="1"/>
    <col min="6409" max="6409" width="10" style="140" customWidth="1"/>
    <col min="6410" max="6410" width="14.85546875" style="140" customWidth="1"/>
    <col min="6411" max="6411" width="9.5703125" style="140" customWidth="1"/>
    <col min="6412" max="6413" width="12.28515625" style="140" customWidth="1"/>
    <col min="6414" max="6416" width="12.85546875" style="140" customWidth="1"/>
    <col min="6417" max="6417" width="12.7109375" style="140" customWidth="1"/>
    <col min="6418" max="6418" width="12.28515625" style="140" bestFit="1" customWidth="1"/>
    <col min="6419" max="6419" width="13.140625" style="140" customWidth="1"/>
    <col min="6420" max="6660" width="9.140625" style="140"/>
    <col min="6661" max="6661" width="2.7109375" style="140" customWidth="1"/>
    <col min="6662" max="6662" width="9.140625" style="140"/>
    <col min="6663" max="6663" width="40.28515625" style="140" bestFit="1" customWidth="1"/>
    <col min="6664" max="6664" width="12" style="140" customWidth="1"/>
    <col min="6665" max="6665" width="10" style="140" customWidth="1"/>
    <col min="6666" max="6666" width="14.85546875" style="140" customWidth="1"/>
    <col min="6667" max="6667" width="9.5703125" style="140" customWidth="1"/>
    <col min="6668" max="6669" width="12.28515625" style="140" customWidth="1"/>
    <col min="6670" max="6672" width="12.85546875" style="140" customWidth="1"/>
    <col min="6673" max="6673" width="12.7109375" style="140" customWidth="1"/>
    <col min="6674" max="6674" width="12.28515625" style="140" bestFit="1" customWidth="1"/>
    <col min="6675" max="6675" width="13.140625" style="140" customWidth="1"/>
    <col min="6676" max="6916" width="9.140625" style="140"/>
    <col min="6917" max="6917" width="2.7109375" style="140" customWidth="1"/>
    <col min="6918" max="6918" width="9.140625" style="140"/>
    <col min="6919" max="6919" width="40.28515625" style="140" bestFit="1" customWidth="1"/>
    <col min="6920" max="6920" width="12" style="140" customWidth="1"/>
    <col min="6921" max="6921" width="10" style="140" customWidth="1"/>
    <col min="6922" max="6922" width="14.85546875" style="140" customWidth="1"/>
    <col min="6923" max="6923" width="9.5703125" style="140" customWidth="1"/>
    <col min="6924" max="6925" width="12.28515625" style="140" customWidth="1"/>
    <col min="6926" max="6928" width="12.85546875" style="140" customWidth="1"/>
    <col min="6929" max="6929" width="12.7109375" style="140" customWidth="1"/>
    <col min="6930" max="6930" width="12.28515625" style="140" bestFit="1" customWidth="1"/>
    <col min="6931" max="6931" width="13.140625" style="140" customWidth="1"/>
    <col min="6932" max="7172" width="9.140625" style="140"/>
    <col min="7173" max="7173" width="2.7109375" style="140" customWidth="1"/>
    <col min="7174" max="7174" width="9.140625" style="140"/>
    <col min="7175" max="7175" width="40.28515625" style="140" bestFit="1" customWidth="1"/>
    <col min="7176" max="7176" width="12" style="140" customWidth="1"/>
    <col min="7177" max="7177" width="10" style="140" customWidth="1"/>
    <col min="7178" max="7178" width="14.85546875" style="140" customWidth="1"/>
    <col min="7179" max="7179" width="9.5703125" style="140" customWidth="1"/>
    <col min="7180" max="7181" width="12.28515625" style="140" customWidth="1"/>
    <col min="7182" max="7184" width="12.85546875" style="140" customWidth="1"/>
    <col min="7185" max="7185" width="12.7109375" style="140" customWidth="1"/>
    <col min="7186" max="7186" width="12.28515625" style="140" bestFit="1" customWidth="1"/>
    <col min="7187" max="7187" width="13.140625" style="140" customWidth="1"/>
    <col min="7188" max="7428" width="9.140625" style="140"/>
    <col min="7429" max="7429" width="2.7109375" style="140" customWidth="1"/>
    <col min="7430" max="7430" width="9.140625" style="140"/>
    <col min="7431" max="7431" width="40.28515625" style="140" bestFit="1" customWidth="1"/>
    <col min="7432" max="7432" width="12" style="140" customWidth="1"/>
    <col min="7433" max="7433" width="10" style="140" customWidth="1"/>
    <col min="7434" max="7434" width="14.85546875" style="140" customWidth="1"/>
    <col min="7435" max="7435" width="9.5703125" style="140" customWidth="1"/>
    <col min="7436" max="7437" width="12.28515625" style="140" customWidth="1"/>
    <col min="7438" max="7440" width="12.85546875" style="140" customWidth="1"/>
    <col min="7441" max="7441" width="12.7109375" style="140" customWidth="1"/>
    <col min="7442" max="7442" width="12.28515625" style="140" bestFit="1" customWidth="1"/>
    <col min="7443" max="7443" width="13.140625" style="140" customWidth="1"/>
    <col min="7444" max="7684" width="9.140625" style="140"/>
    <col min="7685" max="7685" width="2.7109375" style="140" customWidth="1"/>
    <col min="7686" max="7686" width="9.140625" style="140"/>
    <col min="7687" max="7687" width="40.28515625" style="140" bestFit="1" customWidth="1"/>
    <col min="7688" max="7688" width="12" style="140" customWidth="1"/>
    <col min="7689" max="7689" width="10" style="140" customWidth="1"/>
    <col min="7690" max="7690" width="14.85546875" style="140" customWidth="1"/>
    <col min="7691" max="7691" width="9.5703125" style="140" customWidth="1"/>
    <col min="7692" max="7693" width="12.28515625" style="140" customWidth="1"/>
    <col min="7694" max="7696" width="12.85546875" style="140" customWidth="1"/>
    <col min="7697" max="7697" width="12.7109375" style="140" customWidth="1"/>
    <col min="7698" max="7698" width="12.28515625" style="140" bestFit="1" customWidth="1"/>
    <col min="7699" max="7699" width="13.140625" style="140" customWidth="1"/>
    <col min="7700" max="7940" width="9.140625" style="140"/>
    <col min="7941" max="7941" width="2.7109375" style="140" customWidth="1"/>
    <col min="7942" max="7942" width="9.140625" style="140"/>
    <col min="7943" max="7943" width="40.28515625" style="140" bestFit="1" customWidth="1"/>
    <col min="7944" max="7944" width="12" style="140" customWidth="1"/>
    <col min="7945" max="7945" width="10" style="140" customWidth="1"/>
    <col min="7946" max="7946" width="14.85546875" style="140" customWidth="1"/>
    <col min="7947" max="7947" width="9.5703125" style="140" customWidth="1"/>
    <col min="7948" max="7949" width="12.28515625" style="140" customWidth="1"/>
    <col min="7950" max="7952" width="12.85546875" style="140" customWidth="1"/>
    <col min="7953" max="7953" width="12.7109375" style="140" customWidth="1"/>
    <col min="7954" max="7954" width="12.28515625" style="140" bestFit="1" customWidth="1"/>
    <col min="7955" max="7955" width="13.140625" style="140" customWidth="1"/>
    <col min="7956" max="8196" width="9.140625" style="140"/>
    <col min="8197" max="8197" width="2.7109375" style="140" customWidth="1"/>
    <col min="8198" max="8198" width="9.140625" style="140"/>
    <col min="8199" max="8199" width="40.28515625" style="140" bestFit="1" customWidth="1"/>
    <col min="8200" max="8200" width="12" style="140" customWidth="1"/>
    <col min="8201" max="8201" width="10" style="140" customWidth="1"/>
    <col min="8202" max="8202" width="14.85546875" style="140" customWidth="1"/>
    <col min="8203" max="8203" width="9.5703125" style="140" customWidth="1"/>
    <col min="8204" max="8205" width="12.28515625" style="140" customWidth="1"/>
    <col min="8206" max="8208" width="12.85546875" style="140" customWidth="1"/>
    <col min="8209" max="8209" width="12.7109375" style="140" customWidth="1"/>
    <col min="8210" max="8210" width="12.28515625" style="140" bestFit="1" customWidth="1"/>
    <col min="8211" max="8211" width="13.140625" style="140" customWidth="1"/>
    <col min="8212" max="8452" width="9.140625" style="140"/>
    <col min="8453" max="8453" width="2.7109375" style="140" customWidth="1"/>
    <col min="8454" max="8454" width="9.140625" style="140"/>
    <col min="8455" max="8455" width="40.28515625" style="140" bestFit="1" customWidth="1"/>
    <col min="8456" max="8456" width="12" style="140" customWidth="1"/>
    <col min="8457" max="8457" width="10" style="140" customWidth="1"/>
    <col min="8458" max="8458" width="14.85546875" style="140" customWidth="1"/>
    <col min="8459" max="8459" width="9.5703125" style="140" customWidth="1"/>
    <col min="8460" max="8461" width="12.28515625" style="140" customWidth="1"/>
    <col min="8462" max="8464" width="12.85546875" style="140" customWidth="1"/>
    <col min="8465" max="8465" width="12.7109375" style="140" customWidth="1"/>
    <col min="8466" max="8466" width="12.28515625" style="140" bestFit="1" customWidth="1"/>
    <col min="8467" max="8467" width="13.140625" style="140" customWidth="1"/>
    <col min="8468" max="8708" width="9.140625" style="140"/>
    <col min="8709" max="8709" width="2.7109375" style="140" customWidth="1"/>
    <col min="8710" max="8710" width="9.140625" style="140"/>
    <col min="8711" max="8711" width="40.28515625" style="140" bestFit="1" customWidth="1"/>
    <col min="8712" max="8712" width="12" style="140" customWidth="1"/>
    <col min="8713" max="8713" width="10" style="140" customWidth="1"/>
    <col min="8714" max="8714" width="14.85546875" style="140" customWidth="1"/>
    <col min="8715" max="8715" width="9.5703125" style="140" customWidth="1"/>
    <col min="8716" max="8717" width="12.28515625" style="140" customWidth="1"/>
    <col min="8718" max="8720" width="12.85546875" style="140" customWidth="1"/>
    <col min="8721" max="8721" width="12.7109375" style="140" customWidth="1"/>
    <col min="8722" max="8722" width="12.28515625" style="140" bestFit="1" customWidth="1"/>
    <col min="8723" max="8723" width="13.140625" style="140" customWidth="1"/>
    <col min="8724" max="8964" width="9.140625" style="140"/>
    <col min="8965" max="8965" width="2.7109375" style="140" customWidth="1"/>
    <col min="8966" max="8966" width="9.140625" style="140"/>
    <col min="8967" max="8967" width="40.28515625" style="140" bestFit="1" customWidth="1"/>
    <col min="8968" max="8968" width="12" style="140" customWidth="1"/>
    <col min="8969" max="8969" width="10" style="140" customWidth="1"/>
    <col min="8970" max="8970" width="14.85546875" style="140" customWidth="1"/>
    <col min="8971" max="8971" width="9.5703125" style="140" customWidth="1"/>
    <col min="8972" max="8973" width="12.28515625" style="140" customWidth="1"/>
    <col min="8974" max="8976" width="12.85546875" style="140" customWidth="1"/>
    <col min="8977" max="8977" width="12.7109375" style="140" customWidth="1"/>
    <col min="8978" max="8978" width="12.28515625" style="140" bestFit="1" customWidth="1"/>
    <col min="8979" max="8979" width="13.140625" style="140" customWidth="1"/>
    <col min="8980" max="9220" width="9.140625" style="140"/>
    <col min="9221" max="9221" width="2.7109375" style="140" customWidth="1"/>
    <col min="9222" max="9222" width="9.140625" style="140"/>
    <col min="9223" max="9223" width="40.28515625" style="140" bestFit="1" customWidth="1"/>
    <col min="9224" max="9224" width="12" style="140" customWidth="1"/>
    <col min="9225" max="9225" width="10" style="140" customWidth="1"/>
    <col min="9226" max="9226" width="14.85546875" style="140" customWidth="1"/>
    <col min="9227" max="9227" width="9.5703125" style="140" customWidth="1"/>
    <col min="9228" max="9229" width="12.28515625" style="140" customWidth="1"/>
    <col min="9230" max="9232" width="12.85546875" style="140" customWidth="1"/>
    <col min="9233" max="9233" width="12.7109375" style="140" customWidth="1"/>
    <col min="9234" max="9234" width="12.28515625" style="140" bestFit="1" customWidth="1"/>
    <col min="9235" max="9235" width="13.140625" style="140" customWidth="1"/>
    <col min="9236" max="9476" width="9.140625" style="140"/>
    <col min="9477" max="9477" width="2.7109375" style="140" customWidth="1"/>
    <col min="9478" max="9478" width="9.140625" style="140"/>
    <col min="9479" max="9479" width="40.28515625" style="140" bestFit="1" customWidth="1"/>
    <col min="9480" max="9480" width="12" style="140" customWidth="1"/>
    <col min="9481" max="9481" width="10" style="140" customWidth="1"/>
    <col min="9482" max="9482" width="14.85546875" style="140" customWidth="1"/>
    <col min="9483" max="9483" width="9.5703125" style="140" customWidth="1"/>
    <col min="9484" max="9485" width="12.28515625" style="140" customWidth="1"/>
    <col min="9486" max="9488" width="12.85546875" style="140" customWidth="1"/>
    <col min="9489" max="9489" width="12.7109375" style="140" customWidth="1"/>
    <col min="9490" max="9490" width="12.28515625" style="140" bestFit="1" customWidth="1"/>
    <col min="9491" max="9491" width="13.140625" style="140" customWidth="1"/>
    <col min="9492" max="9732" width="9.140625" style="140"/>
    <col min="9733" max="9733" width="2.7109375" style="140" customWidth="1"/>
    <col min="9734" max="9734" width="9.140625" style="140"/>
    <col min="9735" max="9735" width="40.28515625" style="140" bestFit="1" customWidth="1"/>
    <col min="9736" max="9736" width="12" style="140" customWidth="1"/>
    <col min="9737" max="9737" width="10" style="140" customWidth="1"/>
    <col min="9738" max="9738" width="14.85546875" style="140" customWidth="1"/>
    <col min="9739" max="9739" width="9.5703125" style="140" customWidth="1"/>
    <col min="9740" max="9741" width="12.28515625" style="140" customWidth="1"/>
    <col min="9742" max="9744" width="12.85546875" style="140" customWidth="1"/>
    <col min="9745" max="9745" width="12.7109375" style="140" customWidth="1"/>
    <col min="9746" max="9746" width="12.28515625" style="140" bestFit="1" customWidth="1"/>
    <col min="9747" max="9747" width="13.140625" style="140" customWidth="1"/>
    <col min="9748" max="9988" width="9.140625" style="140"/>
    <col min="9989" max="9989" width="2.7109375" style="140" customWidth="1"/>
    <col min="9990" max="9990" width="9.140625" style="140"/>
    <col min="9991" max="9991" width="40.28515625" style="140" bestFit="1" customWidth="1"/>
    <col min="9992" max="9992" width="12" style="140" customWidth="1"/>
    <col min="9993" max="9993" width="10" style="140" customWidth="1"/>
    <col min="9994" max="9994" width="14.85546875" style="140" customWidth="1"/>
    <col min="9995" max="9995" width="9.5703125" style="140" customWidth="1"/>
    <col min="9996" max="9997" width="12.28515625" style="140" customWidth="1"/>
    <col min="9998" max="10000" width="12.85546875" style="140" customWidth="1"/>
    <col min="10001" max="10001" width="12.7109375" style="140" customWidth="1"/>
    <col min="10002" max="10002" width="12.28515625" style="140" bestFit="1" customWidth="1"/>
    <col min="10003" max="10003" width="13.140625" style="140" customWidth="1"/>
    <col min="10004" max="10244" width="9.140625" style="140"/>
    <col min="10245" max="10245" width="2.7109375" style="140" customWidth="1"/>
    <col min="10246" max="10246" width="9.140625" style="140"/>
    <col min="10247" max="10247" width="40.28515625" style="140" bestFit="1" customWidth="1"/>
    <col min="10248" max="10248" width="12" style="140" customWidth="1"/>
    <col min="10249" max="10249" width="10" style="140" customWidth="1"/>
    <col min="10250" max="10250" width="14.85546875" style="140" customWidth="1"/>
    <col min="10251" max="10251" width="9.5703125" style="140" customWidth="1"/>
    <col min="10252" max="10253" width="12.28515625" style="140" customWidth="1"/>
    <col min="10254" max="10256" width="12.85546875" style="140" customWidth="1"/>
    <col min="10257" max="10257" width="12.7109375" style="140" customWidth="1"/>
    <col min="10258" max="10258" width="12.28515625" style="140" bestFit="1" customWidth="1"/>
    <col min="10259" max="10259" width="13.140625" style="140" customWidth="1"/>
    <col min="10260" max="10500" width="9.140625" style="140"/>
    <col min="10501" max="10501" width="2.7109375" style="140" customWidth="1"/>
    <col min="10502" max="10502" width="9.140625" style="140"/>
    <col min="10503" max="10503" width="40.28515625" style="140" bestFit="1" customWidth="1"/>
    <col min="10504" max="10504" width="12" style="140" customWidth="1"/>
    <col min="10505" max="10505" width="10" style="140" customWidth="1"/>
    <col min="10506" max="10506" width="14.85546875" style="140" customWidth="1"/>
    <col min="10507" max="10507" width="9.5703125" style="140" customWidth="1"/>
    <col min="10508" max="10509" width="12.28515625" style="140" customWidth="1"/>
    <col min="10510" max="10512" width="12.85546875" style="140" customWidth="1"/>
    <col min="10513" max="10513" width="12.7109375" style="140" customWidth="1"/>
    <col min="10514" max="10514" width="12.28515625" style="140" bestFit="1" customWidth="1"/>
    <col min="10515" max="10515" width="13.140625" style="140" customWidth="1"/>
    <col min="10516" max="10756" width="9.140625" style="140"/>
    <col min="10757" max="10757" width="2.7109375" style="140" customWidth="1"/>
    <col min="10758" max="10758" width="9.140625" style="140"/>
    <col min="10759" max="10759" width="40.28515625" style="140" bestFit="1" customWidth="1"/>
    <col min="10760" max="10760" width="12" style="140" customWidth="1"/>
    <col min="10761" max="10761" width="10" style="140" customWidth="1"/>
    <col min="10762" max="10762" width="14.85546875" style="140" customWidth="1"/>
    <col min="10763" max="10763" width="9.5703125" style="140" customWidth="1"/>
    <col min="10764" max="10765" width="12.28515625" style="140" customWidth="1"/>
    <col min="10766" max="10768" width="12.85546875" style="140" customWidth="1"/>
    <col min="10769" max="10769" width="12.7109375" style="140" customWidth="1"/>
    <col min="10770" max="10770" width="12.28515625" style="140" bestFit="1" customWidth="1"/>
    <col min="10771" max="10771" width="13.140625" style="140" customWidth="1"/>
    <col min="10772" max="11012" width="9.140625" style="140"/>
    <col min="11013" max="11013" width="2.7109375" style="140" customWidth="1"/>
    <col min="11014" max="11014" width="9.140625" style="140"/>
    <col min="11015" max="11015" width="40.28515625" style="140" bestFit="1" customWidth="1"/>
    <col min="11016" max="11016" width="12" style="140" customWidth="1"/>
    <col min="11017" max="11017" width="10" style="140" customWidth="1"/>
    <col min="11018" max="11018" width="14.85546875" style="140" customWidth="1"/>
    <col min="11019" max="11019" width="9.5703125" style="140" customWidth="1"/>
    <col min="11020" max="11021" width="12.28515625" style="140" customWidth="1"/>
    <col min="11022" max="11024" width="12.85546875" style="140" customWidth="1"/>
    <col min="11025" max="11025" width="12.7109375" style="140" customWidth="1"/>
    <col min="11026" max="11026" width="12.28515625" style="140" bestFit="1" customWidth="1"/>
    <col min="11027" max="11027" width="13.140625" style="140" customWidth="1"/>
    <col min="11028" max="11268" width="9.140625" style="140"/>
    <col min="11269" max="11269" width="2.7109375" style="140" customWidth="1"/>
    <col min="11270" max="11270" width="9.140625" style="140"/>
    <col min="11271" max="11271" width="40.28515625" style="140" bestFit="1" customWidth="1"/>
    <col min="11272" max="11272" width="12" style="140" customWidth="1"/>
    <col min="11273" max="11273" width="10" style="140" customWidth="1"/>
    <col min="11274" max="11274" width="14.85546875" style="140" customWidth="1"/>
    <col min="11275" max="11275" width="9.5703125" style="140" customWidth="1"/>
    <col min="11276" max="11277" width="12.28515625" style="140" customWidth="1"/>
    <col min="11278" max="11280" width="12.85546875" style="140" customWidth="1"/>
    <col min="11281" max="11281" width="12.7109375" style="140" customWidth="1"/>
    <col min="11282" max="11282" width="12.28515625" style="140" bestFit="1" customWidth="1"/>
    <col min="11283" max="11283" width="13.140625" style="140" customWidth="1"/>
    <col min="11284" max="11524" width="9.140625" style="140"/>
    <col min="11525" max="11525" width="2.7109375" style="140" customWidth="1"/>
    <col min="11526" max="11526" width="9.140625" style="140"/>
    <col min="11527" max="11527" width="40.28515625" style="140" bestFit="1" customWidth="1"/>
    <col min="11528" max="11528" width="12" style="140" customWidth="1"/>
    <col min="11529" max="11529" width="10" style="140" customWidth="1"/>
    <col min="11530" max="11530" width="14.85546875" style="140" customWidth="1"/>
    <col min="11531" max="11531" width="9.5703125" style="140" customWidth="1"/>
    <col min="11532" max="11533" width="12.28515625" style="140" customWidth="1"/>
    <col min="11534" max="11536" width="12.85546875" style="140" customWidth="1"/>
    <col min="11537" max="11537" width="12.7109375" style="140" customWidth="1"/>
    <col min="11538" max="11538" width="12.28515625" style="140" bestFit="1" customWidth="1"/>
    <col min="11539" max="11539" width="13.140625" style="140" customWidth="1"/>
    <col min="11540" max="11780" width="9.140625" style="140"/>
    <col min="11781" max="11781" width="2.7109375" style="140" customWidth="1"/>
    <col min="11782" max="11782" width="9.140625" style="140"/>
    <col min="11783" max="11783" width="40.28515625" style="140" bestFit="1" customWidth="1"/>
    <col min="11784" max="11784" width="12" style="140" customWidth="1"/>
    <col min="11785" max="11785" width="10" style="140" customWidth="1"/>
    <col min="11786" max="11786" width="14.85546875" style="140" customWidth="1"/>
    <col min="11787" max="11787" width="9.5703125" style="140" customWidth="1"/>
    <col min="11788" max="11789" width="12.28515625" style="140" customWidth="1"/>
    <col min="11790" max="11792" width="12.85546875" style="140" customWidth="1"/>
    <col min="11793" max="11793" width="12.7109375" style="140" customWidth="1"/>
    <col min="11794" max="11794" width="12.28515625" style="140" bestFit="1" customWidth="1"/>
    <col min="11795" max="11795" width="13.140625" style="140" customWidth="1"/>
    <col min="11796" max="12036" width="9.140625" style="140"/>
    <col min="12037" max="12037" width="2.7109375" style="140" customWidth="1"/>
    <col min="12038" max="12038" width="9.140625" style="140"/>
    <col min="12039" max="12039" width="40.28515625" style="140" bestFit="1" customWidth="1"/>
    <col min="12040" max="12040" width="12" style="140" customWidth="1"/>
    <col min="12041" max="12041" width="10" style="140" customWidth="1"/>
    <col min="12042" max="12042" width="14.85546875" style="140" customWidth="1"/>
    <col min="12043" max="12043" width="9.5703125" style="140" customWidth="1"/>
    <col min="12044" max="12045" width="12.28515625" style="140" customWidth="1"/>
    <col min="12046" max="12048" width="12.85546875" style="140" customWidth="1"/>
    <col min="12049" max="12049" width="12.7109375" style="140" customWidth="1"/>
    <col min="12050" max="12050" width="12.28515625" style="140" bestFit="1" customWidth="1"/>
    <col min="12051" max="12051" width="13.140625" style="140" customWidth="1"/>
    <col min="12052" max="12292" width="9.140625" style="140"/>
    <col min="12293" max="12293" width="2.7109375" style="140" customWidth="1"/>
    <col min="12294" max="12294" width="9.140625" style="140"/>
    <col min="12295" max="12295" width="40.28515625" style="140" bestFit="1" customWidth="1"/>
    <col min="12296" max="12296" width="12" style="140" customWidth="1"/>
    <col min="12297" max="12297" width="10" style="140" customWidth="1"/>
    <col min="12298" max="12298" width="14.85546875" style="140" customWidth="1"/>
    <col min="12299" max="12299" width="9.5703125" style="140" customWidth="1"/>
    <col min="12300" max="12301" width="12.28515625" style="140" customWidth="1"/>
    <col min="12302" max="12304" width="12.85546875" style="140" customWidth="1"/>
    <col min="12305" max="12305" width="12.7109375" style="140" customWidth="1"/>
    <col min="12306" max="12306" width="12.28515625" style="140" bestFit="1" customWidth="1"/>
    <col min="12307" max="12307" width="13.140625" style="140" customWidth="1"/>
    <col min="12308" max="12548" width="9.140625" style="140"/>
    <col min="12549" max="12549" width="2.7109375" style="140" customWidth="1"/>
    <col min="12550" max="12550" width="9.140625" style="140"/>
    <col min="12551" max="12551" width="40.28515625" style="140" bestFit="1" customWidth="1"/>
    <col min="12552" max="12552" width="12" style="140" customWidth="1"/>
    <col min="12553" max="12553" width="10" style="140" customWidth="1"/>
    <col min="12554" max="12554" width="14.85546875" style="140" customWidth="1"/>
    <col min="12555" max="12555" width="9.5703125" style="140" customWidth="1"/>
    <col min="12556" max="12557" width="12.28515625" style="140" customWidth="1"/>
    <col min="12558" max="12560" width="12.85546875" style="140" customWidth="1"/>
    <col min="12561" max="12561" width="12.7109375" style="140" customWidth="1"/>
    <col min="12562" max="12562" width="12.28515625" style="140" bestFit="1" customWidth="1"/>
    <col min="12563" max="12563" width="13.140625" style="140" customWidth="1"/>
    <col min="12564" max="12804" width="9.140625" style="140"/>
    <col min="12805" max="12805" width="2.7109375" style="140" customWidth="1"/>
    <col min="12806" max="12806" width="9.140625" style="140"/>
    <col min="12807" max="12807" width="40.28515625" style="140" bestFit="1" customWidth="1"/>
    <col min="12808" max="12808" width="12" style="140" customWidth="1"/>
    <col min="12809" max="12809" width="10" style="140" customWidth="1"/>
    <col min="12810" max="12810" width="14.85546875" style="140" customWidth="1"/>
    <col min="12811" max="12811" width="9.5703125" style="140" customWidth="1"/>
    <col min="12812" max="12813" width="12.28515625" style="140" customWidth="1"/>
    <col min="12814" max="12816" width="12.85546875" style="140" customWidth="1"/>
    <col min="12817" max="12817" width="12.7109375" style="140" customWidth="1"/>
    <col min="12818" max="12818" width="12.28515625" style="140" bestFit="1" customWidth="1"/>
    <col min="12819" max="12819" width="13.140625" style="140" customWidth="1"/>
    <col min="12820" max="13060" width="9.140625" style="140"/>
    <col min="13061" max="13061" width="2.7109375" style="140" customWidth="1"/>
    <col min="13062" max="13062" width="9.140625" style="140"/>
    <col min="13063" max="13063" width="40.28515625" style="140" bestFit="1" customWidth="1"/>
    <col min="13064" max="13064" width="12" style="140" customWidth="1"/>
    <col min="13065" max="13065" width="10" style="140" customWidth="1"/>
    <col min="13066" max="13066" width="14.85546875" style="140" customWidth="1"/>
    <col min="13067" max="13067" width="9.5703125" style="140" customWidth="1"/>
    <col min="13068" max="13069" width="12.28515625" style="140" customWidth="1"/>
    <col min="13070" max="13072" width="12.85546875" style="140" customWidth="1"/>
    <col min="13073" max="13073" width="12.7109375" style="140" customWidth="1"/>
    <col min="13074" max="13074" width="12.28515625" style="140" bestFit="1" customWidth="1"/>
    <col min="13075" max="13075" width="13.140625" style="140" customWidth="1"/>
    <col min="13076" max="13316" width="9.140625" style="140"/>
    <col min="13317" max="13317" width="2.7109375" style="140" customWidth="1"/>
    <col min="13318" max="13318" width="9.140625" style="140"/>
    <col min="13319" max="13319" width="40.28515625" style="140" bestFit="1" customWidth="1"/>
    <col min="13320" max="13320" width="12" style="140" customWidth="1"/>
    <col min="13321" max="13321" width="10" style="140" customWidth="1"/>
    <col min="13322" max="13322" width="14.85546875" style="140" customWidth="1"/>
    <col min="13323" max="13323" width="9.5703125" style="140" customWidth="1"/>
    <col min="13324" max="13325" width="12.28515625" style="140" customWidth="1"/>
    <col min="13326" max="13328" width="12.85546875" style="140" customWidth="1"/>
    <col min="13329" max="13329" width="12.7109375" style="140" customWidth="1"/>
    <col min="13330" max="13330" width="12.28515625" style="140" bestFit="1" customWidth="1"/>
    <col min="13331" max="13331" width="13.140625" style="140" customWidth="1"/>
    <col min="13332" max="13572" width="9.140625" style="140"/>
    <col min="13573" max="13573" width="2.7109375" style="140" customWidth="1"/>
    <col min="13574" max="13574" width="9.140625" style="140"/>
    <col min="13575" max="13575" width="40.28515625" style="140" bestFit="1" customWidth="1"/>
    <col min="13576" max="13576" width="12" style="140" customWidth="1"/>
    <col min="13577" max="13577" width="10" style="140" customWidth="1"/>
    <col min="13578" max="13578" width="14.85546875" style="140" customWidth="1"/>
    <col min="13579" max="13579" width="9.5703125" style="140" customWidth="1"/>
    <col min="13580" max="13581" width="12.28515625" style="140" customWidth="1"/>
    <col min="13582" max="13584" width="12.85546875" style="140" customWidth="1"/>
    <col min="13585" max="13585" width="12.7109375" style="140" customWidth="1"/>
    <col min="13586" max="13586" width="12.28515625" style="140" bestFit="1" customWidth="1"/>
    <col min="13587" max="13587" width="13.140625" style="140" customWidth="1"/>
    <col min="13588" max="13828" width="9.140625" style="140"/>
    <col min="13829" max="13829" width="2.7109375" style="140" customWidth="1"/>
    <col min="13830" max="13830" width="9.140625" style="140"/>
    <col min="13831" max="13831" width="40.28515625" style="140" bestFit="1" customWidth="1"/>
    <col min="13832" max="13832" width="12" style="140" customWidth="1"/>
    <col min="13833" max="13833" width="10" style="140" customWidth="1"/>
    <col min="13834" max="13834" width="14.85546875" style="140" customWidth="1"/>
    <col min="13835" max="13835" width="9.5703125" style="140" customWidth="1"/>
    <col min="13836" max="13837" width="12.28515625" style="140" customWidth="1"/>
    <col min="13838" max="13840" width="12.85546875" style="140" customWidth="1"/>
    <col min="13841" max="13841" width="12.7109375" style="140" customWidth="1"/>
    <col min="13842" max="13842" width="12.28515625" style="140" bestFit="1" customWidth="1"/>
    <col min="13843" max="13843" width="13.140625" style="140" customWidth="1"/>
    <col min="13844" max="14084" width="9.140625" style="140"/>
    <col min="14085" max="14085" width="2.7109375" style="140" customWidth="1"/>
    <col min="14086" max="14086" width="9.140625" style="140"/>
    <col min="14087" max="14087" width="40.28515625" style="140" bestFit="1" customWidth="1"/>
    <col min="14088" max="14088" width="12" style="140" customWidth="1"/>
    <col min="14089" max="14089" width="10" style="140" customWidth="1"/>
    <col min="14090" max="14090" width="14.85546875" style="140" customWidth="1"/>
    <col min="14091" max="14091" width="9.5703125" style="140" customWidth="1"/>
    <col min="14092" max="14093" width="12.28515625" style="140" customWidth="1"/>
    <col min="14094" max="14096" width="12.85546875" style="140" customWidth="1"/>
    <col min="14097" max="14097" width="12.7109375" style="140" customWidth="1"/>
    <col min="14098" max="14098" width="12.28515625" style="140" bestFit="1" customWidth="1"/>
    <col min="14099" max="14099" width="13.140625" style="140" customWidth="1"/>
    <col min="14100" max="14340" width="9.140625" style="140"/>
    <col min="14341" max="14341" width="2.7109375" style="140" customWidth="1"/>
    <col min="14342" max="14342" width="9.140625" style="140"/>
    <col min="14343" max="14343" width="40.28515625" style="140" bestFit="1" customWidth="1"/>
    <col min="14344" max="14344" width="12" style="140" customWidth="1"/>
    <col min="14345" max="14345" width="10" style="140" customWidth="1"/>
    <col min="14346" max="14346" width="14.85546875" style="140" customWidth="1"/>
    <col min="14347" max="14347" width="9.5703125" style="140" customWidth="1"/>
    <col min="14348" max="14349" width="12.28515625" style="140" customWidth="1"/>
    <col min="14350" max="14352" width="12.85546875" style="140" customWidth="1"/>
    <col min="14353" max="14353" width="12.7109375" style="140" customWidth="1"/>
    <col min="14354" max="14354" width="12.28515625" style="140" bestFit="1" customWidth="1"/>
    <col min="14355" max="14355" width="13.140625" style="140" customWidth="1"/>
    <col min="14356" max="14596" width="9.140625" style="140"/>
    <col min="14597" max="14597" width="2.7109375" style="140" customWidth="1"/>
    <col min="14598" max="14598" width="9.140625" style="140"/>
    <col min="14599" max="14599" width="40.28515625" style="140" bestFit="1" customWidth="1"/>
    <col min="14600" max="14600" width="12" style="140" customWidth="1"/>
    <col min="14601" max="14601" width="10" style="140" customWidth="1"/>
    <col min="14602" max="14602" width="14.85546875" style="140" customWidth="1"/>
    <col min="14603" max="14603" width="9.5703125" style="140" customWidth="1"/>
    <col min="14604" max="14605" width="12.28515625" style="140" customWidth="1"/>
    <col min="14606" max="14608" width="12.85546875" style="140" customWidth="1"/>
    <col min="14609" max="14609" width="12.7109375" style="140" customWidth="1"/>
    <col min="14610" max="14610" width="12.28515625" style="140" bestFit="1" customWidth="1"/>
    <col min="14611" max="14611" width="13.140625" style="140" customWidth="1"/>
    <col min="14612" max="14852" width="9.140625" style="140"/>
    <col min="14853" max="14853" width="2.7109375" style="140" customWidth="1"/>
    <col min="14854" max="14854" width="9.140625" style="140"/>
    <col min="14855" max="14855" width="40.28515625" style="140" bestFit="1" customWidth="1"/>
    <col min="14856" max="14856" width="12" style="140" customWidth="1"/>
    <col min="14857" max="14857" width="10" style="140" customWidth="1"/>
    <col min="14858" max="14858" width="14.85546875" style="140" customWidth="1"/>
    <col min="14859" max="14859" width="9.5703125" style="140" customWidth="1"/>
    <col min="14860" max="14861" width="12.28515625" style="140" customWidth="1"/>
    <col min="14862" max="14864" width="12.85546875" style="140" customWidth="1"/>
    <col min="14865" max="14865" width="12.7109375" style="140" customWidth="1"/>
    <col min="14866" max="14866" width="12.28515625" style="140" bestFit="1" customWidth="1"/>
    <col min="14867" max="14867" width="13.140625" style="140" customWidth="1"/>
    <col min="14868" max="15108" width="9.140625" style="140"/>
    <col min="15109" max="15109" width="2.7109375" style="140" customWidth="1"/>
    <col min="15110" max="15110" width="9.140625" style="140"/>
    <col min="15111" max="15111" width="40.28515625" style="140" bestFit="1" customWidth="1"/>
    <col min="15112" max="15112" width="12" style="140" customWidth="1"/>
    <col min="15113" max="15113" width="10" style="140" customWidth="1"/>
    <col min="15114" max="15114" width="14.85546875" style="140" customWidth="1"/>
    <col min="15115" max="15115" width="9.5703125" style="140" customWidth="1"/>
    <col min="15116" max="15117" width="12.28515625" style="140" customWidth="1"/>
    <col min="15118" max="15120" width="12.85546875" style="140" customWidth="1"/>
    <col min="15121" max="15121" width="12.7109375" style="140" customWidth="1"/>
    <col min="15122" max="15122" width="12.28515625" style="140" bestFit="1" customWidth="1"/>
    <col min="15123" max="15123" width="13.140625" style="140" customWidth="1"/>
    <col min="15124" max="15364" width="9.140625" style="140"/>
    <col min="15365" max="15365" width="2.7109375" style="140" customWidth="1"/>
    <col min="15366" max="15366" width="9.140625" style="140"/>
    <col min="15367" max="15367" width="40.28515625" style="140" bestFit="1" customWidth="1"/>
    <col min="15368" max="15368" width="12" style="140" customWidth="1"/>
    <col min="15369" max="15369" width="10" style="140" customWidth="1"/>
    <col min="15370" max="15370" width="14.85546875" style="140" customWidth="1"/>
    <col min="15371" max="15371" width="9.5703125" style="140" customWidth="1"/>
    <col min="15372" max="15373" width="12.28515625" style="140" customWidth="1"/>
    <col min="15374" max="15376" width="12.85546875" style="140" customWidth="1"/>
    <col min="15377" max="15377" width="12.7109375" style="140" customWidth="1"/>
    <col min="15378" max="15378" width="12.28515625" style="140" bestFit="1" customWidth="1"/>
    <col min="15379" max="15379" width="13.140625" style="140" customWidth="1"/>
    <col min="15380" max="15620" width="9.140625" style="140"/>
    <col min="15621" max="15621" width="2.7109375" style="140" customWidth="1"/>
    <col min="15622" max="15622" width="9.140625" style="140"/>
    <col min="15623" max="15623" width="40.28515625" style="140" bestFit="1" customWidth="1"/>
    <col min="15624" max="15624" width="12" style="140" customWidth="1"/>
    <col min="15625" max="15625" width="10" style="140" customWidth="1"/>
    <col min="15626" max="15626" width="14.85546875" style="140" customWidth="1"/>
    <col min="15627" max="15627" width="9.5703125" style="140" customWidth="1"/>
    <col min="15628" max="15629" width="12.28515625" style="140" customWidth="1"/>
    <col min="15630" max="15632" width="12.85546875" style="140" customWidth="1"/>
    <col min="15633" max="15633" width="12.7109375" style="140" customWidth="1"/>
    <col min="15634" max="15634" width="12.28515625" style="140" bestFit="1" customWidth="1"/>
    <col min="15635" max="15635" width="13.140625" style="140" customWidth="1"/>
    <col min="15636" max="15876" width="9.140625" style="140"/>
    <col min="15877" max="15877" width="2.7109375" style="140" customWidth="1"/>
    <col min="15878" max="15878" width="9.140625" style="140"/>
    <col min="15879" max="15879" width="40.28515625" style="140" bestFit="1" customWidth="1"/>
    <col min="15880" max="15880" width="12" style="140" customWidth="1"/>
    <col min="15881" max="15881" width="10" style="140" customWidth="1"/>
    <col min="15882" max="15882" width="14.85546875" style="140" customWidth="1"/>
    <col min="15883" max="15883" width="9.5703125" style="140" customWidth="1"/>
    <col min="15884" max="15885" width="12.28515625" style="140" customWidth="1"/>
    <col min="15886" max="15888" width="12.85546875" style="140" customWidth="1"/>
    <col min="15889" max="15889" width="12.7109375" style="140" customWidth="1"/>
    <col min="15890" max="15890" width="12.28515625" style="140" bestFit="1" customWidth="1"/>
    <col min="15891" max="15891" width="13.140625" style="140" customWidth="1"/>
    <col min="15892" max="16132" width="9.140625" style="140"/>
    <col min="16133" max="16133" width="2.7109375" style="140" customWidth="1"/>
    <col min="16134" max="16134" width="9.140625" style="140"/>
    <col min="16135" max="16135" width="40.28515625" style="140" bestFit="1" customWidth="1"/>
    <col min="16136" max="16136" width="12" style="140" customWidth="1"/>
    <col min="16137" max="16137" width="10" style="140" customWidth="1"/>
    <col min="16138" max="16138" width="14.85546875" style="140" customWidth="1"/>
    <col min="16139" max="16139" width="9.5703125" style="140" customWidth="1"/>
    <col min="16140" max="16141" width="12.28515625" style="140" customWidth="1"/>
    <col min="16142" max="16144" width="12.85546875" style="140" customWidth="1"/>
    <col min="16145" max="16145" width="12.7109375" style="140" customWidth="1"/>
    <col min="16146" max="16146" width="12.28515625" style="140" bestFit="1" customWidth="1"/>
    <col min="16147" max="16147" width="13.140625" style="140" customWidth="1"/>
    <col min="16148" max="16384" width="9.140625" style="140"/>
  </cols>
  <sheetData>
    <row r="1" spans="1:20" x14ac:dyDescent="0.2">
      <c r="F1" s="336"/>
      <c r="G1" s="337"/>
      <c r="H1" s="337"/>
      <c r="I1" s="337"/>
      <c r="J1" s="337"/>
      <c r="K1" s="337"/>
      <c r="L1" s="337"/>
      <c r="N1" s="334" t="s">
        <v>394</v>
      </c>
      <c r="O1" s="253" t="str">
        <f>EBNUMBER</f>
        <v>EB-2015-0089</v>
      </c>
      <c r="P1" s="1672"/>
      <c r="Q1" s="253"/>
      <c r="R1" s="253"/>
      <c r="S1" s="253"/>
      <c r="T1" s="337"/>
    </row>
    <row r="2" spans="1:20" x14ac:dyDescent="0.2">
      <c r="F2" s="336"/>
      <c r="G2" s="337"/>
      <c r="H2" s="337"/>
      <c r="I2" s="337"/>
      <c r="J2" s="337"/>
      <c r="K2" s="337"/>
      <c r="L2" s="337"/>
      <c r="N2" s="334" t="s">
        <v>395</v>
      </c>
      <c r="O2" s="136">
        <v>4</v>
      </c>
      <c r="P2" s="1672"/>
      <c r="Q2" s="1560"/>
      <c r="R2" s="1560"/>
      <c r="S2" s="1560"/>
      <c r="T2" s="337"/>
    </row>
    <row r="3" spans="1:20" x14ac:dyDescent="0.2">
      <c r="F3" s="336"/>
      <c r="G3" s="337"/>
      <c r="H3" s="337"/>
      <c r="I3" s="337"/>
      <c r="J3" s="337"/>
      <c r="K3" s="337"/>
      <c r="L3" s="337"/>
      <c r="N3" s="334" t="s">
        <v>396</v>
      </c>
      <c r="O3" s="136" t="s">
        <v>2456</v>
      </c>
      <c r="P3" s="1672"/>
      <c r="Q3" s="1560"/>
      <c r="R3" s="1560"/>
      <c r="S3" s="1560"/>
      <c r="T3" s="337"/>
    </row>
    <row r="4" spans="1:20" x14ac:dyDescent="0.2">
      <c r="F4" s="336"/>
      <c r="G4" s="337"/>
      <c r="H4" s="337"/>
      <c r="I4" s="337"/>
      <c r="J4" s="337"/>
      <c r="K4" s="337"/>
      <c r="L4" s="337"/>
      <c r="N4" s="334" t="s">
        <v>397</v>
      </c>
      <c r="O4" s="136" t="s">
        <v>2417</v>
      </c>
      <c r="P4" s="1672"/>
      <c r="Q4" s="1560"/>
      <c r="R4" s="1560"/>
      <c r="S4" s="1560"/>
      <c r="T4" s="337"/>
    </row>
    <row r="5" spans="1:20" x14ac:dyDescent="0.2">
      <c r="F5" s="336"/>
      <c r="G5" s="337"/>
      <c r="H5" s="337"/>
      <c r="I5" s="337"/>
      <c r="J5" s="337"/>
      <c r="K5" s="337"/>
      <c r="L5" s="337"/>
      <c r="N5" s="334" t="s">
        <v>398</v>
      </c>
      <c r="O5" s="1514">
        <v>70</v>
      </c>
      <c r="P5" s="1672"/>
      <c r="Q5" s="1559"/>
      <c r="R5" s="1559"/>
      <c r="S5" s="1559"/>
      <c r="T5" s="337"/>
    </row>
    <row r="6" spans="1:20" x14ac:dyDescent="0.2">
      <c r="F6" s="336"/>
      <c r="G6" s="337"/>
      <c r="H6" s="337"/>
      <c r="I6" s="337"/>
      <c r="J6" s="337"/>
      <c r="K6" s="337"/>
      <c r="L6" s="337"/>
      <c r="N6" s="334"/>
      <c r="O6" s="1513"/>
      <c r="P6" s="1672"/>
      <c r="Q6" s="1558"/>
      <c r="R6" s="1558"/>
      <c r="S6" s="1558"/>
      <c r="T6" s="337"/>
    </row>
    <row r="7" spans="1:20" x14ac:dyDescent="0.2">
      <c r="F7" s="336"/>
      <c r="G7" s="337"/>
      <c r="H7" s="337"/>
      <c r="I7" s="337"/>
      <c r="J7" s="337"/>
      <c r="K7" s="337"/>
      <c r="L7" s="394"/>
      <c r="N7" s="334" t="s">
        <v>399</v>
      </c>
      <c r="O7" s="1838" t="s">
        <v>2455</v>
      </c>
      <c r="P7" s="1672"/>
      <c r="Q7" s="1559"/>
      <c r="R7" s="1559"/>
      <c r="S7" s="1559"/>
      <c r="T7" s="394"/>
    </row>
    <row r="9" spans="1:20" ht="18" x14ac:dyDescent="0.25">
      <c r="A9" s="1979" t="s">
        <v>1810</v>
      </c>
      <c r="B9" s="1979"/>
      <c r="C9" s="1979"/>
      <c r="D9" s="1979"/>
      <c r="E9" s="1979"/>
      <c r="F9" s="1979"/>
      <c r="G9" s="1979"/>
      <c r="H9" s="1979"/>
      <c r="I9" s="1979"/>
      <c r="J9" s="1979"/>
      <c r="K9" s="1979"/>
      <c r="L9" s="1979"/>
      <c r="M9" s="1979"/>
      <c r="N9" s="1979"/>
      <c r="O9" s="1979"/>
      <c r="P9" s="1671"/>
      <c r="Q9" s="1549"/>
      <c r="R9" s="1549"/>
      <c r="S9" s="1549"/>
    </row>
    <row r="10" spans="1:20" ht="18" x14ac:dyDescent="0.25">
      <c r="A10" s="1979" t="s">
        <v>3</v>
      </c>
      <c r="B10" s="1979"/>
      <c r="C10" s="1979"/>
      <c r="D10" s="1979"/>
      <c r="E10" s="1979"/>
      <c r="F10" s="1979"/>
      <c r="G10" s="1979"/>
      <c r="H10" s="1979"/>
      <c r="I10" s="1979"/>
      <c r="J10" s="1979"/>
      <c r="K10" s="1979"/>
      <c r="L10" s="1979"/>
      <c r="M10" s="1979"/>
      <c r="N10" s="1979"/>
      <c r="O10" s="1979"/>
      <c r="P10" s="1671"/>
      <c r="Q10" s="1549"/>
      <c r="R10" s="1549"/>
      <c r="S10" s="1549"/>
    </row>
    <row r="11" spans="1:20" ht="23.25" customHeight="1" x14ac:dyDescent="0.2">
      <c r="A11" s="2076" t="s">
        <v>1853</v>
      </c>
      <c r="B11" s="2076"/>
      <c r="C11" s="2076"/>
      <c r="D11" s="2076"/>
      <c r="E11" s="2076"/>
      <c r="F11" s="2076"/>
      <c r="G11" s="2076"/>
      <c r="H11" s="2076"/>
      <c r="I11" s="2076"/>
      <c r="J11" s="2076"/>
      <c r="K11" s="2076"/>
      <c r="L11" s="2076"/>
      <c r="M11" s="2076"/>
      <c r="N11" s="2076"/>
      <c r="O11" s="2076"/>
      <c r="P11" s="1671"/>
      <c r="Q11" s="1555"/>
      <c r="R11" s="1555"/>
      <c r="S11" s="1555"/>
    </row>
    <row r="12" spans="1:20" ht="23.25" customHeight="1" x14ac:dyDescent="0.2">
      <c r="A12" s="493"/>
      <c r="B12" s="493"/>
      <c r="C12" s="493"/>
      <c r="D12" s="493"/>
      <c r="E12" s="493"/>
      <c r="F12" s="493"/>
      <c r="G12" s="493"/>
      <c r="H12" s="493"/>
      <c r="I12" s="493"/>
      <c r="J12" s="493"/>
      <c r="K12" s="493"/>
      <c r="L12" s="493"/>
      <c r="M12" s="493"/>
      <c r="N12" s="493"/>
      <c r="O12" s="493"/>
      <c r="P12" s="1671"/>
      <c r="Q12" s="493"/>
      <c r="R12" s="493"/>
      <c r="S12" s="493"/>
    </row>
    <row r="13" spans="1:20" ht="13.5" customHeight="1" x14ac:dyDescent="0.25">
      <c r="A13" s="1467"/>
      <c r="B13" s="1467"/>
      <c r="C13" s="435" t="s">
        <v>39</v>
      </c>
      <c r="D13" s="397">
        <v>2013</v>
      </c>
      <c r="E13" s="436" t="s">
        <v>1607</v>
      </c>
      <c r="F13" s="1467"/>
      <c r="G13" s="1467"/>
      <c r="H13" s="1467"/>
      <c r="I13" s="1467"/>
      <c r="J13" s="1467"/>
      <c r="K13" s="1467"/>
      <c r="L13" s="1467"/>
      <c r="P13" s="1671"/>
    </row>
    <row r="14" spans="1:20" ht="13.5" thickBot="1" x14ac:dyDescent="0.25">
      <c r="P14" s="1671"/>
    </row>
    <row r="15" spans="1:20" ht="61.5" customHeight="1" x14ac:dyDescent="0.2">
      <c r="A15" s="2070" t="s">
        <v>4</v>
      </c>
      <c r="B15" s="2072" t="s">
        <v>324</v>
      </c>
      <c r="C15" s="404" t="s">
        <v>666</v>
      </c>
      <c r="D15" s="404" t="s">
        <v>326</v>
      </c>
      <c r="E15" s="404" t="s">
        <v>477</v>
      </c>
      <c r="F15" s="404" t="s">
        <v>478</v>
      </c>
      <c r="G15" s="404" t="s">
        <v>479</v>
      </c>
      <c r="H15" s="437" t="s">
        <v>480</v>
      </c>
      <c r="I15" s="438" t="s">
        <v>481</v>
      </c>
      <c r="J15" s="438" t="s">
        <v>665</v>
      </c>
      <c r="K15" s="2079" t="s">
        <v>1606</v>
      </c>
      <c r="L15" s="438" t="s">
        <v>482</v>
      </c>
      <c r="M15" s="438" t="s">
        <v>659</v>
      </c>
      <c r="N15" s="2079" t="s">
        <v>616</v>
      </c>
      <c r="O15" s="438" t="s">
        <v>667</v>
      </c>
      <c r="P15" s="2086" t="s">
        <v>2181</v>
      </c>
      <c r="Q15" s="1665"/>
      <c r="R15" s="1665"/>
      <c r="S15" s="1665"/>
    </row>
    <row r="16" spans="1:20" ht="19.5" customHeight="1" thickBot="1" x14ac:dyDescent="0.25">
      <c r="A16" s="2077"/>
      <c r="B16" s="2078"/>
      <c r="C16" s="439" t="s">
        <v>5</v>
      </c>
      <c r="D16" s="439" t="s">
        <v>6</v>
      </c>
      <c r="E16" s="440" t="s">
        <v>483</v>
      </c>
      <c r="F16" s="439" t="s">
        <v>8</v>
      </c>
      <c r="G16" s="439" t="s">
        <v>9</v>
      </c>
      <c r="H16" s="441" t="s">
        <v>484</v>
      </c>
      <c r="I16" s="442" t="s">
        <v>485</v>
      </c>
      <c r="J16" s="443" t="s">
        <v>486</v>
      </c>
      <c r="K16" s="2080"/>
      <c r="L16" s="442" t="s">
        <v>487</v>
      </c>
      <c r="M16" s="442" t="s">
        <v>488</v>
      </c>
      <c r="N16" s="2081"/>
      <c r="O16" s="443" t="s">
        <v>612</v>
      </c>
      <c r="P16" s="2087"/>
      <c r="Q16" s="1669"/>
      <c r="R16" s="1669"/>
      <c r="S16" s="1669"/>
    </row>
    <row r="17" spans="1:23" x14ac:dyDescent="0.2">
      <c r="A17" s="1552">
        <v>1609</v>
      </c>
      <c r="B17" s="444" t="s">
        <v>2159</v>
      </c>
      <c r="C17" s="356">
        <v>0</v>
      </c>
      <c r="D17" s="356">
        <f>+'App.2-BA_Fixed Asset Cont'!E201</f>
        <v>122349</v>
      </c>
      <c r="E17" s="459"/>
      <c r="F17" s="459">
        <v>40</v>
      </c>
      <c r="G17" s="445">
        <f t="shared" ref="G17:G56" si="0">IF(F17=0,0,1/F17)</f>
        <v>2.5000000000000001E-2</v>
      </c>
      <c r="H17" s="374">
        <f t="shared" ref="H17" si="1">IF(E17=0,0,+C17/E17)</f>
        <v>0</v>
      </c>
      <c r="I17" s="374">
        <f t="shared" ref="I17" si="2">IF(F17=0,0,+(D17*0.5)/F17)</f>
        <v>1529.3625</v>
      </c>
      <c r="J17" s="374">
        <f t="shared" ref="J17" si="3">IF(ISERROR(+H17+I17), 0, +H17+I17)</f>
        <v>1529.3625</v>
      </c>
      <c r="K17" s="356">
        <f>-'App.2-BA_Fixed Asset Cont'!J201</f>
        <v>1524</v>
      </c>
      <c r="L17" s="374">
        <f t="shared" ref="L17" si="4">IF(ISERROR(+J17-K17), 0, +J17-K17)</f>
        <v>5.3624999999999545</v>
      </c>
      <c r="M17" s="374">
        <f t="shared" ref="M17" si="5">IF(F17=0,0,+(D17)/F17)</f>
        <v>3058.7249999999999</v>
      </c>
      <c r="N17" s="356"/>
      <c r="O17" s="374">
        <f>IF(ISERROR(+M17+H17-N17), 0, +M17+H17-N17)</f>
        <v>3058.7249999999999</v>
      </c>
      <c r="P17" s="374"/>
      <c r="Q17" s="452"/>
      <c r="R17" s="452"/>
      <c r="S17" s="452"/>
      <c r="T17" s="1666"/>
      <c r="U17" s="1667"/>
    </row>
    <row r="18" spans="1:23" ht="25.5" x14ac:dyDescent="0.2">
      <c r="A18" s="1476">
        <v>1611</v>
      </c>
      <c r="B18" s="444" t="s">
        <v>475</v>
      </c>
      <c r="C18" s="356">
        <f>+'App.2-BA_Fixed Asset Cont'!M78</f>
        <v>234586</v>
      </c>
      <c r="D18" s="356">
        <f>+'App.2-BA_Fixed Asset Cont'!E202</f>
        <v>183251</v>
      </c>
      <c r="E18" s="459">
        <v>3.86</v>
      </c>
      <c r="F18" s="459">
        <v>5</v>
      </c>
      <c r="G18" s="445">
        <f t="shared" si="0"/>
        <v>0.2</v>
      </c>
      <c r="H18" s="374">
        <f t="shared" ref="H18:H56" si="6">IF(E18=0,0,+C18/E18)</f>
        <v>60773.575129533681</v>
      </c>
      <c r="I18" s="374">
        <f t="shared" ref="I18:I56" si="7">IF(F18=0,0,+(D18*0.5)/F18)</f>
        <v>18325.099999999999</v>
      </c>
      <c r="J18" s="374">
        <f t="shared" ref="J18:J56" si="8">IF(ISERROR(+H18+I18), 0, +H18+I18)</f>
        <v>79098.675129533687</v>
      </c>
      <c r="K18" s="356">
        <f>-'App.2-BA_Fixed Asset Cont'!J202</f>
        <v>66553</v>
      </c>
      <c r="L18" s="374">
        <f t="shared" ref="L18:L56" si="9">IF(ISERROR(+J18-K18), 0, +J18-K18)</f>
        <v>12545.675129533687</v>
      </c>
      <c r="M18" s="374">
        <f t="shared" ref="M18:M56" si="10">IF(F18=0,0,+(D18)/F18)</f>
        <v>36650.199999999997</v>
      </c>
      <c r="N18" s="356"/>
      <c r="O18" s="374">
        <f>IF(ISERROR(+M18+H18-N18), 0, +M18+H18-N18)+P18</f>
        <v>95228.775129533678</v>
      </c>
      <c r="P18" s="374">
        <v>-2195</v>
      </c>
      <c r="Q18" s="452"/>
      <c r="R18" s="452"/>
      <c r="S18" s="452"/>
      <c r="T18" s="1666"/>
      <c r="U18" s="1667"/>
      <c r="V18" s="1668"/>
      <c r="W18" s="1668"/>
    </row>
    <row r="19" spans="1:23" x14ac:dyDescent="0.2">
      <c r="A19" s="1473">
        <v>1612</v>
      </c>
      <c r="B19" s="355" t="s">
        <v>563</v>
      </c>
      <c r="C19" s="356">
        <f>+'App.2-BA_Fixed Asset Cont'!M79</f>
        <v>0</v>
      </c>
      <c r="D19" s="356">
        <f>+'App.2-BA_Fixed Asset Cont'!E203</f>
        <v>0</v>
      </c>
      <c r="E19" s="411"/>
      <c r="F19" s="411"/>
      <c r="G19" s="413">
        <f t="shared" si="0"/>
        <v>0</v>
      </c>
      <c r="H19" s="374">
        <f t="shared" si="6"/>
        <v>0</v>
      </c>
      <c r="I19" s="374">
        <f t="shared" si="7"/>
        <v>0</v>
      </c>
      <c r="J19" s="374">
        <f t="shared" si="8"/>
        <v>0</v>
      </c>
      <c r="K19" s="356">
        <f>-'App.2-BA_Fixed Asset Cont'!J203</f>
        <v>0</v>
      </c>
      <c r="L19" s="374">
        <f t="shared" si="9"/>
        <v>0</v>
      </c>
      <c r="M19" s="374">
        <f t="shared" si="10"/>
        <v>0</v>
      </c>
      <c r="N19" s="356"/>
      <c r="O19" s="374">
        <f t="shared" ref="O19:O56" si="11">IF(ISERROR(+M19+H19-N19), 0, +M19+H19-N19)</f>
        <v>0</v>
      </c>
      <c r="P19" s="374"/>
      <c r="Q19" s="452"/>
      <c r="R19" s="452"/>
      <c r="S19" s="452"/>
      <c r="T19" s="1666"/>
      <c r="U19" s="1667"/>
      <c r="V19" s="1668"/>
      <c r="W19" s="1668"/>
    </row>
    <row r="20" spans="1:23" x14ac:dyDescent="0.2">
      <c r="A20" s="361">
        <v>1805</v>
      </c>
      <c r="B20" s="362" t="s">
        <v>358</v>
      </c>
      <c r="C20" s="356">
        <f>+'App.2-BA_Fixed Asset Cont'!M80</f>
        <v>69883.360000000001</v>
      </c>
      <c r="D20" s="356">
        <f>+'App.2-BA_Fixed Asset Cont'!E204</f>
        <v>0</v>
      </c>
      <c r="E20" s="411"/>
      <c r="F20" s="411"/>
      <c r="G20" s="413">
        <f t="shared" si="0"/>
        <v>0</v>
      </c>
      <c r="H20" s="374">
        <f t="shared" si="6"/>
        <v>0</v>
      </c>
      <c r="I20" s="374">
        <f t="shared" si="7"/>
        <v>0</v>
      </c>
      <c r="J20" s="374">
        <f t="shared" si="8"/>
        <v>0</v>
      </c>
      <c r="K20" s="356">
        <f>-'App.2-BA_Fixed Asset Cont'!J204</f>
        <v>0</v>
      </c>
      <c r="L20" s="374">
        <f t="shared" si="9"/>
        <v>0</v>
      </c>
      <c r="M20" s="374">
        <f t="shared" si="10"/>
        <v>0</v>
      </c>
      <c r="N20" s="356"/>
      <c r="O20" s="374">
        <f t="shared" si="11"/>
        <v>0</v>
      </c>
      <c r="P20" s="374"/>
      <c r="Q20" s="452"/>
      <c r="R20" s="452"/>
      <c r="S20" s="452"/>
      <c r="T20" s="1666"/>
      <c r="U20" s="1667"/>
      <c r="V20" s="1668"/>
      <c r="W20" s="1668"/>
    </row>
    <row r="21" spans="1:23" x14ac:dyDescent="0.2">
      <c r="A21" s="1473">
        <v>1808</v>
      </c>
      <c r="B21" s="363" t="s">
        <v>359</v>
      </c>
      <c r="C21" s="356">
        <f>+'App.2-BA_Fixed Asset Cont'!M81</f>
        <v>0</v>
      </c>
      <c r="D21" s="356">
        <f>+'App.2-BA_Fixed Asset Cont'!E205</f>
        <v>0</v>
      </c>
      <c r="E21" s="411"/>
      <c r="F21" s="411"/>
      <c r="G21" s="413">
        <f t="shared" si="0"/>
        <v>0</v>
      </c>
      <c r="H21" s="374">
        <f t="shared" si="6"/>
        <v>0</v>
      </c>
      <c r="I21" s="374">
        <f t="shared" si="7"/>
        <v>0</v>
      </c>
      <c r="J21" s="374">
        <f t="shared" si="8"/>
        <v>0</v>
      </c>
      <c r="K21" s="356">
        <f>-'App.2-BA_Fixed Asset Cont'!J205</f>
        <v>0</v>
      </c>
      <c r="L21" s="374">
        <f t="shared" si="9"/>
        <v>0</v>
      </c>
      <c r="M21" s="374">
        <f t="shared" si="10"/>
        <v>0</v>
      </c>
      <c r="N21" s="356"/>
      <c r="O21" s="374">
        <f t="shared" si="11"/>
        <v>0</v>
      </c>
      <c r="P21" s="374"/>
      <c r="Q21" s="452"/>
      <c r="R21" s="452"/>
      <c r="S21" s="452"/>
      <c r="T21" s="1666"/>
      <c r="U21" s="1667"/>
      <c r="V21" s="1668"/>
      <c r="W21" s="1668"/>
    </row>
    <row r="22" spans="1:23" x14ac:dyDescent="0.2">
      <c r="A22" s="1473">
        <v>1810</v>
      </c>
      <c r="B22" s="363" t="s">
        <v>392</v>
      </c>
      <c r="C22" s="356">
        <f>+'App.2-BA_Fixed Asset Cont'!M82</f>
        <v>0</v>
      </c>
      <c r="D22" s="356">
        <f>+'App.2-BA_Fixed Asset Cont'!E206</f>
        <v>0</v>
      </c>
      <c r="E22" s="411"/>
      <c r="F22" s="411"/>
      <c r="G22" s="413">
        <f t="shared" si="0"/>
        <v>0</v>
      </c>
      <c r="H22" s="374">
        <f t="shared" si="6"/>
        <v>0</v>
      </c>
      <c r="I22" s="374">
        <f t="shared" si="7"/>
        <v>0</v>
      </c>
      <c r="J22" s="374">
        <f t="shared" si="8"/>
        <v>0</v>
      </c>
      <c r="K22" s="356">
        <f>-'App.2-BA_Fixed Asset Cont'!J206</f>
        <v>0</v>
      </c>
      <c r="L22" s="374">
        <f t="shared" si="9"/>
        <v>0</v>
      </c>
      <c r="M22" s="374">
        <f t="shared" si="10"/>
        <v>0</v>
      </c>
      <c r="N22" s="356"/>
      <c r="O22" s="374">
        <f t="shared" si="11"/>
        <v>0</v>
      </c>
      <c r="P22" s="374"/>
      <c r="Q22" s="452"/>
      <c r="R22" s="452"/>
      <c r="S22" s="452"/>
      <c r="T22" s="1666"/>
      <c r="U22" s="1667"/>
      <c r="V22" s="1668"/>
      <c r="W22" s="1668"/>
    </row>
    <row r="23" spans="1:23" x14ac:dyDescent="0.2">
      <c r="A23" s="1473">
        <v>1815</v>
      </c>
      <c r="B23" s="363" t="s">
        <v>360</v>
      </c>
      <c r="C23" s="356">
        <f>+'App.2-BA_Fixed Asset Cont'!M83</f>
        <v>0</v>
      </c>
      <c r="D23" s="356">
        <f>+'App.2-BA_Fixed Asset Cont'!E207</f>
        <v>0</v>
      </c>
      <c r="E23" s="411"/>
      <c r="F23" s="411"/>
      <c r="G23" s="413">
        <f t="shared" si="0"/>
        <v>0</v>
      </c>
      <c r="H23" s="374">
        <f t="shared" si="6"/>
        <v>0</v>
      </c>
      <c r="I23" s="374">
        <f t="shared" si="7"/>
        <v>0</v>
      </c>
      <c r="J23" s="374">
        <f t="shared" si="8"/>
        <v>0</v>
      </c>
      <c r="K23" s="356">
        <f>-'App.2-BA_Fixed Asset Cont'!J207</f>
        <v>0</v>
      </c>
      <c r="L23" s="374">
        <f t="shared" si="9"/>
        <v>0</v>
      </c>
      <c r="M23" s="374">
        <f t="shared" si="10"/>
        <v>0</v>
      </c>
      <c r="N23" s="356"/>
      <c r="O23" s="374">
        <f t="shared" si="11"/>
        <v>0</v>
      </c>
      <c r="P23" s="374"/>
      <c r="Q23" s="452"/>
      <c r="R23" s="452"/>
      <c r="S23" s="452"/>
      <c r="T23" s="1666"/>
      <c r="U23" s="1667"/>
      <c r="V23" s="1668"/>
      <c r="W23" s="1668"/>
    </row>
    <row r="24" spans="1:23" x14ac:dyDescent="0.2">
      <c r="A24" s="1473">
        <v>1820</v>
      </c>
      <c r="B24" s="355" t="s">
        <v>287</v>
      </c>
      <c r="C24" s="356">
        <f>+'App.2-BA_Fixed Asset Cont'!M84</f>
        <v>112449.64999999991</v>
      </c>
      <c r="D24" s="356">
        <f>+'App.2-BA_Fixed Asset Cont'!E208</f>
        <v>0</v>
      </c>
      <c r="E24" s="411">
        <v>4.8899999999999997</v>
      </c>
      <c r="F24" s="411">
        <v>45</v>
      </c>
      <c r="G24" s="413">
        <f t="shared" si="0"/>
        <v>2.2222222222222223E-2</v>
      </c>
      <c r="H24" s="374">
        <f t="shared" si="6"/>
        <v>22995.838445807753</v>
      </c>
      <c r="I24" s="374">
        <f t="shared" si="7"/>
        <v>0</v>
      </c>
      <c r="J24" s="374">
        <f t="shared" si="8"/>
        <v>22995.838445807753</v>
      </c>
      <c r="K24" s="356">
        <f>-'App.2-BA_Fixed Asset Cont'!J208</f>
        <v>23011</v>
      </c>
      <c r="L24" s="374">
        <f t="shared" si="9"/>
        <v>-15.161554192247422</v>
      </c>
      <c r="M24" s="374">
        <f t="shared" si="10"/>
        <v>0</v>
      </c>
      <c r="N24" s="356"/>
      <c r="O24" s="374">
        <f t="shared" si="11"/>
        <v>22995.838445807753</v>
      </c>
      <c r="P24" s="374"/>
      <c r="Q24" s="452"/>
      <c r="R24" s="452"/>
      <c r="S24" s="452"/>
      <c r="T24" s="1666"/>
      <c r="U24" s="1667"/>
      <c r="V24" s="1668"/>
      <c r="W24" s="1668"/>
    </row>
    <row r="25" spans="1:23" x14ac:dyDescent="0.2">
      <c r="A25" s="1473">
        <v>1825</v>
      </c>
      <c r="B25" s="363" t="s">
        <v>361</v>
      </c>
      <c r="C25" s="356">
        <f>+'App.2-BA_Fixed Asset Cont'!M85</f>
        <v>0</v>
      </c>
      <c r="D25" s="356">
        <f>+'App.2-BA_Fixed Asset Cont'!E209</f>
        <v>0</v>
      </c>
      <c r="E25" s="411"/>
      <c r="F25" s="411"/>
      <c r="G25" s="413">
        <f t="shared" si="0"/>
        <v>0</v>
      </c>
      <c r="H25" s="374">
        <f t="shared" si="6"/>
        <v>0</v>
      </c>
      <c r="I25" s="374">
        <f t="shared" si="7"/>
        <v>0</v>
      </c>
      <c r="J25" s="374">
        <f t="shared" si="8"/>
        <v>0</v>
      </c>
      <c r="K25" s="356">
        <f>-'App.2-BA_Fixed Asset Cont'!J209</f>
        <v>0</v>
      </c>
      <c r="L25" s="374">
        <f t="shared" si="9"/>
        <v>0</v>
      </c>
      <c r="M25" s="374">
        <f t="shared" si="10"/>
        <v>0</v>
      </c>
      <c r="N25" s="356"/>
      <c r="O25" s="374">
        <f t="shared" si="11"/>
        <v>0</v>
      </c>
      <c r="P25" s="374"/>
      <c r="Q25" s="452"/>
      <c r="R25" s="452"/>
      <c r="S25" s="452"/>
      <c r="T25" s="1666"/>
      <c r="U25" s="1667"/>
      <c r="V25" s="1668"/>
      <c r="W25" s="1668"/>
    </row>
    <row r="26" spans="1:23" x14ac:dyDescent="0.2">
      <c r="A26" s="1473">
        <v>1830</v>
      </c>
      <c r="B26" s="363" t="s">
        <v>362</v>
      </c>
      <c r="C26" s="356">
        <f>+'App.2-BA_Fixed Asset Cont'!M86</f>
        <v>17079923.210000001</v>
      </c>
      <c r="D26" s="356">
        <f>+'App.2-BA_Fixed Asset Cont'!E210</f>
        <v>1985156</v>
      </c>
      <c r="E26" s="411">
        <v>42.24</v>
      </c>
      <c r="F26" s="411">
        <v>45</v>
      </c>
      <c r="G26" s="413">
        <f t="shared" si="0"/>
        <v>2.2222222222222223E-2</v>
      </c>
      <c r="H26" s="374">
        <f t="shared" si="6"/>
        <v>404354.24266098486</v>
      </c>
      <c r="I26" s="374">
        <f t="shared" si="7"/>
        <v>22057.288888888888</v>
      </c>
      <c r="J26" s="374">
        <f t="shared" si="8"/>
        <v>426411.53154987376</v>
      </c>
      <c r="K26" s="356">
        <f>-'App.2-BA_Fixed Asset Cont'!J210</f>
        <v>426392</v>
      </c>
      <c r="L26" s="374">
        <f t="shared" si="9"/>
        <v>19.531549873761833</v>
      </c>
      <c r="M26" s="374">
        <f t="shared" si="10"/>
        <v>44114.577777777777</v>
      </c>
      <c r="N26" s="356"/>
      <c r="O26" s="374">
        <f t="shared" si="11"/>
        <v>448468.82043876266</v>
      </c>
      <c r="P26" s="374"/>
      <c r="Q26" s="452"/>
      <c r="R26" s="452"/>
      <c r="S26" s="452"/>
      <c r="T26" s="1666"/>
      <c r="U26" s="1667"/>
      <c r="V26" s="1668"/>
      <c r="W26" s="1668"/>
    </row>
    <row r="27" spans="1:23" x14ac:dyDescent="0.2">
      <c r="A27" s="1473">
        <v>1835</v>
      </c>
      <c r="B27" s="363" t="s">
        <v>288</v>
      </c>
      <c r="C27" s="356">
        <f>+'App.2-BA_Fixed Asset Cont'!M87</f>
        <v>9037472.8099999949</v>
      </c>
      <c r="D27" s="356">
        <f>+'App.2-BA_Fixed Asset Cont'!E211</f>
        <v>776479</v>
      </c>
      <c r="E27" s="411">
        <v>33.76</v>
      </c>
      <c r="F27" s="411">
        <v>45</v>
      </c>
      <c r="G27" s="413">
        <f t="shared" si="0"/>
        <v>2.2222222222222223E-2</v>
      </c>
      <c r="H27" s="374">
        <f t="shared" si="6"/>
        <v>267697.65432464442</v>
      </c>
      <c r="I27" s="374">
        <f t="shared" si="7"/>
        <v>8627.5444444444438</v>
      </c>
      <c r="J27" s="374">
        <f t="shared" si="8"/>
        <v>276325.19876908883</v>
      </c>
      <c r="K27" s="356">
        <f>-'App.2-BA_Fixed Asset Cont'!J211</f>
        <v>276361</v>
      </c>
      <c r="L27" s="374">
        <f t="shared" si="9"/>
        <v>-35.801230911165476</v>
      </c>
      <c r="M27" s="374">
        <f t="shared" si="10"/>
        <v>17255.088888888888</v>
      </c>
      <c r="N27" s="356"/>
      <c r="O27" s="374">
        <f t="shared" si="11"/>
        <v>284952.74321353331</v>
      </c>
      <c r="P27" s="374"/>
      <c r="Q27" s="452"/>
      <c r="R27" s="452"/>
      <c r="S27" s="452"/>
      <c r="T27" s="1666"/>
      <c r="U27" s="1667"/>
      <c r="V27" s="1668"/>
      <c r="W27" s="1668"/>
    </row>
    <row r="28" spans="1:23" x14ac:dyDescent="0.2">
      <c r="A28" s="1473">
        <v>1840</v>
      </c>
      <c r="B28" s="363" t="s">
        <v>289</v>
      </c>
      <c r="C28" s="356">
        <f>+'App.2-BA_Fixed Asset Cont'!M88</f>
        <v>14938099.84</v>
      </c>
      <c r="D28" s="356">
        <f>+'App.2-BA_Fixed Asset Cont'!E212</f>
        <v>1621551</v>
      </c>
      <c r="E28" s="411">
        <v>32.9</v>
      </c>
      <c r="F28" s="411">
        <v>40</v>
      </c>
      <c r="G28" s="413">
        <f t="shared" si="0"/>
        <v>2.5000000000000001E-2</v>
      </c>
      <c r="H28" s="374">
        <f t="shared" si="6"/>
        <v>454045.58784194529</v>
      </c>
      <c r="I28" s="374">
        <f t="shared" si="7"/>
        <v>20269.387500000001</v>
      </c>
      <c r="J28" s="374">
        <f t="shared" si="8"/>
        <v>474314.9753419453</v>
      </c>
      <c r="K28" s="356">
        <f>-'App.2-BA_Fixed Asset Cont'!J212</f>
        <v>474315</v>
      </c>
      <c r="L28" s="374">
        <f t="shared" si="9"/>
        <v>-2.4658054695464671E-2</v>
      </c>
      <c r="M28" s="374">
        <f t="shared" si="10"/>
        <v>40538.775000000001</v>
      </c>
      <c r="N28" s="356"/>
      <c r="O28" s="374">
        <f t="shared" si="11"/>
        <v>494584.36284194532</v>
      </c>
      <c r="P28" s="374"/>
      <c r="Q28" s="452"/>
      <c r="R28" s="452"/>
      <c r="S28" s="452"/>
      <c r="T28" s="1666"/>
      <c r="U28" s="1667"/>
      <c r="V28" s="1668"/>
      <c r="W28" s="1668"/>
    </row>
    <row r="29" spans="1:23" ht="12.75" customHeight="1" x14ac:dyDescent="0.2">
      <c r="A29" s="1473">
        <v>1845</v>
      </c>
      <c r="B29" s="363" t="s">
        <v>290</v>
      </c>
      <c r="C29" s="356">
        <f>+'App.2-BA_Fixed Asset Cont'!M89</f>
        <v>9690278.9700000007</v>
      </c>
      <c r="D29" s="356">
        <f>+'App.2-BA_Fixed Asset Cont'!E213</f>
        <v>792819</v>
      </c>
      <c r="E29" s="411">
        <v>29.85</v>
      </c>
      <c r="F29" s="411">
        <v>40</v>
      </c>
      <c r="G29" s="413">
        <f t="shared" si="0"/>
        <v>2.5000000000000001E-2</v>
      </c>
      <c r="H29" s="374">
        <f t="shared" si="6"/>
        <v>324632.46130653267</v>
      </c>
      <c r="I29" s="374">
        <f t="shared" si="7"/>
        <v>9910.2374999999993</v>
      </c>
      <c r="J29" s="374">
        <f t="shared" si="8"/>
        <v>334542.69880653266</v>
      </c>
      <c r="K29" s="356">
        <f>-'App.2-BA_Fixed Asset Cont'!J213</f>
        <v>334539</v>
      </c>
      <c r="L29" s="374">
        <f t="shared" si="9"/>
        <v>3.6988065326586366</v>
      </c>
      <c r="M29" s="374">
        <f t="shared" si="10"/>
        <v>19820.474999999999</v>
      </c>
      <c r="N29" s="356"/>
      <c r="O29" s="374">
        <f t="shared" si="11"/>
        <v>344452.93630653265</v>
      </c>
      <c r="P29" s="374"/>
      <c r="Q29" s="452"/>
      <c r="R29" s="452"/>
      <c r="S29" s="452"/>
      <c r="T29" s="1666"/>
      <c r="U29" s="1667"/>
      <c r="V29" s="1668"/>
      <c r="W29" s="1668"/>
    </row>
    <row r="30" spans="1:23" x14ac:dyDescent="0.2">
      <c r="A30" s="1473">
        <v>1850</v>
      </c>
      <c r="B30" s="363" t="s">
        <v>363</v>
      </c>
      <c r="C30" s="356">
        <f>+'App.2-BA_Fixed Asset Cont'!M90</f>
        <v>18318401.070000008</v>
      </c>
      <c r="D30" s="356">
        <f>+'App.2-BA_Fixed Asset Cont'!E214</f>
        <v>1034618</v>
      </c>
      <c r="E30" s="411">
        <v>28.87</v>
      </c>
      <c r="F30" s="411">
        <v>40</v>
      </c>
      <c r="G30" s="413">
        <f t="shared" si="0"/>
        <v>2.5000000000000001E-2</v>
      </c>
      <c r="H30" s="374">
        <f t="shared" si="6"/>
        <v>634513.37270523061</v>
      </c>
      <c r="I30" s="374">
        <f t="shared" si="7"/>
        <v>12932.725</v>
      </c>
      <c r="J30" s="374">
        <f t="shared" si="8"/>
        <v>647446.09770523058</v>
      </c>
      <c r="K30" s="356">
        <f>-'App.2-BA_Fixed Asset Cont'!J214</f>
        <v>647454</v>
      </c>
      <c r="L30" s="374">
        <f t="shared" si="9"/>
        <v>-7.9022947694174945</v>
      </c>
      <c r="M30" s="374">
        <f t="shared" si="10"/>
        <v>25865.45</v>
      </c>
      <c r="N30" s="356"/>
      <c r="O30" s="374">
        <f t="shared" si="11"/>
        <v>660378.82270523056</v>
      </c>
      <c r="P30" s="374"/>
      <c r="Q30" s="452"/>
      <c r="R30" s="452"/>
      <c r="S30" s="452"/>
      <c r="T30" s="1666"/>
      <c r="U30" s="1667"/>
      <c r="V30" s="1668"/>
      <c r="W30" s="1668"/>
    </row>
    <row r="31" spans="1:23" x14ac:dyDescent="0.2">
      <c r="A31" s="1473">
        <v>1855</v>
      </c>
      <c r="B31" s="363" t="s">
        <v>291</v>
      </c>
      <c r="C31" s="356">
        <f>+'App.2-BA_Fixed Asset Cont'!M91</f>
        <v>9694184.4499999993</v>
      </c>
      <c r="D31" s="356">
        <f>+'App.2-BA_Fixed Asset Cont'!E215</f>
        <v>744008</v>
      </c>
      <c r="E31" s="411">
        <v>30</v>
      </c>
      <c r="F31" s="411">
        <v>40</v>
      </c>
      <c r="G31" s="413">
        <f t="shared" si="0"/>
        <v>2.5000000000000001E-2</v>
      </c>
      <c r="H31" s="374">
        <f t="shared" si="6"/>
        <v>323139.48166666663</v>
      </c>
      <c r="I31" s="374">
        <f t="shared" si="7"/>
        <v>9300.1</v>
      </c>
      <c r="J31" s="374">
        <f t="shared" si="8"/>
        <v>332439.58166666661</v>
      </c>
      <c r="K31" s="356">
        <f>-'App.2-BA_Fixed Asset Cont'!J215</f>
        <v>205736</v>
      </c>
      <c r="L31" s="374">
        <f t="shared" si="9"/>
        <v>126703.58166666661</v>
      </c>
      <c r="M31" s="374">
        <f t="shared" si="10"/>
        <v>18600.2</v>
      </c>
      <c r="N31" s="356"/>
      <c r="O31" s="374">
        <f>IF(ISERROR(+M31+H31-N31), 0, +M31+H31-N31)+P31</f>
        <v>215016.68166666664</v>
      </c>
      <c r="P31" s="374">
        <v>-126723</v>
      </c>
      <c r="Q31" s="452"/>
      <c r="R31" s="452"/>
      <c r="S31" s="452"/>
      <c r="T31" s="1666"/>
      <c r="U31" s="1667"/>
      <c r="V31" s="1668"/>
      <c r="W31" s="1668"/>
    </row>
    <row r="32" spans="1:23" x14ac:dyDescent="0.2">
      <c r="A32" s="1473">
        <v>1860</v>
      </c>
      <c r="B32" s="363" t="s">
        <v>364</v>
      </c>
      <c r="C32" s="356">
        <f>+'App.2-BA_Fixed Asset Cont'!M92</f>
        <v>0</v>
      </c>
      <c r="D32" s="356">
        <f>+'App.2-BA_Fixed Asset Cont'!E216</f>
        <v>0</v>
      </c>
      <c r="E32" s="411"/>
      <c r="F32" s="411">
        <v>15</v>
      </c>
      <c r="G32" s="413">
        <f t="shared" si="0"/>
        <v>6.6666666666666666E-2</v>
      </c>
      <c r="H32" s="374">
        <f t="shared" si="6"/>
        <v>0</v>
      </c>
      <c r="I32" s="374">
        <f t="shared" si="7"/>
        <v>0</v>
      </c>
      <c r="J32" s="374">
        <f t="shared" si="8"/>
        <v>0</v>
      </c>
      <c r="K32" s="356">
        <f>-'App.2-BA_Fixed Asset Cont'!J216</f>
        <v>0</v>
      </c>
      <c r="L32" s="374">
        <f t="shared" si="9"/>
        <v>0</v>
      </c>
      <c r="M32" s="374">
        <f t="shared" si="10"/>
        <v>0</v>
      </c>
      <c r="N32" s="356"/>
      <c r="O32" s="374">
        <f t="shared" si="11"/>
        <v>0</v>
      </c>
      <c r="P32" s="374"/>
      <c r="Q32" s="452"/>
      <c r="R32" s="452"/>
      <c r="S32" s="452"/>
      <c r="T32" s="1666"/>
      <c r="U32" s="1667"/>
      <c r="V32" s="1668"/>
      <c r="W32" s="1668"/>
    </row>
    <row r="33" spans="1:23" x14ac:dyDescent="0.2">
      <c r="A33" s="361">
        <v>1860</v>
      </c>
      <c r="B33" s="362" t="s">
        <v>292</v>
      </c>
      <c r="C33" s="356">
        <f>+'App.2-BA_Fixed Asset Cont'!M93</f>
        <v>6384765.7199999988</v>
      </c>
      <c r="D33" s="356">
        <f>+'App.2-BA_Fixed Asset Cont'!E217</f>
        <v>794330</v>
      </c>
      <c r="E33" s="411">
        <v>8.8800000000000008</v>
      </c>
      <c r="F33" s="411">
        <v>15</v>
      </c>
      <c r="G33" s="413">
        <f t="shared" si="0"/>
        <v>6.6666666666666666E-2</v>
      </c>
      <c r="H33" s="374">
        <f t="shared" si="6"/>
        <v>719005.14864864841</v>
      </c>
      <c r="I33" s="374">
        <f t="shared" si="7"/>
        <v>26477.666666666668</v>
      </c>
      <c r="J33" s="374">
        <f t="shared" si="8"/>
        <v>745482.81531531503</v>
      </c>
      <c r="K33" s="356">
        <f>-'App.2-BA_Fixed Asset Cont'!J217</f>
        <v>745788</v>
      </c>
      <c r="L33" s="374">
        <f t="shared" si="9"/>
        <v>-305.18468468496576</v>
      </c>
      <c r="M33" s="374">
        <f t="shared" si="10"/>
        <v>52955.333333333336</v>
      </c>
      <c r="N33" s="356">
        <v>9295</v>
      </c>
      <c r="O33" s="374">
        <f>IF(ISERROR(+M33+H33-N33), 0, +M33+H33-N33)+P33</f>
        <v>693268.48198198178</v>
      </c>
      <c r="P33" s="374">
        <v>-69397</v>
      </c>
      <c r="Q33" s="452"/>
      <c r="R33" s="452"/>
      <c r="S33" s="452"/>
      <c r="T33" s="1666"/>
      <c r="U33" s="1667"/>
      <c r="V33" s="1668"/>
      <c r="W33" s="1668"/>
    </row>
    <row r="34" spans="1:23" x14ac:dyDescent="0.2">
      <c r="A34" s="361">
        <v>1905</v>
      </c>
      <c r="B34" s="362" t="s">
        <v>358</v>
      </c>
      <c r="C34" s="356">
        <f>+'App.2-BA_Fixed Asset Cont'!M94</f>
        <v>1142051.7649999999</v>
      </c>
      <c r="D34" s="356">
        <f>+'App.2-BA_Fixed Asset Cont'!E218</f>
        <v>0</v>
      </c>
      <c r="E34" s="411"/>
      <c r="F34" s="411"/>
      <c r="G34" s="413">
        <f t="shared" si="0"/>
        <v>0</v>
      </c>
      <c r="H34" s="374">
        <f t="shared" si="6"/>
        <v>0</v>
      </c>
      <c r="I34" s="374">
        <f t="shared" si="7"/>
        <v>0</v>
      </c>
      <c r="J34" s="374">
        <f t="shared" si="8"/>
        <v>0</v>
      </c>
      <c r="K34" s="356">
        <f>-'App.2-BA_Fixed Asset Cont'!J218</f>
        <v>0</v>
      </c>
      <c r="L34" s="374">
        <f t="shared" si="9"/>
        <v>0</v>
      </c>
      <c r="M34" s="374">
        <f t="shared" si="10"/>
        <v>0</v>
      </c>
      <c r="N34" s="356"/>
      <c r="O34" s="374">
        <f t="shared" si="11"/>
        <v>0</v>
      </c>
      <c r="P34" s="374"/>
      <c r="Q34" s="452"/>
      <c r="R34" s="452"/>
      <c r="S34" s="452"/>
      <c r="T34" s="1666"/>
      <c r="U34" s="1667"/>
      <c r="V34" s="1668"/>
      <c r="W34" s="1668"/>
    </row>
    <row r="35" spans="1:23" x14ac:dyDescent="0.2">
      <c r="A35" s="1473">
        <v>1908</v>
      </c>
      <c r="B35" s="363" t="s">
        <v>366</v>
      </c>
      <c r="C35" s="356">
        <f>+'App.2-BA_Fixed Asset Cont'!M95</f>
        <v>0</v>
      </c>
      <c r="D35" s="356">
        <f>+'App.2-BA_Fixed Asset Cont'!E219</f>
        <v>0</v>
      </c>
      <c r="E35" s="411"/>
      <c r="F35" s="411"/>
      <c r="G35" s="413">
        <f t="shared" si="0"/>
        <v>0</v>
      </c>
      <c r="H35" s="374">
        <f t="shared" si="6"/>
        <v>0</v>
      </c>
      <c r="I35" s="374">
        <f t="shared" si="7"/>
        <v>0</v>
      </c>
      <c r="J35" s="374">
        <f t="shared" si="8"/>
        <v>0</v>
      </c>
      <c r="K35" s="356">
        <f>-'App.2-BA_Fixed Asset Cont'!J219</f>
        <v>0</v>
      </c>
      <c r="L35" s="374">
        <f t="shared" si="9"/>
        <v>0</v>
      </c>
      <c r="M35" s="374">
        <f t="shared" si="10"/>
        <v>0</v>
      </c>
      <c r="N35" s="356"/>
      <c r="O35" s="374">
        <f t="shared" si="11"/>
        <v>0</v>
      </c>
      <c r="P35" s="374"/>
      <c r="Q35" s="452"/>
      <c r="R35" s="452"/>
      <c r="S35" s="452"/>
      <c r="T35" s="1666"/>
      <c r="U35" s="1667"/>
      <c r="V35" s="1668"/>
      <c r="W35" s="1668"/>
    </row>
    <row r="36" spans="1:23" x14ac:dyDescent="0.2">
      <c r="A36" s="1473">
        <v>1910</v>
      </c>
      <c r="B36" s="363" t="s">
        <v>392</v>
      </c>
      <c r="C36" s="356">
        <f>+'App.2-BA_Fixed Asset Cont'!M96</f>
        <v>92235</v>
      </c>
      <c r="D36" s="356">
        <f>+'App.2-BA_Fixed Asset Cont'!E220</f>
        <v>0</v>
      </c>
      <c r="E36" s="411">
        <v>1.1499999999999999</v>
      </c>
      <c r="F36" s="411">
        <v>4.7</v>
      </c>
      <c r="G36" s="413">
        <f t="shared" si="0"/>
        <v>0.21276595744680851</v>
      </c>
      <c r="H36" s="374">
        <f t="shared" si="6"/>
        <v>80204.34782608696</v>
      </c>
      <c r="I36" s="374">
        <f t="shared" si="7"/>
        <v>0</v>
      </c>
      <c r="J36" s="374">
        <f t="shared" si="8"/>
        <v>80204.34782608696</v>
      </c>
      <c r="K36" s="356">
        <f>-'App.2-BA_Fixed Asset Cont'!J220</f>
        <v>80211</v>
      </c>
      <c r="L36" s="374">
        <f t="shared" si="9"/>
        <v>-6.6521739130403148</v>
      </c>
      <c r="M36" s="374">
        <f t="shared" si="10"/>
        <v>0</v>
      </c>
      <c r="N36" s="356">
        <v>68187</v>
      </c>
      <c r="O36" s="374">
        <f t="shared" si="11"/>
        <v>12017.34782608696</v>
      </c>
      <c r="P36" s="374"/>
      <c r="Q36" s="452"/>
      <c r="R36" s="452"/>
      <c r="S36" s="452"/>
      <c r="T36" s="1666"/>
      <c r="U36" s="1667"/>
      <c r="V36" s="1668"/>
      <c r="W36" s="1668"/>
    </row>
    <row r="37" spans="1:23" x14ac:dyDescent="0.2">
      <c r="A37" s="1473">
        <v>1915</v>
      </c>
      <c r="B37" s="363" t="s">
        <v>293</v>
      </c>
      <c r="C37" s="356">
        <f>+'App.2-BA_Fixed Asset Cont'!M97</f>
        <v>106742</v>
      </c>
      <c r="D37" s="356">
        <f>+'App.2-BA_Fixed Asset Cont'!E221</f>
        <v>0</v>
      </c>
      <c r="E37" s="411">
        <v>6.3</v>
      </c>
      <c r="F37" s="411">
        <v>10</v>
      </c>
      <c r="G37" s="413">
        <f t="shared" si="0"/>
        <v>0.1</v>
      </c>
      <c r="H37" s="374">
        <f t="shared" si="6"/>
        <v>16943.174603174604</v>
      </c>
      <c r="I37" s="374">
        <f t="shared" si="7"/>
        <v>0</v>
      </c>
      <c r="J37" s="374">
        <f t="shared" si="8"/>
        <v>16943.174603174604</v>
      </c>
      <c r="K37" s="356">
        <f>-'App.2-BA_Fixed Asset Cont'!J221</f>
        <v>16938</v>
      </c>
      <c r="L37" s="374">
        <f t="shared" si="9"/>
        <v>5.1746031746042718</v>
      </c>
      <c r="M37" s="374">
        <f t="shared" si="10"/>
        <v>0</v>
      </c>
      <c r="N37" s="356"/>
      <c r="O37" s="374">
        <f t="shared" si="11"/>
        <v>16943.174603174604</v>
      </c>
      <c r="P37" s="374"/>
      <c r="Q37" s="452"/>
      <c r="R37" s="452"/>
      <c r="S37" s="452"/>
      <c r="T37" s="1666"/>
      <c r="U37" s="1667"/>
      <c r="V37" s="1668"/>
      <c r="W37" s="1668"/>
    </row>
    <row r="38" spans="1:23" x14ac:dyDescent="0.2">
      <c r="A38" s="1473">
        <v>1915</v>
      </c>
      <c r="B38" s="363" t="s">
        <v>294</v>
      </c>
      <c r="C38" s="356">
        <f>+'App.2-BA_Fixed Asset Cont'!M98</f>
        <v>0</v>
      </c>
      <c r="D38" s="356">
        <f>+'App.2-BA_Fixed Asset Cont'!E222</f>
        <v>0</v>
      </c>
      <c r="E38" s="411"/>
      <c r="F38" s="411"/>
      <c r="G38" s="413">
        <f t="shared" si="0"/>
        <v>0</v>
      </c>
      <c r="H38" s="374">
        <f t="shared" si="6"/>
        <v>0</v>
      </c>
      <c r="I38" s="374">
        <f t="shared" si="7"/>
        <v>0</v>
      </c>
      <c r="J38" s="374">
        <f t="shared" si="8"/>
        <v>0</v>
      </c>
      <c r="K38" s="356">
        <f>-'App.2-BA_Fixed Asset Cont'!J222</f>
        <v>0</v>
      </c>
      <c r="L38" s="374">
        <f t="shared" si="9"/>
        <v>0</v>
      </c>
      <c r="M38" s="374">
        <f t="shared" si="10"/>
        <v>0</v>
      </c>
      <c r="N38" s="356"/>
      <c r="O38" s="374">
        <f t="shared" si="11"/>
        <v>0</v>
      </c>
      <c r="P38" s="374"/>
      <c r="Q38" s="452"/>
      <c r="R38" s="452"/>
      <c r="S38" s="452"/>
      <c r="T38" s="1666"/>
      <c r="U38" s="1667"/>
      <c r="V38" s="1668"/>
      <c r="W38" s="1668"/>
    </row>
    <row r="39" spans="1:23" x14ac:dyDescent="0.2">
      <c r="A39" s="1473">
        <v>1920</v>
      </c>
      <c r="B39" s="363" t="s">
        <v>295</v>
      </c>
      <c r="C39" s="356">
        <f>+'App.2-BA_Fixed Asset Cont'!M99</f>
        <v>169661</v>
      </c>
      <c r="D39" s="356">
        <f>+'App.2-BA_Fixed Asset Cont'!E223</f>
        <v>137423</v>
      </c>
      <c r="E39" s="411">
        <v>3.48</v>
      </c>
      <c r="F39" s="411">
        <v>5</v>
      </c>
      <c r="G39" s="413">
        <f t="shared" si="0"/>
        <v>0.2</v>
      </c>
      <c r="H39" s="374">
        <f t="shared" si="6"/>
        <v>48753.160919540227</v>
      </c>
      <c r="I39" s="374">
        <f t="shared" si="7"/>
        <v>13742.3</v>
      </c>
      <c r="J39" s="374">
        <f t="shared" si="8"/>
        <v>62495.46091954023</v>
      </c>
      <c r="K39" s="356">
        <f>-'App.2-BA_Fixed Asset Cont'!J223</f>
        <v>62527</v>
      </c>
      <c r="L39" s="374">
        <f t="shared" si="9"/>
        <v>-31.539080459770048</v>
      </c>
      <c r="M39" s="374">
        <f t="shared" si="10"/>
        <v>27484.6</v>
      </c>
      <c r="N39" s="356"/>
      <c r="O39" s="374">
        <f t="shared" si="11"/>
        <v>76237.760919540218</v>
      </c>
      <c r="P39" s="374"/>
      <c r="Q39" s="452"/>
      <c r="R39" s="452"/>
      <c r="S39" s="452"/>
      <c r="T39" s="1666"/>
      <c r="U39" s="1667"/>
      <c r="V39" s="1668"/>
      <c r="W39" s="1668"/>
    </row>
    <row r="40" spans="1:23" x14ac:dyDescent="0.2">
      <c r="A40" s="368">
        <v>1920</v>
      </c>
      <c r="B40" s="355" t="s">
        <v>297</v>
      </c>
      <c r="C40" s="356">
        <f>+'App.2-BA_Fixed Asset Cont'!M100</f>
        <v>0</v>
      </c>
      <c r="D40" s="356">
        <f>+'App.2-BA_Fixed Asset Cont'!E224</f>
        <v>0</v>
      </c>
      <c r="E40" s="411"/>
      <c r="F40" s="411"/>
      <c r="G40" s="413">
        <f t="shared" si="0"/>
        <v>0</v>
      </c>
      <c r="H40" s="374">
        <f t="shared" si="6"/>
        <v>0</v>
      </c>
      <c r="I40" s="374">
        <f t="shared" si="7"/>
        <v>0</v>
      </c>
      <c r="J40" s="374">
        <f t="shared" si="8"/>
        <v>0</v>
      </c>
      <c r="K40" s="356">
        <f>-'App.2-BA_Fixed Asset Cont'!J224</f>
        <v>0</v>
      </c>
      <c r="L40" s="374">
        <f t="shared" si="9"/>
        <v>0</v>
      </c>
      <c r="M40" s="374">
        <f t="shared" si="10"/>
        <v>0</v>
      </c>
      <c r="N40" s="356"/>
      <c r="O40" s="374">
        <f t="shared" si="11"/>
        <v>0</v>
      </c>
      <c r="P40" s="374"/>
      <c r="Q40" s="452"/>
      <c r="R40" s="452"/>
      <c r="S40" s="452"/>
      <c r="T40" s="1666"/>
      <c r="U40" s="1667"/>
      <c r="V40" s="1668"/>
      <c r="W40" s="1668"/>
    </row>
    <row r="41" spans="1:23" x14ac:dyDescent="0.2">
      <c r="A41" s="368">
        <v>1920</v>
      </c>
      <c r="B41" s="355" t="s">
        <v>296</v>
      </c>
      <c r="C41" s="356">
        <f>+'App.2-BA_Fixed Asset Cont'!M101</f>
        <v>0</v>
      </c>
      <c r="D41" s="356">
        <f>+'App.2-BA_Fixed Asset Cont'!E225</f>
        <v>0</v>
      </c>
      <c r="E41" s="411"/>
      <c r="F41" s="411"/>
      <c r="G41" s="413">
        <f t="shared" si="0"/>
        <v>0</v>
      </c>
      <c r="H41" s="374">
        <f t="shared" si="6"/>
        <v>0</v>
      </c>
      <c r="I41" s="374">
        <f t="shared" si="7"/>
        <v>0</v>
      </c>
      <c r="J41" s="374">
        <f t="shared" si="8"/>
        <v>0</v>
      </c>
      <c r="K41" s="356">
        <f>-'App.2-BA_Fixed Asset Cont'!J225</f>
        <v>0</v>
      </c>
      <c r="L41" s="374">
        <f t="shared" si="9"/>
        <v>0</v>
      </c>
      <c r="M41" s="374">
        <f t="shared" si="10"/>
        <v>0</v>
      </c>
      <c r="N41" s="356"/>
      <c r="O41" s="374">
        <f t="shared" si="11"/>
        <v>0</v>
      </c>
      <c r="P41" s="374"/>
      <c r="Q41" s="452"/>
      <c r="R41" s="452"/>
      <c r="S41" s="452"/>
      <c r="T41" s="1666"/>
      <c r="U41" s="1667"/>
      <c r="V41" s="1668"/>
      <c r="W41" s="1668"/>
    </row>
    <row r="42" spans="1:23" x14ac:dyDescent="0.2">
      <c r="A42" s="1473">
        <v>1930</v>
      </c>
      <c r="B42" s="363" t="s">
        <v>379</v>
      </c>
      <c r="C42" s="356">
        <v>0</v>
      </c>
      <c r="D42" s="356">
        <f>+'App.2-BA_Fixed Asset Cont'!E226</f>
        <v>380175</v>
      </c>
      <c r="E42" s="411"/>
      <c r="F42" s="411">
        <v>12</v>
      </c>
      <c r="G42" s="413">
        <f t="shared" si="0"/>
        <v>8.3333333333333329E-2</v>
      </c>
      <c r="H42" s="374">
        <f t="shared" si="6"/>
        <v>0</v>
      </c>
      <c r="I42" s="374">
        <f t="shared" si="7"/>
        <v>15840.625</v>
      </c>
      <c r="J42" s="374">
        <f t="shared" si="8"/>
        <v>15840.625</v>
      </c>
      <c r="K42" s="356"/>
      <c r="L42" s="374">
        <f t="shared" si="9"/>
        <v>15840.625</v>
      </c>
      <c r="M42" s="374">
        <f t="shared" si="10"/>
        <v>31681.25</v>
      </c>
      <c r="N42" s="356"/>
      <c r="O42" s="374">
        <f t="shared" si="11"/>
        <v>31681.25</v>
      </c>
      <c r="P42" s="374"/>
      <c r="Q42" s="452"/>
      <c r="R42" s="452"/>
      <c r="S42" s="452"/>
      <c r="T42" s="1666"/>
      <c r="U42" s="1667"/>
      <c r="V42" s="1668"/>
      <c r="W42" s="1668"/>
    </row>
    <row r="43" spans="1:23" x14ac:dyDescent="0.2">
      <c r="A43" s="1551">
        <v>1930</v>
      </c>
      <c r="B43" s="363" t="s">
        <v>379</v>
      </c>
      <c r="C43" s="356">
        <f>+'App.2-BA_Fixed Asset Cont'!M102</f>
        <v>449898.17000000016</v>
      </c>
      <c r="D43" s="356"/>
      <c r="E43" s="411">
        <v>7.68</v>
      </c>
      <c r="F43" s="411">
        <v>8</v>
      </c>
      <c r="G43" s="413">
        <f t="shared" si="0"/>
        <v>0.125</v>
      </c>
      <c r="H43" s="374">
        <f t="shared" si="6"/>
        <v>58580.490885416686</v>
      </c>
      <c r="I43" s="374">
        <f t="shared" ref="I43" si="12">IF(F43=0,0,+(D43*0.5)/F43)</f>
        <v>0</v>
      </c>
      <c r="J43" s="374">
        <f t="shared" ref="J43" si="13">IF(ISERROR(+H43+I43), 0, +H43+I43)</f>
        <v>58580.490885416686</v>
      </c>
      <c r="K43" s="356">
        <f>-'App.2-BA_Fixed Asset Cont'!J226</f>
        <v>74427</v>
      </c>
      <c r="L43" s="374">
        <f t="shared" si="9"/>
        <v>-15846.509114583314</v>
      </c>
      <c r="M43" s="374">
        <f t="shared" si="10"/>
        <v>0</v>
      </c>
      <c r="N43" s="356"/>
      <c r="O43" s="374">
        <f t="shared" si="11"/>
        <v>58580.490885416686</v>
      </c>
      <c r="P43" s="374"/>
      <c r="Q43" s="452"/>
      <c r="R43" s="452"/>
      <c r="S43" s="452"/>
      <c r="T43" s="1666"/>
      <c r="U43" s="1667"/>
      <c r="V43" s="1668"/>
      <c r="W43" s="1668"/>
    </row>
    <row r="44" spans="1:23" x14ac:dyDescent="0.2">
      <c r="A44" s="1473">
        <v>1935</v>
      </c>
      <c r="B44" s="363" t="s">
        <v>380</v>
      </c>
      <c r="C44" s="356">
        <f>+'App.2-BA_Fixed Asset Cont'!M103</f>
        <v>52993.320000000007</v>
      </c>
      <c r="D44" s="356">
        <f>+'App.2-BA_Fixed Asset Cont'!E227</f>
        <v>56545</v>
      </c>
      <c r="E44" s="411">
        <v>8.75</v>
      </c>
      <c r="F44" s="411">
        <v>12</v>
      </c>
      <c r="G44" s="413">
        <f t="shared" si="0"/>
        <v>8.3333333333333329E-2</v>
      </c>
      <c r="H44" s="374">
        <f t="shared" si="6"/>
        <v>6056.3794285714293</v>
      </c>
      <c r="I44" s="374">
        <f t="shared" si="7"/>
        <v>2356.0416666666665</v>
      </c>
      <c r="J44" s="374">
        <f t="shared" si="8"/>
        <v>8412.4210952380963</v>
      </c>
      <c r="K44" s="356">
        <f>-'App.2-BA_Fixed Asset Cont'!J227</f>
        <v>5012</v>
      </c>
      <c r="L44" s="374">
        <f t="shared" si="9"/>
        <v>3400.4210952380963</v>
      </c>
      <c r="M44" s="374">
        <f t="shared" si="10"/>
        <v>4712.083333333333</v>
      </c>
      <c r="N44" s="356">
        <v>3400</v>
      </c>
      <c r="O44" s="374">
        <f t="shared" si="11"/>
        <v>7368.4627619047624</v>
      </c>
      <c r="P44" s="374"/>
      <c r="Q44" s="452"/>
      <c r="R44" s="452"/>
      <c r="S44" s="452"/>
      <c r="T44" s="1666"/>
      <c r="U44" s="1667"/>
      <c r="V44" s="1668"/>
      <c r="W44" s="1668"/>
    </row>
    <row r="45" spans="1:23" x14ac:dyDescent="0.2">
      <c r="A45" s="1473">
        <v>1940</v>
      </c>
      <c r="B45" s="363" t="s">
        <v>381</v>
      </c>
      <c r="C45" s="356">
        <f>+'App.2-BA_Fixed Asset Cont'!M104</f>
        <v>23386.399999999965</v>
      </c>
      <c r="D45" s="356">
        <f>+'App.2-BA_Fixed Asset Cont'!E228</f>
        <v>5382</v>
      </c>
      <c r="E45" s="411">
        <v>3.16</v>
      </c>
      <c r="F45" s="411">
        <v>10</v>
      </c>
      <c r="G45" s="413">
        <f t="shared" si="0"/>
        <v>0.1</v>
      </c>
      <c r="H45" s="374">
        <f t="shared" si="6"/>
        <v>7400.7594936708747</v>
      </c>
      <c r="I45" s="374">
        <f t="shared" si="7"/>
        <v>269.10000000000002</v>
      </c>
      <c r="J45" s="374">
        <f t="shared" si="8"/>
        <v>7669.8594936708751</v>
      </c>
      <c r="K45" s="356">
        <f>-'App.2-BA_Fixed Asset Cont'!J228</f>
        <v>7663</v>
      </c>
      <c r="L45" s="374">
        <f t="shared" si="9"/>
        <v>6.8594936708750538</v>
      </c>
      <c r="M45" s="374">
        <f t="shared" si="10"/>
        <v>538.20000000000005</v>
      </c>
      <c r="N45" s="356"/>
      <c r="O45" s="374">
        <f t="shared" si="11"/>
        <v>7938.9594936708745</v>
      </c>
      <c r="P45" s="374"/>
      <c r="Q45" s="452"/>
      <c r="R45" s="452"/>
      <c r="S45" s="452"/>
      <c r="T45" s="1666"/>
      <c r="U45" s="1667"/>
      <c r="V45" s="1668"/>
      <c r="W45" s="1668"/>
    </row>
    <row r="46" spans="1:23" x14ac:dyDescent="0.2">
      <c r="A46" s="1473">
        <v>1945</v>
      </c>
      <c r="B46" s="363" t="s">
        <v>382</v>
      </c>
      <c r="C46" s="356">
        <f>+'App.2-BA_Fixed Asset Cont'!M105</f>
        <v>90452.83</v>
      </c>
      <c r="D46" s="356">
        <f>+'App.2-BA_Fixed Asset Cont'!E229</f>
        <v>2345</v>
      </c>
      <c r="E46" s="411">
        <v>9.7899999999999991</v>
      </c>
      <c r="F46" s="411">
        <v>10</v>
      </c>
      <c r="G46" s="413">
        <f t="shared" si="0"/>
        <v>0.1</v>
      </c>
      <c r="H46" s="374">
        <f t="shared" si="6"/>
        <v>9239.3084780388162</v>
      </c>
      <c r="I46" s="374">
        <f t="shared" si="7"/>
        <v>117.25</v>
      </c>
      <c r="J46" s="374">
        <f t="shared" si="8"/>
        <v>9356.5584780388162</v>
      </c>
      <c r="K46" s="356">
        <f>-'App.2-BA_Fixed Asset Cont'!J229</f>
        <v>9356</v>
      </c>
      <c r="L46" s="374">
        <f t="shared" si="9"/>
        <v>0.55847803881624714</v>
      </c>
      <c r="M46" s="374">
        <f t="shared" si="10"/>
        <v>234.5</v>
      </c>
      <c r="N46" s="356"/>
      <c r="O46" s="374">
        <f t="shared" si="11"/>
        <v>9473.8084780388162</v>
      </c>
      <c r="P46" s="374"/>
      <c r="Q46" s="452"/>
      <c r="R46" s="452"/>
      <c r="S46" s="452"/>
      <c r="T46" s="1666"/>
      <c r="U46" s="1667"/>
      <c r="V46" s="1668"/>
      <c r="W46" s="1668"/>
    </row>
    <row r="47" spans="1:23" x14ac:dyDescent="0.2">
      <c r="A47" s="1473">
        <v>1950</v>
      </c>
      <c r="B47" s="363" t="s">
        <v>298</v>
      </c>
      <c r="C47" s="356">
        <f>+'App.2-BA_Fixed Asset Cont'!M106</f>
        <v>0</v>
      </c>
      <c r="D47" s="356">
        <f>+'App.2-BA_Fixed Asset Cont'!E230</f>
        <v>0</v>
      </c>
      <c r="E47" s="411"/>
      <c r="F47" s="411"/>
      <c r="G47" s="413">
        <f t="shared" si="0"/>
        <v>0</v>
      </c>
      <c r="H47" s="374">
        <f t="shared" si="6"/>
        <v>0</v>
      </c>
      <c r="I47" s="374">
        <f t="shared" si="7"/>
        <v>0</v>
      </c>
      <c r="J47" s="374">
        <f t="shared" si="8"/>
        <v>0</v>
      </c>
      <c r="K47" s="356">
        <f>-'App.2-BA_Fixed Asset Cont'!J230</f>
        <v>0</v>
      </c>
      <c r="L47" s="374">
        <f t="shared" si="9"/>
        <v>0</v>
      </c>
      <c r="M47" s="374">
        <f t="shared" si="10"/>
        <v>0</v>
      </c>
      <c r="N47" s="356"/>
      <c r="O47" s="374">
        <f t="shared" si="11"/>
        <v>0</v>
      </c>
      <c r="P47" s="374"/>
      <c r="Q47" s="452"/>
      <c r="R47" s="452"/>
      <c r="S47" s="452"/>
      <c r="T47" s="1666"/>
      <c r="U47" s="1667"/>
      <c r="V47" s="1668"/>
      <c r="W47" s="1668"/>
    </row>
    <row r="48" spans="1:23" x14ac:dyDescent="0.2">
      <c r="A48" s="1473">
        <v>1955</v>
      </c>
      <c r="B48" s="363" t="s">
        <v>383</v>
      </c>
      <c r="C48" s="356">
        <f>+'App.2-BA_Fixed Asset Cont'!M107</f>
        <v>59263.820000000007</v>
      </c>
      <c r="D48" s="356">
        <f>+'App.2-BA_Fixed Asset Cont'!E231</f>
        <v>3896</v>
      </c>
      <c r="E48" s="411">
        <v>5.57</v>
      </c>
      <c r="F48" s="411">
        <v>10</v>
      </c>
      <c r="G48" s="413">
        <f t="shared" si="0"/>
        <v>0.1</v>
      </c>
      <c r="H48" s="374">
        <f t="shared" si="6"/>
        <v>10639.824057450629</v>
      </c>
      <c r="I48" s="374">
        <f t="shared" si="7"/>
        <v>194.8</v>
      </c>
      <c r="J48" s="374">
        <f t="shared" si="8"/>
        <v>10834.624057450628</v>
      </c>
      <c r="K48" s="356">
        <f>-'App.2-BA_Fixed Asset Cont'!J231</f>
        <v>10829</v>
      </c>
      <c r="L48" s="374">
        <f t="shared" si="9"/>
        <v>5.6240574506282428</v>
      </c>
      <c r="M48" s="374">
        <f t="shared" si="10"/>
        <v>389.6</v>
      </c>
      <c r="N48" s="356"/>
      <c r="O48" s="374">
        <f t="shared" si="11"/>
        <v>11029.424057450629</v>
      </c>
      <c r="P48" s="374"/>
      <c r="Q48" s="452"/>
      <c r="R48" s="452"/>
      <c r="S48" s="452"/>
      <c r="T48" s="1666"/>
      <c r="U48" s="1667"/>
      <c r="V48" s="1668"/>
      <c r="W48" s="1668"/>
    </row>
    <row r="49" spans="1:23" x14ac:dyDescent="0.2">
      <c r="A49" s="364">
        <v>1955</v>
      </c>
      <c r="B49" s="367" t="s">
        <v>299</v>
      </c>
      <c r="C49" s="356">
        <f>+'App.2-BA_Fixed Asset Cont'!M108</f>
        <v>0</v>
      </c>
      <c r="D49" s="356">
        <f>+'App.2-BA_Fixed Asset Cont'!E232</f>
        <v>0</v>
      </c>
      <c r="E49" s="411"/>
      <c r="F49" s="411"/>
      <c r="G49" s="413">
        <f t="shared" si="0"/>
        <v>0</v>
      </c>
      <c r="H49" s="374">
        <f t="shared" si="6"/>
        <v>0</v>
      </c>
      <c r="I49" s="374">
        <f t="shared" si="7"/>
        <v>0</v>
      </c>
      <c r="J49" s="374">
        <f t="shared" si="8"/>
        <v>0</v>
      </c>
      <c r="K49" s="356">
        <f>-'App.2-BA_Fixed Asset Cont'!J232</f>
        <v>0</v>
      </c>
      <c r="L49" s="374">
        <f t="shared" si="9"/>
        <v>0</v>
      </c>
      <c r="M49" s="374">
        <f t="shared" si="10"/>
        <v>0</v>
      </c>
      <c r="N49" s="356"/>
      <c r="O49" s="374">
        <f t="shared" si="11"/>
        <v>0</v>
      </c>
      <c r="P49" s="374"/>
      <c r="Q49" s="452"/>
      <c r="R49" s="452"/>
      <c r="S49" s="452"/>
      <c r="T49" s="1666"/>
      <c r="U49" s="1667"/>
      <c r="V49" s="1668"/>
      <c r="W49" s="1668"/>
    </row>
    <row r="50" spans="1:23" x14ac:dyDescent="0.2">
      <c r="A50" s="368">
        <v>1960</v>
      </c>
      <c r="B50" s="355" t="s">
        <v>300</v>
      </c>
      <c r="C50" s="356">
        <f>+'App.2-BA_Fixed Asset Cont'!M109</f>
        <v>0</v>
      </c>
      <c r="D50" s="356">
        <f>+'App.2-BA_Fixed Asset Cont'!E233</f>
        <v>0</v>
      </c>
      <c r="E50" s="411"/>
      <c r="F50" s="411"/>
      <c r="G50" s="413">
        <f t="shared" si="0"/>
        <v>0</v>
      </c>
      <c r="H50" s="374">
        <f t="shared" si="6"/>
        <v>0</v>
      </c>
      <c r="I50" s="374">
        <f t="shared" si="7"/>
        <v>0</v>
      </c>
      <c r="J50" s="374">
        <f t="shared" si="8"/>
        <v>0</v>
      </c>
      <c r="K50" s="356">
        <f>-'App.2-BA_Fixed Asset Cont'!J233</f>
        <v>0</v>
      </c>
      <c r="L50" s="374">
        <f t="shared" si="9"/>
        <v>0</v>
      </c>
      <c r="M50" s="374">
        <f t="shared" si="10"/>
        <v>0</v>
      </c>
      <c r="N50" s="356"/>
      <c r="O50" s="374">
        <f t="shared" si="11"/>
        <v>0</v>
      </c>
      <c r="P50" s="374"/>
      <c r="Q50" s="452"/>
      <c r="R50" s="452"/>
      <c r="S50" s="452"/>
      <c r="T50" s="1666"/>
      <c r="U50" s="1667"/>
      <c r="V50" s="1668"/>
      <c r="W50" s="1668"/>
    </row>
    <row r="51" spans="1:23" x14ac:dyDescent="0.2">
      <c r="A51" s="368">
        <v>1970</v>
      </c>
      <c r="B51" s="1474" t="s">
        <v>712</v>
      </c>
      <c r="C51" s="356">
        <f>+'App.2-BA_Fixed Asset Cont'!M110</f>
        <v>0</v>
      </c>
      <c r="D51" s="356">
        <f>+'App.2-BA_Fixed Asset Cont'!E234</f>
        <v>0</v>
      </c>
      <c r="E51" s="411"/>
      <c r="F51" s="411"/>
      <c r="G51" s="413">
        <f t="shared" si="0"/>
        <v>0</v>
      </c>
      <c r="H51" s="374">
        <f t="shared" si="6"/>
        <v>0</v>
      </c>
      <c r="I51" s="374">
        <f t="shared" si="7"/>
        <v>0</v>
      </c>
      <c r="J51" s="374">
        <f t="shared" si="8"/>
        <v>0</v>
      </c>
      <c r="K51" s="356">
        <f>-'App.2-BA_Fixed Asset Cont'!J234</f>
        <v>0</v>
      </c>
      <c r="L51" s="374">
        <f t="shared" si="9"/>
        <v>0</v>
      </c>
      <c r="M51" s="374">
        <f t="shared" si="10"/>
        <v>0</v>
      </c>
      <c r="N51" s="356"/>
      <c r="O51" s="374">
        <f t="shared" si="11"/>
        <v>0</v>
      </c>
      <c r="P51" s="374"/>
      <c r="Q51" s="452"/>
      <c r="R51" s="452"/>
      <c r="S51" s="452"/>
      <c r="T51" s="1666"/>
      <c r="U51" s="1667"/>
      <c r="V51" s="1668"/>
      <c r="W51" s="1668"/>
    </row>
    <row r="52" spans="1:23" x14ac:dyDescent="0.2">
      <c r="A52" s="1473">
        <v>1975</v>
      </c>
      <c r="B52" s="363" t="s">
        <v>384</v>
      </c>
      <c r="C52" s="356">
        <f>+'App.2-BA_Fixed Asset Cont'!M111</f>
        <v>0</v>
      </c>
      <c r="D52" s="356">
        <f>+'App.2-BA_Fixed Asset Cont'!E235</f>
        <v>0</v>
      </c>
      <c r="E52" s="411"/>
      <c r="F52" s="411"/>
      <c r="G52" s="413">
        <f t="shared" si="0"/>
        <v>0</v>
      </c>
      <c r="H52" s="374">
        <f t="shared" si="6"/>
        <v>0</v>
      </c>
      <c r="I52" s="374">
        <f t="shared" si="7"/>
        <v>0</v>
      </c>
      <c r="J52" s="374">
        <f t="shared" si="8"/>
        <v>0</v>
      </c>
      <c r="K52" s="356">
        <f>-'App.2-BA_Fixed Asset Cont'!J235</f>
        <v>0</v>
      </c>
      <c r="L52" s="374">
        <f t="shared" si="9"/>
        <v>0</v>
      </c>
      <c r="M52" s="374">
        <f t="shared" si="10"/>
        <v>0</v>
      </c>
      <c r="N52" s="356"/>
      <c r="O52" s="374">
        <f t="shared" si="11"/>
        <v>0</v>
      </c>
      <c r="P52" s="374"/>
      <c r="Q52" s="452"/>
      <c r="R52" s="452"/>
      <c r="S52" s="452"/>
      <c r="T52" s="1666"/>
      <c r="U52" s="1667"/>
      <c r="V52" s="1668"/>
      <c r="W52" s="1668"/>
    </row>
    <row r="53" spans="1:23" x14ac:dyDescent="0.2">
      <c r="A53" s="1473">
        <v>1980</v>
      </c>
      <c r="B53" s="363" t="s">
        <v>385</v>
      </c>
      <c r="C53" s="356">
        <f>+'App.2-BA_Fixed Asset Cont'!M112</f>
        <v>0</v>
      </c>
      <c r="D53" s="356">
        <f>+'App.2-BA_Fixed Asset Cont'!E236</f>
        <v>52654</v>
      </c>
      <c r="E53" s="411">
        <v>0</v>
      </c>
      <c r="F53" s="411">
        <v>15</v>
      </c>
      <c r="G53" s="413">
        <f t="shared" si="0"/>
        <v>6.6666666666666666E-2</v>
      </c>
      <c r="H53" s="374">
        <f t="shared" si="6"/>
        <v>0</v>
      </c>
      <c r="I53" s="374">
        <f t="shared" si="7"/>
        <v>1755.1333333333334</v>
      </c>
      <c r="J53" s="374">
        <f t="shared" si="8"/>
        <v>1755.1333333333334</v>
      </c>
      <c r="K53" s="356">
        <f>-'App.2-BA_Fixed Asset Cont'!J236</f>
        <v>1757</v>
      </c>
      <c r="L53" s="374">
        <f t="shared" si="9"/>
        <v>-1.8666666666665606</v>
      </c>
      <c r="M53" s="374">
        <f t="shared" si="10"/>
        <v>3510.2666666666669</v>
      </c>
      <c r="N53" s="356"/>
      <c r="O53" s="374">
        <f t="shared" si="11"/>
        <v>3510.2666666666669</v>
      </c>
      <c r="P53" s="374"/>
      <c r="Q53" s="452"/>
      <c r="R53" s="452"/>
      <c r="S53" s="452"/>
      <c r="T53" s="1666"/>
      <c r="U53" s="1667"/>
      <c r="V53" s="1668"/>
      <c r="W53" s="1668"/>
    </row>
    <row r="54" spans="1:23" x14ac:dyDescent="0.2">
      <c r="A54" s="1473">
        <v>1985</v>
      </c>
      <c r="B54" s="363" t="s">
        <v>386</v>
      </c>
      <c r="C54" s="356">
        <f>+'App.2-BA_Fixed Asset Cont'!M113</f>
        <v>0</v>
      </c>
      <c r="D54" s="356">
        <f>+'App.2-BA_Fixed Asset Cont'!E237</f>
        <v>0</v>
      </c>
      <c r="E54" s="411"/>
      <c r="F54" s="411"/>
      <c r="G54" s="413">
        <f t="shared" si="0"/>
        <v>0</v>
      </c>
      <c r="H54" s="374">
        <f t="shared" si="6"/>
        <v>0</v>
      </c>
      <c r="I54" s="374">
        <f t="shared" si="7"/>
        <v>0</v>
      </c>
      <c r="J54" s="374">
        <f t="shared" si="8"/>
        <v>0</v>
      </c>
      <c r="K54" s="356">
        <f>-'App.2-BA_Fixed Asset Cont'!J237</f>
        <v>0</v>
      </c>
      <c r="L54" s="374">
        <f t="shared" si="9"/>
        <v>0</v>
      </c>
      <c r="M54" s="374">
        <f t="shared" si="10"/>
        <v>0</v>
      </c>
      <c r="N54" s="356"/>
      <c r="O54" s="374">
        <f t="shared" si="11"/>
        <v>0</v>
      </c>
      <c r="P54" s="374"/>
      <c r="Q54" s="452"/>
      <c r="R54" s="452"/>
      <c r="S54" s="452"/>
      <c r="T54" s="1666"/>
      <c r="U54" s="1667"/>
      <c r="V54" s="1668"/>
      <c r="W54" s="1668"/>
    </row>
    <row r="55" spans="1:23" x14ac:dyDescent="0.2">
      <c r="A55" s="1473">
        <v>1990</v>
      </c>
      <c r="B55" s="1475" t="s">
        <v>650</v>
      </c>
      <c r="C55" s="356">
        <f>+'App.2-BA_Fixed Asset Cont'!M114</f>
        <v>112600.10999999999</v>
      </c>
      <c r="D55" s="356">
        <f>+'App.2-BA_Fixed Asset Cont'!E238</f>
        <v>0</v>
      </c>
      <c r="E55" s="411">
        <v>8.4700000000000006</v>
      </c>
      <c r="F55" s="411">
        <v>10</v>
      </c>
      <c r="G55" s="413">
        <f t="shared" si="0"/>
        <v>0.1</v>
      </c>
      <c r="H55" s="374">
        <f t="shared" si="6"/>
        <v>13293.991735537187</v>
      </c>
      <c r="I55" s="374">
        <f t="shared" si="7"/>
        <v>0</v>
      </c>
      <c r="J55" s="374">
        <f t="shared" si="8"/>
        <v>13293.991735537187</v>
      </c>
      <c r="K55" s="356">
        <f>-'App.2-BA_Fixed Asset Cont'!J238</f>
        <v>13301</v>
      </c>
      <c r="L55" s="374">
        <f t="shared" si="9"/>
        <v>-7.0082644628128037</v>
      </c>
      <c r="M55" s="374">
        <f t="shared" si="10"/>
        <v>0</v>
      </c>
      <c r="N55" s="356"/>
      <c r="O55" s="374">
        <f t="shared" si="11"/>
        <v>13293.991735537187</v>
      </c>
      <c r="P55" s="374"/>
      <c r="Q55" s="452"/>
      <c r="R55" s="452"/>
      <c r="S55" s="452"/>
      <c r="T55" s="1666"/>
      <c r="U55" s="1667"/>
      <c r="V55" s="1668"/>
      <c r="W55" s="1668"/>
    </row>
    <row r="56" spans="1:23" ht="13.5" thickBot="1" x14ac:dyDescent="0.25">
      <c r="A56" s="1473">
        <v>1995</v>
      </c>
      <c r="B56" s="363" t="s">
        <v>387</v>
      </c>
      <c r="C56" s="356">
        <f>+'App.2-BA_Fixed Asset Cont'!M115</f>
        <v>-32612882.840000004</v>
      </c>
      <c r="D56" s="356">
        <f>+'App.2-BA_Fixed Asset Cont'!E239</f>
        <v>-3155364</v>
      </c>
      <c r="E56" s="420">
        <v>36.54</v>
      </c>
      <c r="F56" s="420">
        <v>42.5</v>
      </c>
      <c r="G56" s="421">
        <f t="shared" si="0"/>
        <v>2.3529411764705882E-2</v>
      </c>
      <c r="H56" s="446">
        <f t="shared" si="6"/>
        <v>-892525.52928297769</v>
      </c>
      <c r="I56" s="446">
        <f t="shared" si="7"/>
        <v>-37121.929411764708</v>
      </c>
      <c r="J56" s="446">
        <f t="shared" si="8"/>
        <v>-929647.45869474241</v>
      </c>
      <c r="K56" s="356">
        <f>-'App.2-BA_Fixed Asset Cont'!J239</f>
        <v>-929573</v>
      </c>
      <c r="L56" s="446">
        <f t="shared" si="9"/>
        <v>-74.458694742410444</v>
      </c>
      <c r="M56" s="446">
        <f t="shared" si="10"/>
        <v>-74243.858823529416</v>
      </c>
      <c r="N56" s="418"/>
      <c r="O56" s="446">
        <f t="shared" si="11"/>
        <v>-966769.38810650713</v>
      </c>
      <c r="P56" s="446"/>
      <c r="Q56" s="452"/>
      <c r="R56" s="452"/>
      <c r="S56" s="452"/>
      <c r="T56" s="1666"/>
      <c r="U56" s="1667"/>
      <c r="V56" s="1668"/>
      <c r="W56" s="1668"/>
    </row>
    <row r="57" spans="1:23" ht="14.25" thickTop="1" thickBot="1" x14ac:dyDescent="0.25">
      <c r="A57" s="422"/>
      <c r="B57" s="423" t="s">
        <v>388</v>
      </c>
      <c r="C57" s="447">
        <f>SUM(C17:C56)</f>
        <v>55246446.654999986</v>
      </c>
      <c r="D57" s="447">
        <f>SUM(D17:D56)</f>
        <v>5537617</v>
      </c>
      <c r="E57" s="487"/>
      <c r="F57" s="448"/>
      <c r="G57" s="449"/>
      <c r="H57" s="447">
        <f>SUM(H17:H56)</f>
        <v>2569743.2708745031</v>
      </c>
      <c r="I57" s="447">
        <f t="shared" ref="I57:J57" si="14">SUM(I17:I56)</f>
        <v>126582.7330882353</v>
      </c>
      <c r="J57" s="447">
        <f t="shared" si="14"/>
        <v>2696326.0039627389</v>
      </c>
      <c r="K57" s="447">
        <f>SUM(K17:K56)</f>
        <v>2554121</v>
      </c>
      <c r="L57" s="447">
        <f t="shared" ref="L57:P57" si="15">SUM(L17:L56)</f>
        <v>142205.00396273923</v>
      </c>
      <c r="M57" s="447">
        <f t="shared" si="15"/>
        <v>253165.4661764706</v>
      </c>
      <c r="N57" s="447">
        <f t="shared" si="15"/>
        <v>80882</v>
      </c>
      <c r="O57" s="447">
        <f t="shared" si="15"/>
        <v>2543711.7370509743</v>
      </c>
      <c r="P57" s="447">
        <f t="shared" si="15"/>
        <v>-198315</v>
      </c>
      <c r="Q57" s="452"/>
      <c r="R57" s="452"/>
      <c r="S57" s="452"/>
    </row>
    <row r="58" spans="1:23" ht="7.5" customHeight="1" x14ac:dyDescent="0.2">
      <c r="P58"/>
    </row>
    <row r="59" spans="1:23" x14ac:dyDescent="0.2">
      <c r="A59" s="334" t="s">
        <v>13</v>
      </c>
      <c r="B59" s="158"/>
      <c r="C59" s="158"/>
      <c r="D59" s="158"/>
      <c r="E59" s="158"/>
      <c r="F59" s="158"/>
      <c r="G59" s="158"/>
      <c r="H59" s="158"/>
      <c r="I59" s="158"/>
      <c r="J59" s="158"/>
      <c r="K59" s="158"/>
      <c r="L59" s="158"/>
      <c r="P59"/>
    </row>
    <row r="60" spans="1:23" ht="7.5" customHeight="1" x14ac:dyDescent="0.2">
      <c r="A60" s="158"/>
      <c r="B60" s="158"/>
      <c r="C60" s="158"/>
      <c r="D60" s="158"/>
      <c r="E60" s="158"/>
      <c r="F60" s="158"/>
      <c r="G60" s="158"/>
      <c r="H60" s="158"/>
      <c r="I60" s="158"/>
      <c r="J60" s="158"/>
      <c r="K60" s="158"/>
      <c r="L60" s="158"/>
      <c r="P60"/>
    </row>
    <row r="61" spans="1:23" x14ac:dyDescent="0.2">
      <c r="A61" s="455">
        <v>1</v>
      </c>
      <c r="B61" s="2001" t="s">
        <v>524</v>
      </c>
      <c r="C61" s="2001"/>
      <c r="D61" s="2001"/>
      <c r="E61" s="2001"/>
      <c r="F61" s="2001"/>
      <c r="G61" s="2001"/>
      <c r="H61" s="2001"/>
      <c r="I61" s="2001"/>
      <c r="J61" s="2001"/>
      <c r="K61" s="2001"/>
      <c r="L61" s="2001"/>
      <c r="M61" s="2001"/>
      <c r="N61" s="2001"/>
      <c r="O61" s="2001"/>
      <c r="P61"/>
      <c r="Q61" s="1550"/>
      <c r="R61" s="1550"/>
      <c r="S61" s="1550"/>
    </row>
    <row r="62" spans="1:23" x14ac:dyDescent="0.2">
      <c r="A62" s="455">
        <v>2</v>
      </c>
      <c r="B62" s="2001" t="s">
        <v>1498</v>
      </c>
      <c r="C62" s="2001"/>
      <c r="D62" s="2001"/>
      <c r="E62" s="2001"/>
      <c r="F62" s="2001"/>
      <c r="G62" s="2001"/>
      <c r="H62" s="2001"/>
      <c r="I62" s="2001"/>
      <c r="J62" s="2001"/>
      <c r="K62" s="2001"/>
      <c r="L62" s="2001"/>
      <c r="M62" s="2001"/>
      <c r="N62" s="2001"/>
      <c r="O62" s="2001"/>
      <c r="P62"/>
      <c r="Q62" s="1550"/>
      <c r="R62" s="1550"/>
      <c r="S62" s="1550"/>
    </row>
    <row r="63" spans="1:23" ht="40.5" customHeight="1" x14ac:dyDescent="0.2">
      <c r="A63" s="455">
        <v>3</v>
      </c>
      <c r="B63" s="2001" t="s">
        <v>1609</v>
      </c>
      <c r="C63" s="2001"/>
      <c r="D63" s="2001"/>
      <c r="E63" s="2001"/>
      <c r="F63" s="2001"/>
      <c r="G63" s="2001"/>
      <c r="H63" s="2001"/>
      <c r="I63" s="2001"/>
      <c r="J63" s="2001"/>
      <c r="K63" s="2001"/>
      <c r="L63" s="2001"/>
      <c r="M63" s="2001"/>
      <c r="N63" s="2001"/>
      <c r="O63" s="2001"/>
      <c r="P63"/>
      <c r="Q63" s="1550"/>
      <c r="R63" s="1550"/>
      <c r="S63" s="1550"/>
    </row>
    <row r="64" spans="1:23" ht="53.25" customHeight="1" x14ac:dyDescent="0.2">
      <c r="A64" s="431">
        <v>4</v>
      </c>
      <c r="B64" s="2001" t="s">
        <v>1608</v>
      </c>
      <c r="C64" s="2001"/>
      <c r="D64" s="2001"/>
      <c r="E64" s="2001"/>
      <c r="F64" s="2001"/>
      <c r="G64" s="2001"/>
      <c r="H64" s="2001"/>
      <c r="I64" s="2001"/>
      <c r="J64" s="2001"/>
      <c r="K64" s="2001"/>
      <c r="L64" s="2001"/>
      <c r="M64" s="2001"/>
      <c r="N64" s="2001"/>
      <c r="O64" s="2001"/>
      <c r="P64"/>
      <c r="Q64" s="1550"/>
      <c r="R64" s="1550"/>
      <c r="S64" s="1550"/>
    </row>
    <row r="65" spans="1:19" ht="16.5" customHeight="1" x14ac:dyDescent="0.2">
      <c r="A65" s="431">
        <v>5</v>
      </c>
      <c r="B65" s="2082" t="s">
        <v>526</v>
      </c>
      <c r="C65" s="2082"/>
      <c r="D65" s="2082"/>
      <c r="E65" s="2082"/>
      <c r="F65" s="2082"/>
      <c r="G65" s="2082"/>
      <c r="H65" s="2082"/>
      <c r="I65" s="2082"/>
      <c r="J65" s="2082"/>
      <c r="K65" s="2082"/>
      <c r="L65" s="2082"/>
      <c r="M65" s="2082"/>
      <c r="N65" s="2082"/>
      <c r="O65" s="2082"/>
      <c r="P65"/>
      <c r="Q65" s="1556"/>
      <c r="R65" s="1556"/>
      <c r="S65" s="1556"/>
    </row>
    <row r="66" spans="1:19" ht="14.25" customHeight="1" x14ac:dyDescent="0.2">
      <c r="A66" s="431">
        <v>6</v>
      </c>
      <c r="B66" s="2001" t="s">
        <v>614</v>
      </c>
      <c r="C66" s="2001"/>
      <c r="D66" s="2001"/>
      <c r="E66" s="2001"/>
      <c r="F66" s="2001"/>
      <c r="G66" s="2001"/>
      <c r="H66" s="2001"/>
      <c r="I66" s="2001"/>
      <c r="J66" s="2001"/>
      <c r="K66" s="2001"/>
      <c r="L66" s="2001"/>
      <c r="M66" s="2001"/>
      <c r="N66" s="2001"/>
      <c r="O66" s="2001"/>
      <c r="P66"/>
      <c r="Q66" s="1550"/>
      <c r="R66" s="1550"/>
      <c r="S66" s="1550"/>
    </row>
    <row r="67" spans="1:19" ht="14.25" customHeight="1" x14ac:dyDescent="0.2">
      <c r="A67" s="431"/>
      <c r="B67" s="1472"/>
      <c r="C67" s="1472"/>
      <c r="D67" s="1472"/>
      <c r="E67" s="1472"/>
      <c r="F67" s="1472"/>
      <c r="G67" s="1472"/>
      <c r="H67" s="1472"/>
      <c r="I67" s="1472"/>
      <c r="J67" s="1472"/>
      <c r="K67" s="1472"/>
      <c r="L67" s="1472"/>
      <c r="M67" s="1472"/>
      <c r="N67" s="1472"/>
      <c r="O67" s="1472"/>
      <c r="P67"/>
      <c r="Q67" s="1550"/>
      <c r="R67" s="1550"/>
      <c r="S67" s="1550"/>
    </row>
    <row r="68" spans="1:19" ht="12.75" customHeight="1" x14ac:dyDescent="0.2">
      <c r="A68" s="334" t="s">
        <v>306</v>
      </c>
      <c r="B68" s="2069" t="s">
        <v>257</v>
      </c>
      <c r="C68" s="2069"/>
      <c r="D68" s="2069"/>
      <c r="E68" s="2069"/>
      <c r="F68" s="2069"/>
      <c r="G68" s="2069"/>
      <c r="H68" s="2069"/>
      <c r="I68" s="2069"/>
      <c r="J68" s="2069"/>
      <c r="K68" s="2069"/>
      <c r="L68" s="2069"/>
      <c r="M68" s="2069"/>
      <c r="N68" s="2069"/>
      <c r="O68" s="2069"/>
      <c r="P68"/>
      <c r="Q68" s="1554"/>
      <c r="R68" s="1554"/>
      <c r="S68" s="1554"/>
    </row>
    <row r="69" spans="1:19" x14ac:dyDescent="0.2">
      <c r="B69" s="2069"/>
      <c r="C69" s="2069"/>
      <c r="D69" s="2069"/>
      <c r="E69" s="2069"/>
      <c r="F69" s="2069"/>
      <c r="G69" s="2069"/>
      <c r="H69" s="2069"/>
      <c r="I69" s="2069"/>
      <c r="J69" s="2069"/>
      <c r="K69" s="2069"/>
      <c r="L69" s="2069"/>
      <c r="M69" s="2069"/>
      <c r="N69" s="2069"/>
      <c r="O69" s="2069"/>
      <c r="P69"/>
      <c r="Q69" s="1554"/>
      <c r="R69" s="1554"/>
      <c r="S69" s="1554"/>
    </row>
    <row r="70" spans="1:19" x14ac:dyDescent="0.2">
      <c r="B70" s="432"/>
      <c r="C70" s="432"/>
      <c r="D70" s="432"/>
      <c r="E70" s="432"/>
      <c r="F70" s="432"/>
      <c r="G70" s="432"/>
      <c r="H70" s="432"/>
      <c r="I70" s="432"/>
      <c r="J70" s="432"/>
      <c r="K70" s="432"/>
      <c r="L70" s="432"/>
      <c r="M70" s="158"/>
      <c r="N70" s="158"/>
      <c r="P70"/>
    </row>
    <row r="71" spans="1:19" x14ac:dyDescent="0.2">
      <c r="P71"/>
    </row>
    <row r="72" spans="1:19" x14ac:dyDescent="0.2">
      <c r="B72" s="158"/>
      <c r="P72"/>
    </row>
    <row r="73" spans="1:19" x14ac:dyDescent="0.2">
      <c r="B73" s="158"/>
      <c r="P73"/>
    </row>
    <row r="74" spans="1:19" x14ac:dyDescent="0.2">
      <c r="P74"/>
    </row>
    <row r="75" spans="1:19" x14ac:dyDescent="0.2">
      <c r="P75"/>
    </row>
    <row r="76" spans="1:19" x14ac:dyDescent="0.2">
      <c r="P76"/>
    </row>
    <row r="77" spans="1:19" x14ac:dyDescent="0.2">
      <c r="P77"/>
    </row>
    <row r="78" spans="1:19" x14ac:dyDescent="0.2">
      <c r="P78"/>
    </row>
    <row r="79" spans="1:19" x14ac:dyDescent="0.2">
      <c r="P79"/>
    </row>
    <row r="80" spans="1:19" x14ac:dyDescent="0.2">
      <c r="P80"/>
    </row>
    <row r="81" spans="16:16" x14ac:dyDescent="0.2">
      <c r="P81"/>
    </row>
  </sheetData>
  <mergeCells count="15">
    <mergeCell ref="P15:P16"/>
    <mergeCell ref="A9:O9"/>
    <mergeCell ref="A10:O10"/>
    <mergeCell ref="A15:A16"/>
    <mergeCell ref="B15:B16"/>
    <mergeCell ref="K15:K16"/>
    <mergeCell ref="N15:N16"/>
    <mergeCell ref="A11:O11"/>
    <mergeCell ref="B68:O69"/>
    <mergeCell ref="B61:O61"/>
    <mergeCell ref="B62:O62"/>
    <mergeCell ref="B63:O63"/>
    <mergeCell ref="B64:O64"/>
    <mergeCell ref="B65:O65"/>
    <mergeCell ref="B66:O66"/>
  </mergeCells>
  <dataValidations disablePrompts="1" count="1">
    <dataValidation allowBlank="1" showInputMessage="1" showErrorMessage="1" promptTitle="Date Format" prompt="E.g:  &quot;August 1, 2011&quot;" sqref="L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L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L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L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L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L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L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L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L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L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L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L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L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L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L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L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dataValidations>
  <printOptions horizontalCentered="1"/>
  <pageMargins left="0.74803149606299213" right="0.74803149606299213" top="0.70866141732283472" bottom="0.39370078740157483" header="0.39370078740157483" footer="0.27559055118110237"/>
  <pageSetup scale="52"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O82"/>
  <sheetViews>
    <sheetView showGridLines="0" zoomScaleNormal="100" workbookViewId="0"/>
  </sheetViews>
  <sheetFormatPr defaultRowHeight="12.75" x14ac:dyDescent="0.2"/>
  <cols>
    <col min="1" max="1" width="9.140625" style="140"/>
    <col min="2" max="2" width="40.28515625" style="140" bestFit="1" customWidth="1"/>
    <col min="3" max="3" width="12.28515625" style="140" bestFit="1" customWidth="1"/>
    <col min="4" max="4" width="10.140625" style="140" customWidth="1"/>
    <col min="5" max="5" width="12.28515625" style="140" customWidth="1"/>
    <col min="6" max="6" width="16.28515625" style="140" customWidth="1"/>
    <col min="7" max="7" width="16.140625" style="140" customWidth="1"/>
    <col min="8" max="8" width="12.7109375" style="140" customWidth="1"/>
    <col min="9" max="10" width="14.42578125" style="140" customWidth="1"/>
    <col min="11" max="11" width="13.5703125" style="140" customWidth="1"/>
    <col min="12" max="12" width="16.140625" style="140" customWidth="1"/>
    <col min="13" max="13" width="18.5703125" style="140" customWidth="1"/>
    <col min="14" max="256" width="9.140625" style="140"/>
    <col min="257" max="257" width="2.7109375" style="140" customWidth="1"/>
    <col min="258" max="258" width="9.140625" style="140"/>
    <col min="259" max="259" width="40.28515625" style="140" bestFit="1" customWidth="1"/>
    <col min="260" max="260" width="10" style="140" customWidth="1"/>
    <col min="261" max="261" width="10.140625" style="140" customWidth="1"/>
    <col min="262" max="262" width="12.28515625" style="140" customWidth="1"/>
    <col min="263" max="263" width="16.28515625" style="140" customWidth="1"/>
    <col min="264" max="264" width="12.85546875" style="140" customWidth="1"/>
    <col min="265" max="265" width="12.7109375" style="140" customWidth="1"/>
    <col min="266" max="266" width="14.42578125" style="140" customWidth="1"/>
    <col min="267" max="267" width="13.5703125" style="140" customWidth="1"/>
    <col min="268" max="512" width="9.140625" style="140"/>
    <col min="513" max="513" width="2.7109375" style="140" customWidth="1"/>
    <col min="514" max="514" width="9.140625" style="140"/>
    <col min="515" max="515" width="40.28515625" style="140" bestFit="1" customWidth="1"/>
    <col min="516" max="516" width="10" style="140" customWidth="1"/>
    <col min="517" max="517" width="10.140625" style="140" customWidth="1"/>
    <col min="518" max="518" width="12.28515625" style="140" customWidth="1"/>
    <col min="519" max="519" width="16.28515625" style="140" customWidth="1"/>
    <col min="520" max="520" width="12.85546875" style="140" customWidth="1"/>
    <col min="521" max="521" width="12.7109375" style="140" customWidth="1"/>
    <col min="522" max="522" width="14.42578125" style="140" customWidth="1"/>
    <col min="523" max="523" width="13.5703125" style="140" customWidth="1"/>
    <col min="524" max="768" width="9.140625" style="140"/>
    <col min="769" max="769" width="2.7109375" style="140" customWidth="1"/>
    <col min="770" max="770" width="9.140625" style="140"/>
    <col min="771" max="771" width="40.28515625" style="140" bestFit="1" customWidth="1"/>
    <col min="772" max="772" width="10" style="140" customWidth="1"/>
    <col min="773" max="773" width="10.140625" style="140" customWidth="1"/>
    <col min="774" max="774" width="12.28515625" style="140" customWidth="1"/>
    <col min="775" max="775" width="16.28515625" style="140" customWidth="1"/>
    <col min="776" max="776" width="12.85546875" style="140" customWidth="1"/>
    <col min="777" max="777" width="12.7109375" style="140" customWidth="1"/>
    <col min="778" max="778" width="14.42578125" style="140" customWidth="1"/>
    <col min="779" max="779" width="13.5703125" style="140" customWidth="1"/>
    <col min="780" max="1024" width="9.140625" style="140"/>
    <col min="1025" max="1025" width="2.7109375" style="140" customWidth="1"/>
    <col min="1026" max="1026" width="9.140625" style="140"/>
    <col min="1027" max="1027" width="40.28515625" style="140" bestFit="1" customWidth="1"/>
    <col min="1028" max="1028" width="10" style="140" customWidth="1"/>
    <col min="1029" max="1029" width="10.140625" style="140" customWidth="1"/>
    <col min="1030" max="1030" width="12.28515625" style="140" customWidth="1"/>
    <col min="1031" max="1031" width="16.28515625" style="140" customWidth="1"/>
    <col min="1032" max="1032" width="12.85546875" style="140" customWidth="1"/>
    <col min="1033" max="1033" width="12.7109375" style="140" customWidth="1"/>
    <col min="1034" max="1034" width="14.42578125" style="140" customWidth="1"/>
    <col min="1035" max="1035" width="13.5703125" style="140" customWidth="1"/>
    <col min="1036" max="1280" width="9.140625" style="140"/>
    <col min="1281" max="1281" width="2.7109375" style="140" customWidth="1"/>
    <col min="1282" max="1282" width="9.140625" style="140"/>
    <col min="1283" max="1283" width="40.28515625" style="140" bestFit="1" customWidth="1"/>
    <col min="1284" max="1284" width="10" style="140" customWidth="1"/>
    <col min="1285" max="1285" width="10.140625" style="140" customWidth="1"/>
    <col min="1286" max="1286" width="12.28515625" style="140" customWidth="1"/>
    <col min="1287" max="1287" width="16.28515625" style="140" customWidth="1"/>
    <col min="1288" max="1288" width="12.85546875" style="140" customWidth="1"/>
    <col min="1289" max="1289" width="12.7109375" style="140" customWidth="1"/>
    <col min="1290" max="1290" width="14.42578125" style="140" customWidth="1"/>
    <col min="1291" max="1291" width="13.5703125" style="140" customWidth="1"/>
    <col min="1292" max="1536" width="9.140625" style="140"/>
    <col min="1537" max="1537" width="2.7109375" style="140" customWidth="1"/>
    <col min="1538" max="1538" width="9.140625" style="140"/>
    <col min="1539" max="1539" width="40.28515625" style="140" bestFit="1" customWidth="1"/>
    <col min="1540" max="1540" width="10" style="140" customWidth="1"/>
    <col min="1541" max="1541" width="10.140625" style="140" customWidth="1"/>
    <col min="1542" max="1542" width="12.28515625" style="140" customWidth="1"/>
    <col min="1543" max="1543" width="16.28515625" style="140" customWidth="1"/>
    <col min="1544" max="1544" width="12.85546875" style="140" customWidth="1"/>
    <col min="1545" max="1545" width="12.7109375" style="140" customWidth="1"/>
    <col min="1546" max="1546" width="14.42578125" style="140" customWidth="1"/>
    <col min="1547" max="1547" width="13.5703125" style="140" customWidth="1"/>
    <col min="1548" max="1792" width="9.140625" style="140"/>
    <col min="1793" max="1793" width="2.7109375" style="140" customWidth="1"/>
    <col min="1794" max="1794" width="9.140625" style="140"/>
    <col min="1795" max="1795" width="40.28515625" style="140" bestFit="1" customWidth="1"/>
    <col min="1796" max="1796" width="10" style="140" customWidth="1"/>
    <col min="1797" max="1797" width="10.140625" style="140" customWidth="1"/>
    <col min="1798" max="1798" width="12.28515625" style="140" customWidth="1"/>
    <col min="1799" max="1799" width="16.28515625" style="140" customWidth="1"/>
    <col min="1800" max="1800" width="12.85546875" style="140" customWidth="1"/>
    <col min="1801" max="1801" width="12.7109375" style="140" customWidth="1"/>
    <col min="1802" max="1802" width="14.42578125" style="140" customWidth="1"/>
    <col min="1803" max="1803" width="13.5703125" style="140" customWidth="1"/>
    <col min="1804" max="2048" width="9.140625" style="140"/>
    <col min="2049" max="2049" width="2.7109375" style="140" customWidth="1"/>
    <col min="2050" max="2050" width="9.140625" style="140"/>
    <col min="2051" max="2051" width="40.28515625" style="140" bestFit="1" customWidth="1"/>
    <col min="2052" max="2052" width="10" style="140" customWidth="1"/>
    <col min="2053" max="2053" width="10.140625" style="140" customWidth="1"/>
    <col min="2054" max="2054" width="12.28515625" style="140" customWidth="1"/>
    <col min="2055" max="2055" width="16.28515625" style="140" customWidth="1"/>
    <col min="2056" max="2056" width="12.85546875" style="140" customWidth="1"/>
    <col min="2057" max="2057" width="12.7109375" style="140" customWidth="1"/>
    <col min="2058" max="2058" width="14.42578125" style="140" customWidth="1"/>
    <col min="2059" max="2059" width="13.5703125" style="140" customWidth="1"/>
    <col min="2060" max="2304" width="9.140625" style="140"/>
    <col min="2305" max="2305" width="2.7109375" style="140" customWidth="1"/>
    <col min="2306" max="2306" width="9.140625" style="140"/>
    <col min="2307" max="2307" width="40.28515625" style="140" bestFit="1" customWidth="1"/>
    <col min="2308" max="2308" width="10" style="140" customWidth="1"/>
    <col min="2309" max="2309" width="10.140625" style="140" customWidth="1"/>
    <col min="2310" max="2310" width="12.28515625" style="140" customWidth="1"/>
    <col min="2311" max="2311" width="16.28515625" style="140" customWidth="1"/>
    <col min="2312" max="2312" width="12.85546875" style="140" customWidth="1"/>
    <col min="2313" max="2313" width="12.7109375" style="140" customWidth="1"/>
    <col min="2314" max="2314" width="14.42578125" style="140" customWidth="1"/>
    <col min="2315" max="2315" width="13.5703125" style="140" customWidth="1"/>
    <col min="2316" max="2560" width="9.140625" style="140"/>
    <col min="2561" max="2561" width="2.7109375" style="140" customWidth="1"/>
    <col min="2562" max="2562" width="9.140625" style="140"/>
    <col min="2563" max="2563" width="40.28515625" style="140" bestFit="1" customWidth="1"/>
    <col min="2564" max="2564" width="10" style="140" customWidth="1"/>
    <col min="2565" max="2565" width="10.140625" style="140" customWidth="1"/>
    <col min="2566" max="2566" width="12.28515625" style="140" customWidth="1"/>
    <col min="2567" max="2567" width="16.28515625" style="140" customWidth="1"/>
    <col min="2568" max="2568" width="12.85546875" style="140" customWidth="1"/>
    <col min="2569" max="2569" width="12.7109375" style="140" customWidth="1"/>
    <col min="2570" max="2570" width="14.42578125" style="140" customWidth="1"/>
    <col min="2571" max="2571" width="13.5703125" style="140" customWidth="1"/>
    <col min="2572" max="2816" width="9.140625" style="140"/>
    <col min="2817" max="2817" width="2.7109375" style="140" customWidth="1"/>
    <col min="2818" max="2818" width="9.140625" style="140"/>
    <col min="2819" max="2819" width="40.28515625" style="140" bestFit="1" customWidth="1"/>
    <col min="2820" max="2820" width="10" style="140" customWidth="1"/>
    <col min="2821" max="2821" width="10.140625" style="140" customWidth="1"/>
    <col min="2822" max="2822" width="12.28515625" style="140" customWidth="1"/>
    <col min="2823" max="2823" width="16.28515625" style="140" customWidth="1"/>
    <col min="2824" max="2824" width="12.85546875" style="140" customWidth="1"/>
    <col min="2825" max="2825" width="12.7109375" style="140" customWidth="1"/>
    <col min="2826" max="2826" width="14.42578125" style="140" customWidth="1"/>
    <col min="2827" max="2827" width="13.5703125" style="140" customWidth="1"/>
    <col min="2828" max="3072" width="9.140625" style="140"/>
    <col min="3073" max="3073" width="2.7109375" style="140" customWidth="1"/>
    <col min="3074" max="3074" width="9.140625" style="140"/>
    <col min="3075" max="3075" width="40.28515625" style="140" bestFit="1" customWidth="1"/>
    <col min="3076" max="3076" width="10" style="140" customWidth="1"/>
    <col min="3077" max="3077" width="10.140625" style="140" customWidth="1"/>
    <col min="3078" max="3078" width="12.28515625" style="140" customWidth="1"/>
    <col min="3079" max="3079" width="16.28515625" style="140" customWidth="1"/>
    <col min="3080" max="3080" width="12.85546875" style="140" customWidth="1"/>
    <col min="3081" max="3081" width="12.7109375" style="140" customWidth="1"/>
    <col min="3082" max="3082" width="14.42578125" style="140" customWidth="1"/>
    <col min="3083" max="3083" width="13.5703125" style="140" customWidth="1"/>
    <col min="3084" max="3328" width="9.140625" style="140"/>
    <col min="3329" max="3329" width="2.7109375" style="140" customWidth="1"/>
    <col min="3330" max="3330" width="9.140625" style="140"/>
    <col min="3331" max="3331" width="40.28515625" style="140" bestFit="1" customWidth="1"/>
    <col min="3332" max="3332" width="10" style="140" customWidth="1"/>
    <col min="3333" max="3333" width="10.140625" style="140" customWidth="1"/>
    <col min="3334" max="3334" width="12.28515625" style="140" customWidth="1"/>
    <col min="3335" max="3335" width="16.28515625" style="140" customWidth="1"/>
    <col min="3336" max="3336" width="12.85546875" style="140" customWidth="1"/>
    <col min="3337" max="3337" width="12.7109375" style="140" customWidth="1"/>
    <col min="3338" max="3338" width="14.42578125" style="140" customWidth="1"/>
    <col min="3339" max="3339" width="13.5703125" style="140" customWidth="1"/>
    <col min="3340" max="3584" width="9.140625" style="140"/>
    <col min="3585" max="3585" width="2.7109375" style="140" customWidth="1"/>
    <col min="3586" max="3586" width="9.140625" style="140"/>
    <col min="3587" max="3587" width="40.28515625" style="140" bestFit="1" customWidth="1"/>
    <col min="3588" max="3588" width="10" style="140" customWidth="1"/>
    <col min="3589" max="3589" width="10.140625" style="140" customWidth="1"/>
    <col min="3590" max="3590" width="12.28515625" style="140" customWidth="1"/>
    <col min="3591" max="3591" width="16.28515625" style="140" customWidth="1"/>
    <col min="3592" max="3592" width="12.85546875" style="140" customWidth="1"/>
    <col min="3593" max="3593" width="12.7109375" style="140" customWidth="1"/>
    <col min="3594" max="3594" width="14.42578125" style="140" customWidth="1"/>
    <col min="3595" max="3595" width="13.5703125" style="140" customWidth="1"/>
    <col min="3596" max="3840" width="9.140625" style="140"/>
    <col min="3841" max="3841" width="2.7109375" style="140" customWidth="1"/>
    <col min="3842" max="3842" width="9.140625" style="140"/>
    <col min="3843" max="3843" width="40.28515625" style="140" bestFit="1" customWidth="1"/>
    <col min="3844" max="3844" width="10" style="140" customWidth="1"/>
    <col min="3845" max="3845" width="10.140625" style="140" customWidth="1"/>
    <col min="3846" max="3846" width="12.28515625" style="140" customWidth="1"/>
    <col min="3847" max="3847" width="16.28515625" style="140" customWidth="1"/>
    <col min="3848" max="3848" width="12.85546875" style="140" customWidth="1"/>
    <col min="3849" max="3849" width="12.7109375" style="140" customWidth="1"/>
    <col min="3850" max="3850" width="14.42578125" style="140" customWidth="1"/>
    <col min="3851" max="3851" width="13.5703125" style="140" customWidth="1"/>
    <col min="3852" max="4096" width="9.140625" style="140"/>
    <col min="4097" max="4097" width="2.7109375" style="140" customWidth="1"/>
    <col min="4098" max="4098" width="9.140625" style="140"/>
    <col min="4099" max="4099" width="40.28515625" style="140" bestFit="1" customWidth="1"/>
    <col min="4100" max="4100" width="10" style="140" customWidth="1"/>
    <col min="4101" max="4101" width="10.140625" style="140" customWidth="1"/>
    <col min="4102" max="4102" width="12.28515625" style="140" customWidth="1"/>
    <col min="4103" max="4103" width="16.28515625" style="140" customWidth="1"/>
    <col min="4104" max="4104" width="12.85546875" style="140" customWidth="1"/>
    <col min="4105" max="4105" width="12.7109375" style="140" customWidth="1"/>
    <col min="4106" max="4106" width="14.42578125" style="140" customWidth="1"/>
    <col min="4107" max="4107" width="13.5703125" style="140" customWidth="1"/>
    <col min="4108" max="4352" width="9.140625" style="140"/>
    <col min="4353" max="4353" width="2.7109375" style="140" customWidth="1"/>
    <col min="4354" max="4354" width="9.140625" style="140"/>
    <col min="4355" max="4355" width="40.28515625" style="140" bestFit="1" customWidth="1"/>
    <col min="4356" max="4356" width="10" style="140" customWidth="1"/>
    <col min="4357" max="4357" width="10.140625" style="140" customWidth="1"/>
    <col min="4358" max="4358" width="12.28515625" style="140" customWidth="1"/>
    <col min="4359" max="4359" width="16.28515625" style="140" customWidth="1"/>
    <col min="4360" max="4360" width="12.85546875" style="140" customWidth="1"/>
    <col min="4361" max="4361" width="12.7109375" style="140" customWidth="1"/>
    <col min="4362" max="4362" width="14.42578125" style="140" customWidth="1"/>
    <col min="4363" max="4363" width="13.5703125" style="140" customWidth="1"/>
    <col min="4364" max="4608" width="9.140625" style="140"/>
    <col min="4609" max="4609" width="2.7109375" style="140" customWidth="1"/>
    <col min="4610" max="4610" width="9.140625" style="140"/>
    <col min="4611" max="4611" width="40.28515625" style="140" bestFit="1" customWidth="1"/>
    <col min="4612" max="4612" width="10" style="140" customWidth="1"/>
    <col min="4613" max="4613" width="10.140625" style="140" customWidth="1"/>
    <col min="4614" max="4614" width="12.28515625" style="140" customWidth="1"/>
    <col min="4615" max="4615" width="16.28515625" style="140" customWidth="1"/>
    <col min="4616" max="4616" width="12.85546875" style="140" customWidth="1"/>
    <col min="4617" max="4617" width="12.7109375" style="140" customWidth="1"/>
    <col min="4618" max="4618" width="14.42578125" style="140" customWidth="1"/>
    <col min="4619" max="4619" width="13.5703125" style="140" customWidth="1"/>
    <col min="4620" max="4864" width="9.140625" style="140"/>
    <col min="4865" max="4865" width="2.7109375" style="140" customWidth="1"/>
    <col min="4866" max="4866" width="9.140625" style="140"/>
    <col min="4867" max="4867" width="40.28515625" style="140" bestFit="1" customWidth="1"/>
    <col min="4868" max="4868" width="10" style="140" customWidth="1"/>
    <col min="4869" max="4869" width="10.140625" style="140" customWidth="1"/>
    <col min="4870" max="4870" width="12.28515625" style="140" customWidth="1"/>
    <col min="4871" max="4871" width="16.28515625" style="140" customWidth="1"/>
    <col min="4872" max="4872" width="12.85546875" style="140" customWidth="1"/>
    <col min="4873" max="4873" width="12.7109375" style="140" customWidth="1"/>
    <col min="4874" max="4874" width="14.42578125" style="140" customWidth="1"/>
    <col min="4875" max="4875" width="13.5703125" style="140" customWidth="1"/>
    <col min="4876" max="5120" width="9.140625" style="140"/>
    <col min="5121" max="5121" width="2.7109375" style="140" customWidth="1"/>
    <col min="5122" max="5122" width="9.140625" style="140"/>
    <col min="5123" max="5123" width="40.28515625" style="140" bestFit="1" customWidth="1"/>
    <col min="5124" max="5124" width="10" style="140" customWidth="1"/>
    <col min="5125" max="5125" width="10.140625" style="140" customWidth="1"/>
    <col min="5126" max="5126" width="12.28515625" style="140" customWidth="1"/>
    <col min="5127" max="5127" width="16.28515625" style="140" customWidth="1"/>
    <col min="5128" max="5128" width="12.85546875" style="140" customWidth="1"/>
    <col min="5129" max="5129" width="12.7109375" style="140" customWidth="1"/>
    <col min="5130" max="5130" width="14.42578125" style="140" customWidth="1"/>
    <col min="5131" max="5131" width="13.5703125" style="140" customWidth="1"/>
    <col min="5132" max="5376" width="9.140625" style="140"/>
    <col min="5377" max="5377" width="2.7109375" style="140" customWidth="1"/>
    <col min="5378" max="5378" width="9.140625" style="140"/>
    <col min="5379" max="5379" width="40.28515625" style="140" bestFit="1" customWidth="1"/>
    <col min="5380" max="5380" width="10" style="140" customWidth="1"/>
    <col min="5381" max="5381" width="10.140625" style="140" customWidth="1"/>
    <col min="5382" max="5382" width="12.28515625" style="140" customWidth="1"/>
    <col min="5383" max="5383" width="16.28515625" style="140" customWidth="1"/>
    <col min="5384" max="5384" width="12.85546875" style="140" customWidth="1"/>
    <col min="5385" max="5385" width="12.7109375" style="140" customWidth="1"/>
    <col min="5386" max="5386" width="14.42578125" style="140" customWidth="1"/>
    <col min="5387" max="5387" width="13.5703125" style="140" customWidth="1"/>
    <col min="5388" max="5632" width="9.140625" style="140"/>
    <col min="5633" max="5633" width="2.7109375" style="140" customWidth="1"/>
    <col min="5634" max="5634" width="9.140625" style="140"/>
    <col min="5635" max="5635" width="40.28515625" style="140" bestFit="1" customWidth="1"/>
    <col min="5636" max="5636" width="10" style="140" customWidth="1"/>
    <col min="5637" max="5637" width="10.140625" style="140" customWidth="1"/>
    <col min="5638" max="5638" width="12.28515625" style="140" customWidth="1"/>
    <col min="5639" max="5639" width="16.28515625" style="140" customWidth="1"/>
    <col min="5640" max="5640" width="12.85546875" style="140" customWidth="1"/>
    <col min="5641" max="5641" width="12.7109375" style="140" customWidth="1"/>
    <col min="5642" max="5642" width="14.42578125" style="140" customWidth="1"/>
    <col min="5643" max="5643" width="13.5703125" style="140" customWidth="1"/>
    <col min="5644" max="5888" width="9.140625" style="140"/>
    <col min="5889" max="5889" width="2.7109375" style="140" customWidth="1"/>
    <col min="5890" max="5890" width="9.140625" style="140"/>
    <col min="5891" max="5891" width="40.28515625" style="140" bestFit="1" customWidth="1"/>
    <col min="5892" max="5892" width="10" style="140" customWidth="1"/>
    <col min="5893" max="5893" width="10.140625" style="140" customWidth="1"/>
    <col min="5894" max="5894" width="12.28515625" style="140" customWidth="1"/>
    <col min="5895" max="5895" width="16.28515625" style="140" customWidth="1"/>
    <col min="5896" max="5896" width="12.85546875" style="140" customWidth="1"/>
    <col min="5897" max="5897" width="12.7109375" style="140" customWidth="1"/>
    <col min="5898" max="5898" width="14.42578125" style="140" customWidth="1"/>
    <col min="5899" max="5899" width="13.5703125" style="140" customWidth="1"/>
    <col min="5900" max="6144" width="9.140625" style="140"/>
    <col min="6145" max="6145" width="2.7109375" style="140" customWidth="1"/>
    <col min="6146" max="6146" width="9.140625" style="140"/>
    <col min="6147" max="6147" width="40.28515625" style="140" bestFit="1" customWidth="1"/>
    <col min="6148" max="6148" width="10" style="140" customWidth="1"/>
    <col min="6149" max="6149" width="10.140625" style="140" customWidth="1"/>
    <col min="6150" max="6150" width="12.28515625" style="140" customWidth="1"/>
    <col min="6151" max="6151" width="16.28515625" style="140" customWidth="1"/>
    <col min="6152" max="6152" width="12.85546875" style="140" customWidth="1"/>
    <col min="6153" max="6153" width="12.7109375" style="140" customWidth="1"/>
    <col min="6154" max="6154" width="14.42578125" style="140" customWidth="1"/>
    <col min="6155" max="6155" width="13.5703125" style="140" customWidth="1"/>
    <col min="6156" max="6400" width="9.140625" style="140"/>
    <col min="6401" max="6401" width="2.7109375" style="140" customWidth="1"/>
    <col min="6402" max="6402" width="9.140625" style="140"/>
    <col min="6403" max="6403" width="40.28515625" style="140" bestFit="1" customWidth="1"/>
    <col min="6404" max="6404" width="10" style="140" customWidth="1"/>
    <col min="6405" max="6405" width="10.140625" style="140" customWidth="1"/>
    <col min="6406" max="6406" width="12.28515625" style="140" customWidth="1"/>
    <col min="6407" max="6407" width="16.28515625" style="140" customWidth="1"/>
    <col min="6408" max="6408" width="12.85546875" style="140" customWidth="1"/>
    <col min="6409" max="6409" width="12.7109375" style="140" customWidth="1"/>
    <col min="6410" max="6410" width="14.42578125" style="140" customWidth="1"/>
    <col min="6411" max="6411" width="13.5703125" style="140" customWidth="1"/>
    <col min="6412" max="6656" width="9.140625" style="140"/>
    <col min="6657" max="6657" width="2.7109375" style="140" customWidth="1"/>
    <col min="6658" max="6658" width="9.140625" style="140"/>
    <col min="6659" max="6659" width="40.28515625" style="140" bestFit="1" customWidth="1"/>
    <col min="6660" max="6660" width="10" style="140" customWidth="1"/>
    <col min="6661" max="6661" width="10.140625" style="140" customWidth="1"/>
    <col min="6662" max="6662" width="12.28515625" style="140" customWidth="1"/>
    <col min="6663" max="6663" width="16.28515625" style="140" customWidth="1"/>
    <col min="6664" max="6664" width="12.85546875" style="140" customWidth="1"/>
    <col min="6665" max="6665" width="12.7109375" style="140" customWidth="1"/>
    <col min="6666" max="6666" width="14.42578125" style="140" customWidth="1"/>
    <col min="6667" max="6667" width="13.5703125" style="140" customWidth="1"/>
    <col min="6668" max="6912" width="9.140625" style="140"/>
    <col min="6913" max="6913" width="2.7109375" style="140" customWidth="1"/>
    <col min="6914" max="6914" width="9.140625" style="140"/>
    <col min="6915" max="6915" width="40.28515625" style="140" bestFit="1" customWidth="1"/>
    <col min="6916" max="6916" width="10" style="140" customWidth="1"/>
    <col min="6917" max="6917" width="10.140625" style="140" customWidth="1"/>
    <col min="6918" max="6918" width="12.28515625" style="140" customWidth="1"/>
    <col min="6919" max="6919" width="16.28515625" style="140" customWidth="1"/>
    <col min="6920" max="6920" width="12.85546875" style="140" customWidth="1"/>
    <col min="6921" max="6921" width="12.7109375" style="140" customWidth="1"/>
    <col min="6922" max="6922" width="14.42578125" style="140" customWidth="1"/>
    <col min="6923" max="6923" width="13.5703125" style="140" customWidth="1"/>
    <col min="6924" max="7168" width="9.140625" style="140"/>
    <col min="7169" max="7169" width="2.7109375" style="140" customWidth="1"/>
    <col min="7170" max="7170" width="9.140625" style="140"/>
    <col min="7171" max="7171" width="40.28515625" style="140" bestFit="1" customWidth="1"/>
    <col min="7172" max="7172" width="10" style="140" customWidth="1"/>
    <col min="7173" max="7173" width="10.140625" style="140" customWidth="1"/>
    <col min="7174" max="7174" width="12.28515625" style="140" customWidth="1"/>
    <col min="7175" max="7175" width="16.28515625" style="140" customWidth="1"/>
    <col min="7176" max="7176" width="12.85546875" style="140" customWidth="1"/>
    <col min="7177" max="7177" width="12.7109375" style="140" customWidth="1"/>
    <col min="7178" max="7178" width="14.42578125" style="140" customWidth="1"/>
    <col min="7179" max="7179" width="13.5703125" style="140" customWidth="1"/>
    <col min="7180" max="7424" width="9.140625" style="140"/>
    <col min="7425" max="7425" width="2.7109375" style="140" customWidth="1"/>
    <col min="7426" max="7426" width="9.140625" style="140"/>
    <col min="7427" max="7427" width="40.28515625" style="140" bestFit="1" customWidth="1"/>
    <col min="7428" max="7428" width="10" style="140" customWidth="1"/>
    <col min="7429" max="7429" width="10.140625" style="140" customWidth="1"/>
    <col min="7430" max="7430" width="12.28515625" style="140" customWidth="1"/>
    <col min="7431" max="7431" width="16.28515625" style="140" customWidth="1"/>
    <col min="7432" max="7432" width="12.85546875" style="140" customWidth="1"/>
    <col min="7433" max="7433" width="12.7109375" style="140" customWidth="1"/>
    <col min="7434" max="7434" width="14.42578125" style="140" customWidth="1"/>
    <col min="7435" max="7435" width="13.5703125" style="140" customWidth="1"/>
    <col min="7436" max="7680" width="9.140625" style="140"/>
    <col min="7681" max="7681" width="2.7109375" style="140" customWidth="1"/>
    <col min="7682" max="7682" width="9.140625" style="140"/>
    <col min="7683" max="7683" width="40.28515625" style="140" bestFit="1" customWidth="1"/>
    <col min="7684" max="7684" width="10" style="140" customWidth="1"/>
    <col min="7685" max="7685" width="10.140625" style="140" customWidth="1"/>
    <col min="7686" max="7686" width="12.28515625" style="140" customWidth="1"/>
    <col min="7687" max="7687" width="16.28515625" style="140" customWidth="1"/>
    <col min="7688" max="7688" width="12.85546875" style="140" customWidth="1"/>
    <col min="7689" max="7689" width="12.7109375" style="140" customWidth="1"/>
    <col min="7690" max="7690" width="14.42578125" style="140" customWidth="1"/>
    <col min="7691" max="7691" width="13.5703125" style="140" customWidth="1"/>
    <col min="7692" max="7936" width="9.140625" style="140"/>
    <col min="7937" max="7937" width="2.7109375" style="140" customWidth="1"/>
    <col min="7938" max="7938" width="9.140625" style="140"/>
    <col min="7939" max="7939" width="40.28515625" style="140" bestFit="1" customWidth="1"/>
    <col min="7940" max="7940" width="10" style="140" customWidth="1"/>
    <col min="7941" max="7941" width="10.140625" style="140" customWidth="1"/>
    <col min="7942" max="7942" width="12.28515625" style="140" customWidth="1"/>
    <col min="7943" max="7943" width="16.28515625" style="140" customWidth="1"/>
    <col min="7944" max="7944" width="12.85546875" style="140" customWidth="1"/>
    <col min="7945" max="7945" width="12.7109375" style="140" customWidth="1"/>
    <col min="7946" max="7946" width="14.42578125" style="140" customWidth="1"/>
    <col min="7947" max="7947" width="13.5703125" style="140" customWidth="1"/>
    <col min="7948" max="8192" width="9.140625" style="140"/>
    <col min="8193" max="8193" width="2.7109375" style="140" customWidth="1"/>
    <col min="8194" max="8194" width="9.140625" style="140"/>
    <col min="8195" max="8195" width="40.28515625" style="140" bestFit="1" customWidth="1"/>
    <col min="8196" max="8196" width="10" style="140" customWidth="1"/>
    <col min="8197" max="8197" width="10.140625" style="140" customWidth="1"/>
    <col min="8198" max="8198" width="12.28515625" style="140" customWidth="1"/>
    <col min="8199" max="8199" width="16.28515625" style="140" customWidth="1"/>
    <col min="8200" max="8200" width="12.85546875" style="140" customWidth="1"/>
    <col min="8201" max="8201" width="12.7109375" style="140" customWidth="1"/>
    <col min="8202" max="8202" width="14.42578125" style="140" customWidth="1"/>
    <col min="8203" max="8203" width="13.5703125" style="140" customWidth="1"/>
    <col min="8204" max="8448" width="9.140625" style="140"/>
    <col min="8449" max="8449" width="2.7109375" style="140" customWidth="1"/>
    <col min="8450" max="8450" width="9.140625" style="140"/>
    <col min="8451" max="8451" width="40.28515625" style="140" bestFit="1" customWidth="1"/>
    <col min="8452" max="8452" width="10" style="140" customWidth="1"/>
    <col min="8453" max="8453" width="10.140625" style="140" customWidth="1"/>
    <col min="8454" max="8454" width="12.28515625" style="140" customWidth="1"/>
    <col min="8455" max="8455" width="16.28515625" style="140" customWidth="1"/>
    <col min="8456" max="8456" width="12.85546875" style="140" customWidth="1"/>
    <col min="8457" max="8457" width="12.7109375" style="140" customWidth="1"/>
    <col min="8458" max="8458" width="14.42578125" style="140" customWidth="1"/>
    <col min="8459" max="8459" width="13.5703125" style="140" customWidth="1"/>
    <col min="8460" max="8704" width="9.140625" style="140"/>
    <col min="8705" max="8705" width="2.7109375" style="140" customWidth="1"/>
    <col min="8706" max="8706" width="9.140625" style="140"/>
    <col min="8707" max="8707" width="40.28515625" style="140" bestFit="1" customWidth="1"/>
    <col min="8708" max="8708" width="10" style="140" customWidth="1"/>
    <col min="8709" max="8709" width="10.140625" style="140" customWidth="1"/>
    <col min="8710" max="8710" width="12.28515625" style="140" customWidth="1"/>
    <col min="8711" max="8711" width="16.28515625" style="140" customWidth="1"/>
    <col min="8712" max="8712" width="12.85546875" style="140" customWidth="1"/>
    <col min="8713" max="8713" width="12.7109375" style="140" customWidth="1"/>
    <col min="8714" max="8714" width="14.42578125" style="140" customWidth="1"/>
    <col min="8715" max="8715" width="13.5703125" style="140" customWidth="1"/>
    <col min="8716" max="8960" width="9.140625" style="140"/>
    <col min="8961" max="8961" width="2.7109375" style="140" customWidth="1"/>
    <col min="8962" max="8962" width="9.140625" style="140"/>
    <col min="8963" max="8963" width="40.28515625" style="140" bestFit="1" customWidth="1"/>
    <col min="8964" max="8964" width="10" style="140" customWidth="1"/>
    <col min="8965" max="8965" width="10.140625" style="140" customWidth="1"/>
    <col min="8966" max="8966" width="12.28515625" style="140" customWidth="1"/>
    <col min="8967" max="8967" width="16.28515625" style="140" customWidth="1"/>
    <col min="8968" max="8968" width="12.85546875" style="140" customWidth="1"/>
    <col min="8969" max="8969" width="12.7109375" style="140" customWidth="1"/>
    <col min="8970" max="8970" width="14.42578125" style="140" customWidth="1"/>
    <col min="8971" max="8971" width="13.5703125" style="140" customWidth="1"/>
    <col min="8972" max="9216" width="9.140625" style="140"/>
    <col min="9217" max="9217" width="2.7109375" style="140" customWidth="1"/>
    <col min="9218" max="9218" width="9.140625" style="140"/>
    <col min="9219" max="9219" width="40.28515625" style="140" bestFit="1" customWidth="1"/>
    <col min="9220" max="9220" width="10" style="140" customWidth="1"/>
    <col min="9221" max="9221" width="10.140625" style="140" customWidth="1"/>
    <col min="9222" max="9222" width="12.28515625" style="140" customWidth="1"/>
    <col min="9223" max="9223" width="16.28515625" style="140" customWidth="1"/>
    <col min="9224" max="9224" width="12.85546875" style="140" customWidth="1"/>
    <col min="9225" max="9225" width="12.7109375" style="140" customWidth="1"/>
    <col min="9226" max="9226" width="14.42578125" style="140" customWidth="1"/>
    <col min="9227" max="9227" width="13.5703125" style="140" customWidth="1"/>
    <col min="9228" max="9472" width="9.140625" style="140"/>
    <col min="9473" max="9473" width="2.7109375" style="140" customWidth="1"/>
    <col min="9474" max="9474" width="9.140625" style="140"/>
    <col min="9475" max="9475" width="40.28515625" style="140" bestFit="1" customWidth="1"/>
    <col min="9476" max="9476" width="10" style="140" customWidth="1"/>
    <col min="9477" max="9477" width="10.140625" style="140" customWidth="1"/>
    <col min="9478" max="9478" width="12.28515625" style="140" customWidth="1"/>
    <col min="9479" max="9479" width="16.28515625" style="140" customWidth="1"/>
    <col min="9480" max="9480" width="12.85546875" style="140" customWidth="1"/>
    <col min="9481" max="9481" width="12.7109375" style="140" customWidth="1"/>
    <col min="9482" max="9482" width="14.42578125" style="140" customWidth="1"/>
    <col min="9483" max="9483" width="13.5703125" style="140" customWidth="1"/>
    <col min="9484" max="9728" width="9.140625" style="140"/>
    <col min="9729" max="9729" width="2.7109375" style="140" customWidth="1"/>
    <col min="9730" max="9730" width="9.140625" style="140"/>
    <col min="9731" max="9731" width="40.28515625" style="140" bestFit="1" customWidth="1"/>
    <col min="9732" max="9732" width="10" style="140" customWidth="1"/>
    <col min="9733" max="9733" width="10.140625" style="140" customWidth="1"/>
    <col min="9734" max="9734" width="12.28515625" style="140" customWidth="1"/>
    <col min="9735" max="9735" width="16.28515625" style="140" customWidth="1"/>
    <col min="9736" max="9736" width="12.85546875" style="140" customWidth="1"/>
    <col min="9737" max="9737" width="12.7109375" style="140" customWidth="1"/>
    <col min="9738" max="9738" width="14.42578125" style="140" customWidth="1"/>
    <col min="9739" max="9739" width="13.5703125" style="140" customWidth="1"/>
    <col min="9740" max="9984" width="9.140625" style="140"/>
    <col min="9985" max="9985" width="2.7109375" style="140" customWidth="1"/>
    <col min="9986" max="9986" width="9.140625" style="140"/>
    <col min="9987" max="9987" width="40.28515625" style="140" bestFit="1" customWidth="1"/>
    <col min="9988" max="9988" width="10" style="140" customWidth="1"/>
    <col min="9989" max="9989" width="10.140625" style="140" customWidth="1"/>
    <col min="9990" max="9990" width="12.28515625" style="140" customWidth="1"/>
    <col min="9991" max="9991" width="16.28515625" style="140" customWidth="1"/>
    <col min="9992" max="9992" width="12.85546875" style="140" customWidth="1"/>
    <col min="9993" max="9993" width="12.7109375" style="140" customWidth="1"/>
    <col min="9994" max="9994" width="14.42578125" style="140" customWidth="1"/>
    <col min="9995" max="9995" width="13.5703125" style="140" customWidth="1"/>
    <col min="9996" max="10240" width="9.140625" style="140"/>
    <col min="10241" max="10241" width="2.7109375" style="140" customWidth="1"/>
    <col min="10242" max="10242" width="9.140625" style="140"/>
    <col min="10243" max="10243" width="40.28515625" style="140" bestFit="1" customWidth="1"/>
    <col min="10244" max="10244" width="10" style="140" customWidth="1"/>
    <col min="10245" max="10245" width="10.140625" style="140" customWidth="1"/>
    <col min="10246" max="10246" width="12.28515625" style="140" customWidth="1"/>
    <col min="10247" max="10247" width="16.28515625" style="140" customWidth="1"/>
    <col min="10248" max="10248" width="12.85546875" style="140" customWidth="1"/>
    <col min="10249" max="10249" width="12.7109375" style="140" customWidth="1"/>
    <col min="10250" max="10250" width="14.42578125" style="140" customWidth="1"/>
    <col min="10251" max="10251" width="13.5703125" style="140" customWidth="1"/>
    <col min="10252" max="10496" width="9.140625" style="140"/>
    <col min="10497" max="10497" width="2.7109375" style="140" customWidth="1"/>
    <col min="10498" max="10498" width="9.140625" style="140"/>
    <col min="10499" max="10499" width="40.28515625" style="140" bestFit="1" customWidth="1"/>
    <col min="10500" max="10500" width="10" style="140" customWidth="1"/>
    <col min="10501" max="10501" width="10.140625" style="140" customWidth="1"/>
    <col min="10502" max="10502" width="12.28515625" style="140" customWidth="1"/>
    <col min="10503" max="10503" width="16.28515625" style="140" customWidth="1"/>
    <col min="10504" max="10504" width="12.85546875" style="140" customWidth="1"/>
    <col min="10505" max="10505" width="12.7109375" style="140" customWidth="1"/>
    <col min="10506" max="10506" width="14.42578125" style="140" customWidth="1"/>
    <col min="10507" max="10507" width="13.5703125" style="140" customWidth="1"/>
    <col min="10508" max="10752" width="9.140625" style="140"/>
    <col min="10753" max="10753" width="2.7109375" style="140" customWidth="1"/>
    <col min="10754" max="10754" width="9.140625" style="140"/>
    <col min="10755" max="10755" width="40.28515625" style="140" bestFit="1" customWidth="1"/>
    <col min="10756" max="10756" width="10" style="140" customWidth="1"/>
    <col min="10757" max="10757" width="10.140625" style="140" customWidth="1"/>
    <col min="10758" max="10758" width="12.28515625" style="140" customWidth="1"/>
    <col min="10759" max="10759" width="16.28515625" style="140" customWidth="1"/>
    <col min="10760" max="10760" width="12.85546875" style="140" customWidth="1"/>
    <col min="10761" max="10761" width="12.7109375" style="140" customWidth="1"/>
    <col min="10762" max="10762" width="14.42578125" style="140" customWidth="1"/>
    <col min="10763" max="10763" width="13.5703125" style="140" customWidth="1"/>
    <col min="10764" max="11008" width="9.140625" style="140"/>
    <col min="11009" max="11009" width="2.7109375" style="140" customWidth="1"/>
    <col min="11010" max="11010" width="9.140625" style="140"/>
    <col min="11011" max="11011" width="40.28515625" style="140" bestFit="1" customWidth="1"/>
    <col min="11012" max="11012" width="10" style="140" customWidth="1"/>
    <col min="11013" max="11013" width="10.140625" style="140" customWidth="1"/>
    <col min="11014" max="11014" width="12.28515625" style="140" customWidth="1"/>
    <col min="11015" max="11015" width="16.28515625" style="140" customWidth="1"/>
    <col min="11016" max="11016" width="12.85546875" style="140" customWidth="1"/>
    <col min="11017" max="11017" width="12.7109375" style="140" customWidth="1"/>
    <col min="11018" max="11018" width="14.42578125" style="140" customWidth="1"/>
    <col min="11019" max="11019" width="13.5703125" style="140" customWidth="1"/>
    <col min="11020" max="11264" width="9.140625" style="140"/>
    <col min="11265" max="11265" width="2.7109375" style="140" customWidth="1"/>
    <col min="11266" max="11266" width="9.140625" style="140"/>
    <col min="11267" max="11267" width="40.28515625" style="140" bestFit="1" customWidth="1"/>
    <col min="11268" max="11268" width="10" style="140" customWidth="1"/>
    <col min="11269" max="11269" width="10.140625" style="140" customWidth="1"/>
    <col min="11270" max="11270" width="12.28515625" style="140" customWidth="1"/>
    <col min="11271" max="11271" width="16.28515625" style="140" customWidth="1"/>
    <col min="11272" max="11272" width="12.85546875" style="140" customWidth="1"/>
    <col min="11273" max="11273" width="12.7109375" style="140" customWidth="1"/>
    <col min="11274" max="11274" width="14.42578125" style="140" customWidth="1"/>
    <col min="11275" max="11275" width="13.5703125" style="140" customWidth="1"/>
    <col min="11276" max="11520" width="9.140625" style="140"/>
    <col min="11521" max="11521" width="2.7109375" style="140" customWidth="1"/>
    <col min="11522" max="11522" width="9.140625" style="140"/>
    <col min="11523" max="11523" width="40.28515625" style="140" bestFit="1" customWidth="1"/>
    <col min="11524" max="11524" width="10" style="140" customWidth="1"/>
    <col min="11525" max="11525" width="10.140625" style="140" customWidth="1"/>
    <col min="11526" max="11526" width="12.28515625" style="140" customWidth="1"/>
    <col min="11527" max="11527" width="16.28515625" style="140" customWidth="1"/>
    <col min="11528" max="11528" width="12.85546875" style="140" customWidth="1"/>
    <col min="11529" max="11529" width="12.7109375" style="140" customWidth="1"/>
    <col min="11530" max="11530" width="14.42578125" style="140" customWidth="1"/>
    <col min="11531" max="11531" width="13.5703125" style="140" customWidth="1"/>
    <col min="11532" max="11776" width="9.140625" style="140"/>
    <col min="11777" max="11777" width="2.7109375" style="140" customWidth="1"/>
    <col min="11778" max="11778" width="9.140625" style="140"/>
    <col min="11779" max="11779" width="40.28515625" style="140" bestFit="1" customWidth="1"/>
    <col min="11780" max="11780" width="10" style="140" customWidth="1"/>
    <col min="11781" max="11781" width="10.140625" style="140" customWidth="1"/>
    <col min="11782" max="11782" width="12.28515625" style="140" customWidth="1"/>
    <col min="11783" max="11783" width="16.28515625" style="140" customWidth="1"/>
    <col min="11784" max="11784" width="12.85546875" style="140" customWidth="1"/>
    <col min="11785" max="11785" width="12.7109375" style="140" customWidth="1"/>
    <col min="11786" max="11786" width="14.42578125" style="140" customWidth="1"/>
    <col min="11787" max="11787" width="13.5703125" style="140" customWidth="1"/>
    <col min="11788" max="12032" width="9.140625" style="140"/>
    <col min="12033" max="12033" width="2.7109375" style="140" customWidth="1"/>
    <col min="12034" max="12034" width="9.140625" style="140"/>
    <col min="12035" max="12035" width="40.28515625" style="140" bestFit="1" customWidth="1"/>
    <col min="12036" max="12036" width="10" style="140" customWidth="1"/>
    <col min="12037" max="12037" width="10.140625" style="140" customWidth="1"/>
    <col min="12038" max="12038" width="12.28515625" style="140" customWidth="1"/>
    <col min="12039" max="12039" width="16.28515625" style="140" customWidth="1"/>
    <col min="12040" max="12040" width="12.85546875" style="140" customWidth="1"/>
    <col min="12041" max="12041" width="12.7109375" style="140" customWidth="1"/>
    <col min="12042" max="12042" width="14.42578125" style="140" customWidth="1"/>
    <col min="12043" max="12043" width="13.5703125" style="140" customWidth="1"/>
    <col min="12044" max="12288" width="9.140625" style="140"/>
    <col min="12289" max="12289" width="2.7109375" style="140" customWidth="1"/>
    <col min="12290" max="12290" width="9.140625" style="140"/>
    <col min="12291" max="12291" width="40.28515625" style="140" bestFit="1" customWidth="1"/>
    <col min="12292" max="12292" width="10" style="140" customWidth="1"/>
    <col min="12293" max="12293" width="10.140625" style="140" customWidth="1"/>
    <col min="12294" max="12294" width="12.28515625" style="140" customWidth="1"/>
    <col min="12295" max="12295" width="16.28515625" style="140" customWidth="1"/>
    <col min="12296" max="12296" width="12.85546875" style="140" customWidth="1"/>
    <col min="12297" max="12297" width="12.7109375" style="140" customWidth="1"/>
    <col min="12298" max="12298" width="14.42578125" style="140" customWidth="1"/>
    <col min="12299" max="12299" width="13.5703125" style="140" customWidth="1"/>
    <col min="12300" max="12544" width="9.140625" style="140"/>
    <col min="12545" max="12545" width="2.7109375" style="140" customWidth="1"/>
    <col min="12546" max="12546" width="9.140625" style="140"/>
    <col min="12547" max="12547" width="40.28515625" style="140" bestFit="1" customWidth="1"/>
    <col min="12548" max="12548" width="10" style="140" customWidth="1"/>
    <col min="12549" max="12549" width="10.140625" style="140" customWidth="1"/>
    <col min="12550" max="12550" width="12.28515625" style="140" customWidth="1"/>
    <col min="12551" max="12551" width="16.28515625" style="140" customWidth="1"/>
    <col min="12552" max="12552" width="12.85546875" style="140" customWidth="1"/>
    <col min="12553" max="12553" width="12.7109375" style="140" customWidth="1"/>
    <col min="12554" max="12554" width="14.42578125" style="140" customWidth="1"/>
    <col min="12555" max="12555" width="13.5703125" style="140" customWidth="1"/>
    <col min="12556" max="12800" width="9.140625" style="140"/>
    <col min="12801" max="12801" width="2.7109375" style="140" customWidth="1"/>
    <col min="12802" max="12802" width="9.140625" style="140"/>
    <col min="12803" max="12803" width="40.28515625" style="140" bestFit="1" customWidth="1"/>
    <col min="12804" max="12804" width="10" style="140" customWidth="1"/>
    <col min="12805" max="12805" width="10.140625" style="140" customWidth="1"/>
    <col min="12806" max="12806" width="12.28515625" style="140" customWidth="1"/>
    <col min="12807" max="12807" width="16.28515625" style="140" customWidth="1"/>
    <col min="12808" max="12808" width="12.85546875" style="140" customWidth="1"/>
    <col min="12809" max="12809" width="12.7109375" style="140" customWidth="1"/>
    <col min="12810" max="12810" width="14.42578125" style="140" customWidth="1"/>
    <col min="12811" max="12811" width="13.5703125" style="140" customWidth="1"/>
    <col min="12812" max="13056" width="9.140625" style="140"/>
    <col min="13057" max="13057" width="2.7109375" style="140" customWidth="1"/>
    <col min="13058" max="13058" width="9.140625" style="140"/>
    <col min="13059" max="13059" width="40.28515625" style="140" bestFit="1" customWidth="1"/>
    <col min="13060" max="13060" width="10" style="140" customWidth="1"/>
    <col min="13061" max="13061" width="10.140625" style="140" customWidth="1"/>
    <col min="13062" max="13062" width="12.28515625" style="140" customWidth="1"/>
    <col min="13063" max="13063" width="16.28515625" style="140" customWidth="1"/>
    <col min="13064" max="13064" width="12.85546875" style="140" customWidth="1"/>
    <col min="13065" max="13065" width="12.7109375" style="140" customWidth="1"/>
    <col min="13066" max="13066" width="14.42578125" style="140" customWidth="1"/>
    <col min="13067" max="13067" width="13.5703125" style="140" customWidth="1"/>
    <col min="13068" max="13312" width="9.140625" style="140"/>
    <col min="13313" max="13313" width="2.7109375" style="140" customWidth="1"/>
    <col min="13314" max="13314" width="9.140625" style="140"/>
    <col min="13315" max="13315" width="40.28515625" style="140" bestFit="1" customWidth="1"/>
    <col min="13316" max="13316" width="10" style="140" customWidth="1"/>
    <col min="13317" max="13317" width="10.140625" style="140" customWidth="1"/>
    <col min="13318" max="13318" width="12.28515625" style="140" customWidth="1"/>
    <col min="13319" max="13319" width="16.28515625" style="140" customWidth="1"/>
    <col min="13320" max="13320" width="12.85546875" style="140" customWidth="1"/>
    <col min="13321" max="13321" width="12.7109375" style="140" customWidth="1"/>
    <col min="13322" max="13322" width="14.42578125" style="140" customWidth="1"/>
    <col min="13323" max="13323" width="13.5703125" style="140" customWidth="1"/>
    <col min="13324" max="13568" width="9.140625" style="140"/>
    <col min="13569" max="13569" width="2.7109375" style="140" customWidth="1"/>
    <col min="13570" max="13570" width="9.140625" style="140"/>
    <col min="13571" max="13571" width="40.28515625" style="140" bestFit="1" customWidth="1"/>
    <col min="13572" max="13572" width="10" style="140" customWidth="1"/>
    <col min="13573" max="13573" width="10.140625" style="140" customWidth="1"/>
    <col min="13574" max="13574" width="12.28515625" style="140" customWidth="1"/>
    <col min="13575" max="13575" width="16.28515625" style="140" customWidth="1"/>
    <col min="13576" max="13576" width="12.85546875" style="140" customWidth="1"/>
    <col min="13577" max="13577" width="12.7109375" style="140" customWidth="1"/>
    <col min="13578" max="13578" width="14.42578125" style="140" customWidth="1"/>
    <col min="13579" max="13579" width="13.5703125" style="140" customWidth="1"/>
    <col min="13580" max="13824" width="9.140625" style="140"/>
    <col min="13825" max="13825" width="2.7109375" style="140" customWidth="1"/>
    <col min="13826" max="13826" width="9.140625" style="140"/>
    <col min="13827" max="13827" width="40.28515625" style="140" bestFit="1" customWidth="1"/>
    <col min="13828" max="13828" width="10" style="140" customWidth="1"/>
    <col min="13829" max="13829" width="10.140625" style="140" customWidth="1"/>
    <col min="13830" max="13830" width="12.28515625" style="140" customWidth="1"/>
    <col min="13831" max="13831" width="16.28515625" style="140" customWidth="1"/>
    <col min="13832" max="13832" width="12.85546875" style="140" customWidth="1"/>
    <col min="13833" max="13833" width="12.7109375" style="140" customWidth="1"/>
    <col min="13834" max="13834" width="14.42578125" style="140" customWidth="1"/>
    <col min="13835" max="13835" width="13.5703125" style="140" customWidth="1"/>
    <col min="13836" max="14080" width="9.140625" style="140"/>
    <col min="14081" max="14081" width="2.7109375" style="140" customWidth="1"/>
    <col min="14082" max="14082" width="9.140625" style="140"/>
    <col min="14083" max="14083" width="40.28515625" style="140" bestFit="1" customWidth="1"/>
    <col min="14084" max="14084" width="10" style="140" customWidth="1"/>
    <col min="14085" max="14085" width="10.140625" style="140" customWidth="1"/>
    <col min="14086" max="14086" width="12.28515625" style="140" customWidth="1"/>
    <col min="14087" max="14087" width="16.28515625" style="140" customWidth="1"/>
    <col min="14088" max="14088" width="12.85546875" style="140" customWidth="1"/>
    <col min="14089" max="14089" width="12.7109375" style="140" customWidth="1"/>
    <col min="14090" max="14090" width="14.42578125" style="140" customWidth="1"/>
    <col min="14091" max="14091" width="13.5703125" style="140" customWidth="1"/>
    <col min="14092" max="14336" width="9.140625" style="140"/>
    <col min="14337" max="14337" width="2.7109375" style="140" customWidth="1"/>
    <col min="14338" max="14338" width="9.140625" style="140"/>
    <col min="14339" max="14339" width="40.28515625" style="140" bestFit="1" customWidth="1"/>
    <col min="14340" max="14340" width="10" style="140" customWidth="1"/>
    <col min="14341" max="14341" width="10.140625" style="140" customWidth="1"/>
    <col min="14342" max="14342" width="12.28515625" style="140" customWidth="1"/>
    <col min="14343" max="14343" width="16.28515625" style="140" customWidth="1"/>
    <col min="14344" max="14344" width="12.85546875" style="140" customWidth="1"/>
    <col min="14345" max="14345" width="12.7109375" style="140" customWidth="1"/>
    <col min="14346" max="14346" width="14.42578125" style="140" customWidth="1"/>
    <col min="14347" max="14347" width="13.5703125" style="140" customWidth="1"/>
    <col min="14348" max="14592" width="9.140625" style="140"/>
    <col min="14593" max="14593" width="2.7109375" style="140" customWidth="1"/>
    <col min="14594" max="14594" width="9.140625" style="140"/>
    <col min="14595" max="14595" width="40.28515625" style="140" bestFit="1" customWidth="1"/>
    <col min="14596" max="14596" width="10" style="140" customWidth="1"/>
    <col min="14597" max="14597" width="10.140625" style="140" customWidth="1"/>
    <col min="14598" max="14598" width="12.28515625" style="140" customWidth="1"/>
    <col min="14599" max="14599" width="16.28515625" style="140" customWidth="1"/>
    <col min="14600" max="14600" width="12.85546875" style="140" customWidth="1"/>
    <col min="14601" max="14601" width="12.7109375" style="140" customWidth="1"/>
    <col min="14602" max="14602" width="14.42578125" style="140" customWidth="1"/>
    <col min="14603" max="14603" width="13.5703125" style="140" customWidth="1"/>
    <col min="14604" max="14848" width="9.140625" style="140"/>
    <col min="14849" max="14849" width="2.7109375" style="140" customWidth="1"/>
    <col min="14850" max="14850" width="9.140625" style="140"/>
    <col min="14851" max="14851" width="40.28515625" style="140" bestFit="1" customWidth="1"/>
    <col min="14852" max="14852" width="10" style="140" customWidth="1"/>
    <col min="14853" max="14853" width="10.140625" style="140" customWidth="1"/>
    <col min="14854" max="14854" width="12.28515625" style="140" customWidth="1"/>
    <col min="14855" max="14855" width="16.28515625" style="140" customWidth="1"/>
    <col min="14856" max="14856" width="12.85546875" style="140" customWidth="1"/>
    <col min="14857" max="14857" width="12.7109375" style="140" customWidth="1"/>
    <col min="14858" max="14858" width="14.42578125" style="140" customWidth="1"/>
    <col min="14859" max="14859" width="13.5703125" style="140" customWidth="1"/>
    <col min="14860" max="15104" width="9.140625" style="140"/>
    <col min="15105" max="15105" width="2.7109375" style="140" customWidth="1"/>
    <col min="15106" max="15106" width="9.140625" style="140"/>
    <col min="15107" max="15107" width="40.28515625" style="140" bestFit="1" customWidth="1"/>
    <col min="15108" max="15108" width="10" style="140" customWidth="1"/>
    <col min="15109" max="15109" width="10.140625" style="140" customWidth="1"/>
    <col min="15110" max="15110" width="12.28515625" style="140" customWidth="1"/>
    <col min="15111" max="15111" width="16.28515625" style="140" customWidth="1"/>
    <col min="15112" max="15112" width="12.85546875" style="140" customWidth="1"/>
    <col min="15113" max="15113" width="12.7109375" style="140" customWidth="1"/>
    <col min="15114" max="15114" width="14.42578125" style="140" customWidth="1"/>
    <col min="15115" max="15115" width="13.5703125" style="140" customWidth="1"/>
    <col min="15116" max="15360" width="9.140625" style="140"/>
    <col min="15361" max="15361" width="2.7109375" style="140" customWidth="1"/>
    <col min="15362" max="15362" width="9.140625" style="140"/>
    <col min="15363" max="15363" width="40.28515625" style="140" bestFit="1" customWidth="1"/>
    <col min="15364" max="15364" width="10" style="140" customWidth="1"/>
    <col min="15365" max="15365" width="10.140625" style="140" customWidth="1"/>
    <col min="15366" max="15366" width="12.28515625" style="140" customWidth="1"/>
    <col min="15367" max="15367" width="16.28515625" style="140" customWidth="1"/>
    <col min="15368" max="15368" width="12.85546875" style="140" customWidth="1"/>
    <col min="15369" max="15369" width="12.7109375" style="140" customWidth="1"/>
    <col min="15370" max="15370" width="14.42578125" style="140" customWidth="1"/>
    <col min="15371" max="15371" width="13.5703125" style="140" customWidth="1"/>
    <col min="15372" max="15616" width="9.140625" style="140"/>
    <col min="15617" max="15617" width="2.7109375" style="140" customWidth="1"/>
    <col min="15618" max="15618" width="9.140625" style="140"/>
    <col min="15619" max="15619" width="40.28515625" style="140" bestFit="1" customWidth="1"/>
    <col min="15620" max="15620" width="10" style="140" customWidth="1"/>
    <col min="15621" max="15621" width="10.140625" style="140" customWidth="1"/>
    <col min="15622" max="15622" width="12.28515625" style="140" customWidth="1"/>
    <col min="15623" max="15623" width="16.28515625" style="140" customWidth="1"/>
    <col min="15624" max="15624" width="12.85546875" style="140" customWidth="1"/>
    <col min="15625" max="15625" width="12.7109375" style="140" customWidth="1"/>
    <col min="15626" max="15626" width="14.42578125" style="140" customWidth="1"/>
    <col min="15627" max="15627" width="13.5703125" style="140" customWidth="1"/>
    <col min="15628" max="15872" width="9.140625" style="140"/>
    <col min="15873" max="15873" width="2.7109375" style="140" customWidth="1"/>
    <col min="15874" max="15874" width="9.140625" style="140"/>
    <col min="15875" max="15875" width="40.28515625" style="140" bestFit="1" customWidth="1"/>
    <col min="15876" max="15876" width="10" style="140" customWidth="1"/>
    <col min="15877" max="15877" width="10.140625" style="140" customWidth="1"/>
    <col min="15878" max="15878" width="12.28515625" style="140" customWidth="1"/>
    <col min="15879" max="15879" width="16.28515625" style="140" customWidth="1"/>
    <col min="15880" max="15880" width="12.85546875" style="140" customWidth="1"/>
    <col min="15881" max="15881" width="12.7109375" style="140" customWidth="1"/>
    <col min="15882" max="15882" width="14.42578125" style="140" customWidth="1"/>
    <col min="15883" max="15883" width="13.5703125" style="140" customWidth="1"/>
    <col min="15884" max="16128" width="9.140625" style="140"/>
    <col min="16129" max="16129" width="2.7109375" style="140" customWidth="1"/>
    <col min="16130" max="16130" width="9.140625" style="140"/>
    <col min="16131" max="16131" width="40.28515625" style="140" bestFit="1" customWidth="1"/>
    <col min="16132" max="16132" width="10" style="140" customWidth="1"/>
    <col min="16133" max="16133" width="10.140625" style="140" customWidth="1"/>
    <col min="16134" max="16134" width="12.28515625" style="140" customWidth="1"/>
    <col min="16135" max="16135" width="16.28515625" style="140" customWidth="1"/>
    <col min="16136" max="16136" width="12.85546875" style="140" customWidth="1"/>
    <col min="16137" max="16137" width="12.7109375" style="140" customWidth="1"/>
    <col min="16138" max="16138" width="14.42578125" style="140" customWidth="1"/>
    <col min="16139" max="16139" width="13.5703125" style="140" customWidth="1"/>
    <col min="16140" max="16384" width="9.140625" style="140"/>
  </cols>
  <sheetData>
    <row r="1" spans="1:15" x14ac:dyDescent="0.2">
      <c r="D1" s="336"/>
      <c r="E1" s="337"/>
      <c r="F1" s="337"/>
      <c r="G1" s="337"/>
      <c r="H1" s="337"/>
      <c r="J1" s="334" t="s">
        <v>394</v>
      </c>
      <c r="K1" s="253" t="str">
        <f>EBNUMBER</f>
        <v>EB-2015-0089</v>
      </c>
      <c r="L1" s="337"/>
    </row>
    <row r="2" spans="1:15" x14ac:dyDescent="0.2">
      <c r="D2" s="336"/>
      <c r="E2" s="337"/>
      <c r="F2" s="337"/>
      <c r="G2" s="337"/>
      <c r="H2" s="337"/>
      <c r="J2" s="334" t="s">
        <v>395</v>
      </c>
      <c r="K2" s="136">
        <v>4</v>
      </c>
      <c r="L2" s="337"/>
    </row>
    <row r="3" spans="1:15" x14ac:dyDescent="0.2">
      <c r="D3" s="336"/>
      <c r="E3" s="337"/>
      <c r="F3" s="337"/>
      <c r="G3" s="337"/>
      <c r="H3" s="337"/>
      <c r="J3" s="334" t="s">
        <v>396</v>
      </c>
      <c r="K3" s="136" t="s">
        <v>2456</v>
      </c>
      <c r="L3" s="337"/>
    </row>
    <row r="4" spans="1:15" x14ac:dyDescent="0.2">
      <c r="D4" s="336"/>
      <c r="E4" s="337"/>
      <c r="F4" s="337"/>
      <c r="G4" s="337"/>
      <c r="H4" s="337"/>
      <c r="J4" s="334" t="s">
        <v>397</v>
      </c>
      <c r="K4" s="136" t="s">
        <v>2418</v>
      </c>
      <c r="L4" s="337"/>
    </row>
    <row r="5" spans="1:15" x14ac:dyDescent="0.2">
      <c r="D5" s="336"/>
      <c r="E5" s="337"/>
      <c r="F5" s="337"/>
      <c r="G5" s="337"/>
      <c r="H5" s="337"/>
      <c r="J5" s="334" t="s">
        <v>398</v>
      </c>
      <c r="K5" s="1514">
        <v>71</v>
      </c>
      <c r="L5" s="337"/>
    </row>
    <row r="6" spans="1:15" x14ac:dyDescent="0.2">
      <c r="D6" s="336"/>
      <c r="E6" s="337"/>
      <c r="F6" s="337"/>
      <c r="G6" s="337"/>
      <c r="H6" s="337"/>
      <c r="J6" s="334"/>
      <c r="K6" s="1513"/>
      <c r="L6" s="337"/>
    </row>
    <row r="7" spans="1:15" x14ac:dyDescent="0.2">
      <c r="D7" s="336"/>
      <c r="E7" s="337"/>
      <c r="F7" s="337"/>
      <c r="G7" s="337"/>
      <c r="H7" s="394"/>
      <c r="J7" s="334" t="s">
        <v>399</v>
      </c>
      <c r="K7" s="1905" t="s">
        <v>2455</v>
      </c>
      <c r="L7" s="394"/>
    </row>
    <row r="9" spans="1:15" ht="18" x14ac:dyDescent="0.2">
      <c r="A9" s="1997" t="s">
        <v>1811</v>
      </c>
      <c r="B9" s="1997"/>
      <c r="C9" s="1997"/>
      <c r="D9" s="1997"/>
      <c r="E9" s="1997"/>
      <c r="F9" s="1997"/>
      <c r="G9" s="1997"/>
      <c r="H9" s="1997"/>
      <c r="I9" s="1997"/>
      <c r="J9" s="1997"/>
      <c r="K9" s="1997"/>
    </row>
    <row r="10" spans="1:15" ht="18" x14ac:dyDescent="0.2">
      <c r="A10" s="1997" t="s">
        <v>3</v>
      </c>
      <c r="B10" s="1997"/>
      <c r="C10" s="1997"/>
      <c r="D10" s="1997"/>
      <c r="E10" s="1997"/>
      <c r="F10" s="1997"/>
      <c r="G10" s="1997"/>
      <c r="H10" s="1997"/>
      <c r="I10" s="1997"/>
      <c r="J10" s="1997"/>
      <c r="K10" s="1997"/>
    </row>
    <row r="11" spans="1:15" ht="24" customHeight="1" x14ac:dyDescent="0.2">
      <c r="A11" s="2076" t="s">
        <v>1853</v>
      </c>
      <c r="B11" s="2076"/>
      <c r="C11" s="2076"/>
      <c r="D11" s="2076"/>
      <c r="E11" s="2076"/>
      <c r="F11" s="2076"/>
      <c r="G11" s="2076"/>
      <c r="H11" s="2076"/>
      <c r="I11" s="2076"/>
      <c r="J11" s="2076"/>
      <c r="K11" s="2076"/>
      <c r="L11" s="456"/>
      <c r="M11" s="456"/>
      <c r="N11" s="456"/>
      <c r="O11" s="456"/>
    </row>
    <row r="12" spans="1:15" ht="24" customHeight="1" x14ac:dyDescent="0.2">
      <c r="A12" s="1479"/>
      <c r="B12" s="1479"/>
      <c r="C12" s="1479"/>
      <c r="D12" s="1479"/>
      <c r="E12" s="1479"/>
      <c r="F12" s="1479"/>
      <c r="G12" s="1479"/>
      <c r="H12" s="1479"/>
      <c r="I12" s="1479"/>
      <c r="J12" s="1479"/>
      <c r="K12" s="1479"/>
      <c r="L12" s="456"/>
      <c r="M12" s="456"/>
      <c r="N12" s="456"/>
      <c r="O12" s="456"/>
    </row>
    <row r="13" spans="1:15" ht="13.5" customHeight="1" x14ac:dyDescent="0.25">
      <c r="A13" s="1467"/>
      <c r="B13" s="1467"/>
      <c r="E13" s="435">
        <v>2014</v>
      </c>
      <c r="F13" s="436" t="s">
        <v>152</v>
      </c>
      <c r="G13" s="1467"/>
      <c r="H13" s="1467"/>
    </row>
    <row r="14" spans="1:15" ht="13.5" thickBot="1" x14ac:dyDescent="0.25"/>
    <row r="15" spans="1:15" ht="52.5" customHeight="1" x14ac:dyDescent="0.2">
      <c r="A15" s="2070" t="s">
        <v>4</v>
      </c>
      <c r="B15" s="2072" t="s">
        <v>324</v>
      </c>
      <c r="C15" s="404" t="s">
        <v>326</v>
      </c>
      <c r="D15" s="404" t="s">
        <v>489</v>
      </c>
      <c r="E15" s="404" t="s">
        <v>479</v>
      </c>
      <c r="F15" s="438" t="s">
        <v>663</v>
      </c>
      <c r="G15" s="2079" t="s">
        <v>1603</v>
      </c>
      <c r="H15" s="438" t="s">
        <v>482</v>
      </c>
      <c r="I15" s="438" t="s">
        <v>1527</v>
      </c>
      <c r="J15" s="2079" t="s">
        <v>616</v>
      </c>
      <c r="K15" s="438" t="s">
        <v>1528</v>
      </c>
      <c r="L15" s="2086" t="s">
        <v>2179</v>
      </c>
    </row>
    <row r="16" spans="1:15" ht="54" customHeight="1" thickBot="1" x14ac:dyDescent="0.25">
      <c r="A16" s="2077"/>
      <c r="B16" s="2078"/>
      <c r="C16" s="439" t="s">
        <v>6</v>
      </c>
      <c r="D16" s="439" t="s">
        <v>8</v>
      </c>
      <c r="E16" s="439" t="s">
        <v>9</v>
      </c>
      <c r="F16" s="457" t="s">
        <v>1526</v>
      </c>
      <c r="G16" s="2080"/>
      <c r="H16" s="442" t="s">
        <v>476</v>
      </c>
      <c r="I16" s="442" t="s">
        <v>491</v>
      </c>
      <c r="J16" s="2081"/>
      <c r="K16" s="458" t="s">
        <v>1529</v>
      </c>
      <c r="L16" s="2087"/>
    </row>
    <row r="17" spans="1:11" x14ac:dyDescent="0.2">
      <c r="A17" s="1551">
        <v>1609</v>
      </c>
      <c r="B17" s="355" t="s">
        <v>2159</v>
      </c>
      <c r="C17" s="356">
        <f>+'App.2-BA_Fixed Asset Cont'!E325</f>
        <v>0</v>
      </c>
      <c r="D17" s="459">
        <f>+'App.2-CH_NewCGAAP_DepExp_2013'!F17</f>
        <v>40</v>
      </c>
      <c r="E17" s="460">
        <f t="shared" ref="E17:E55" si="0">IF(D17=0,0,1/D17)</f>
        <v>2.5000000000000001E-2</v>
      </c>
      <c r="F17" s="374">
        <f>IF(D17=0,+'App.2-CH_NewCGAAP_DepExp_2013'!O17,+'App.2-CH_NewCGAAP_DepExp_2013'!O17+((C17*0.5)/D17))</f>
        <v>3058.7249999999999</v>
      </c>
      <c r="G17" s="356">
        <f>-'App.2-BA_Fixed Asset Cont'!J325</f>
        <v>3059</v>
      </c>
      <c r="H17" s="374">
        <f t="shared" ref="H17:H56" si="1">IF(ISERROR(+F17-G17), 0, +F17-G17)</f>
        <v>-0.27500000000009095</v>
      </c>
      <c r="I17" s="374"/>
      <c r="J17" s="356"/>
      <c r="K17" s="374">
        <f>IF(ISERROR(+I17+'App.2-CH_NewCGAAP_DepExp_2013'!O17-J17), 0, +I17+'App.2-CH_NewCGAAP_DepExp_2013'!O17-J17)</f>
        <v>3058.7249999999999</v>
      </c>
    </row>
    <row r="18" spans="1:11" ht="25.5" x14ac:dyDescent="0.2">
      <c r="A18" s="1473">
        <v>1611</v>
      </c>
      <c r="B18" s="355" t="s">
        <v>475</v>
      </c>
      <c r="C18" s="356">
        <f>+'App.2-BA_Fixed Asset Cont'!E326</f>
        <v>142392</v>
      </c>
      <c r="D18" s="459">
        <f>+'App.2-CH_NewCGAAP_DepExp_2013'!F18</f>
        <v>5</v>
      </c>
      <c r="E18" s="460">
        <f t="shared" si="0"/>
        <v>0.2</v>
      </c>
      <c r="F18" s="374">
        <f>IF(D18=0,+'App.2-CH_NewCGAAP_DepExp_2013'!O18,+'App.2-CH_NewCGAAP_DepExp_2013'!O18+((C18*0.5)/D18))</f>
        <v>109467.97512953368</v>
      </c>
      <c r="G18" s="356">
        <f>-'App.2-BA_Fixed Asset Cont'!J326</f>
        <v>109468</v>
      </c>
      <c r="H18" s="374">
        <f t="shared" si="1"/>
        <v>-2.487046632450074E-2</v>
      </c>
      <c r="I18" s="374">
        <f t="shared" ref="I18:I56" si="2">IF(D18=0,0,+(C18)/D18)</f>
        <v>28478.400000000001</v>
      </c>
      <c r="J18" s="356"/>
      <c r="K18" s="374">
        <f>IF(ISERROR(+I18+'App.2-CH_NewCGAAP_DepExp_2013'!O18-J18), 0, +I18+'App.2-CH_NewCGAAP_DepExp_2013'!O18-J18)</f>
        <v>123707.17512953369</v>
      </c>
    </row>
    <row r="19" spans="1:11" ht="25.5" x14ac:dyDescent="0.2">
      <c r="A19" s="1473">
        <v>1612</v>
      </c>
      <c r="B19" s="355" t="s">
        <v>563</v>
      </c>
      <c r="C19" s="356">
        <f>+'App.2-BA_Fixed Asset Cont'!E327</f>
        <v>0</v>
      </c>
      <c r="D19" s="459">
        <f>+'App.2-CH_NewCGAAP_DepExp_2013'!F19</f>
        <v>0</v>
      </c>
      <c r="E19" s="412">
        <f t="shared" si="0"/>
        <v>0</v>
      </c>
      <c r="F19" s="374">
        <f>IF(D19=0,+'App.2-CH_NewCGAAP_DepExp_2013'!O19,+'App.2-CH_NewCGAAP_DepExp_2013'!O19+((C19*0.5)/D19))</f>
        <v>0</v>
      </c>
      <c r="G19" s="356">
        <f>-'App.2-BA_Fixed Asset Cont'!J327</f>
        <v>0</v>
      </c>
      <c r="H19" s="374">
        <f t="shared" si="1"/>
        <v>0</v>
      </c>
      <c r="I19" s="374">
        <f t="shared" si="2"/>
        <v>0</v>
      </c>
      <c r="J19" s="356"/>
      <c r="K19" s="374">
        <f>IF(ISERROR(+I19+'App.2-CH_NewCGAAP_DepExp_2013'!O19-J19), 0, +I19+'App.2-CH_NewCGAAP_DepExp_2013'!O19-J19)</f>
        <v>0</v>
      </c>
    </row>
    <row r="20" spans="1:11" x14ac:dyDescent="0.2">
      <c r="A20" s="361">
        <v>1805</v>
      </c>
      <c r="B20" s="362" t="s">
        <v>358</v>
      </c>
      <c r="C20" s="356">
        <f>+'App.2-BA_Fixed Asset Cont'!E328</f>
        <v>0</v>
      </c>
      <c r="D20" s="459">
        <f>+'App.2-CH_NewCGAAP_DepExp_2013'!F20</f>
        <v>0</v>
      </c>
      <c r="E20" s="412">
        <f t="shared" si="0"/>
        <v>0</v>
      </c>
      <c r="F20" s="374">
        <f>IF(D20=0,+'App.2-CH_NewCGAAP_DepExp_2013'!O20,+'App.2-CH_NewCGAAP_DepExp_2013'!O20+((C20*0.5)/D20))</f>
        <v>0</v>
      </c>
      <c r="G20" s="356">
        <f>-'App.2-BA_Fixed Asset Cont'!J328</f>
        <v>0</v>
      </c>
      <c r="H20" s="374">
        <f t="shared" si="1"/>
        <v>0</v>
      </c>
      <c r="I20" s="374">
        <f t="shared" si="2"/>
        <v>0</v>
      </c>
      <c r="J20" s="356"/>
      <c r="K20" s="374">
        <f>IF(ISERROR(+I20+'App.2-CH_NewCGAAP_DepExp_2013'!O20-J20), 0, +I20+'App.2-CH_NewCGAAP_DepExp_2013'!O20-J20)</f>
        <v>0</v>
      </c>
    </row>
    <row r="21" spans="1:11" x14ac:dyDescent="0.2">
      <c r="A21" s="1473">
        <v>1808</v>
      </c>
      <c r="B21" s="363" t="s">
        <v>359</v>
      </c>
      <c r="C21" s="356">
        <f>+'App.2-BA_Fixed Asset Cont'!E329</f>
        <v>0</v>
      </c>
      <c r="D21" s="459">
        <f>+'App.2-CH_NewCGAAP_DepExp_2013'!F21</f>
        <v>0</v>
      </c>
      <c r="E21" s="412">
        <f t="shared" si="0"/>
        <v>0</v>
      </c>
      <c r="F21" s="374">
        <f>IF(D21=0,+'App.2-CH_NewCGAAP_DepExp_2013'!O21,+'App.2-CH_NewCGAAP_DepExp_2013'!O21+((C21*0.5)/D21))</f>
        <v>0</v>
      </c>
      <c r="G21" s="356">
        <f>-'App.2-BA_Fixed Asset Cont'!J329</f>
        <v>0</v>
      </c>
      <c r="H21" s="374">
        <f t="shared" si="1"/>
        <v>0</v>
      </c>
      <c r="I21" s="374">
        <f t="shared" si="2"/>
        <v>0</v>
      </c>
      <c r="J21" s="356"/>
      <c r="K21" s="374">
        <f>IF(ISERROR(+I21+'App.2-CH_NewCGAAP_DepExp_2013'!O21-J21), 0, +I21+'App.2-CH_NewCGAAP_DepExp_2013'!O21-J21)</f>
        <v>0</v>
      </c>
    </row>
    <row r="22" spans="1:11" x14ac:dyDescent="0.2">
      <c r="A22" s="1473">
        <v>1810</v>
      </c>
      <c r="B22" s="363" t="s">
        <v>392</v>
      </c>
      <c r="C22" s="356">
        <f>+'App.2-BA_Fixed Asset Cont'!E330</f>
        <v>0</v>
      </c>
      <c r="D22" s="459">
        <f>+'App.2-CH_NewCGAAP_DepExp_2013'!F22</f>
        <v>0</v>
      </c>
      <c r="E22" s="412">
        <f t="shared" si="0"/>
        <v>0</v>
      </c>
      <c r="F22" s="374">
        <f>IF(D22=0,+'App.2-CH_NewCGAAP_DepExp_2013'!O22,+'App.2-CH_NewCGAAP_DepExp_2013'!O22+((C22*0.5)/D22))</f>
        <v>0</v>
      </c>
      <c r="G22" s="356">
        <f>-'App.2-BA_Fixed Asset Cont'!J330</f>
        <v>0</v>
      </c>
      <c r="H22" s="374">
        <f t="shared" si="1"/>
        <v>0</v>
      </c>
      <c r="I22" s="374">
        <f t="shared" si="2"/>
        <v>0</v>
      </c>
      <c r="J22" s="356"/>
      <c r="K22" s="374">
        <f>IF(ISERROR(+I22+'App.2-CH_NewCGAAP_DepExp_2013'!O22-J22), 0, +I22+'App.2-CH_NewCGAAP_DepExp_2013'!O22-J22)</f>
        <v>0</v>
      </c>
    </row>
    <row r="23" spans="1:11" x14ac:dyDescent="0.2">
      <c r="A23" s="1473">
        <v>1815</v>
      </c>
      <c r="B23" s="363" t="s">
        <v>360</v>
      </c>
      <c r="C23" s="356">
        <f>+'App.2-BA_Fixed Asset Cont'!E331</f>
        <v>0</v>
      </c>
      <c r="D23" s="459">
        <f>+'App.2-CH_NewCGAAP_DepExp_2013'!F23</f>
        <v>0</v>
      </c>
      <c r="E23" s="412">
        <f t="shared" si="0"/>
        <v>0</v>
      </c>
      <c r="F23" s="374">
        <f>IF(D23=0,+'App.2-CH_NewCGAAP_DepExp_2013'!O23,+'App.2-CH_NewCGAAP_DepExp_2013'!O23+((C23*0.5)/D23))</f>
        <v>0</v>
      </c>
      <c r="G23" s="356">
        <f>-'App.2-BA_Fixed Asset Cont'!J331</f>
        <v>0</v>
      </c>
      <c r="H23" s="374">
        <f t="shared" si="1"/>
        <v>0</v>
      </c>
      <c r="I23" s="374">
        <f t="shared" si="2"/>
        <v>0</v>
      </c>
      <c r="J23" s="356"/>
      <c r="K23" s="374">
        <f>IF(ISERROR(+I23+'App.2-CH_NewCGAAP_DepExp_2013'!O23-J23), 0, +I23+'App.2-CH_NewCGAAP_DepExp_2013'!O23-J23)</f>
        <v>0</v>
      </c>
    </row>
    <row r="24" spans="1:11" x14ac:dyDescent="0.2">
      <c r="A24" s="1473">
        <v>1820</v>
      </c>
      <c r="B24" s="355" t="s">
        <v>287</v>
      </c>
      <c r="C24" s="356">
        <f>+'App.2-BA_Fixed Asset Cont'!E332</f>
        <v>0</v>
      </c>
      <c r="D24" s="459">
        <f>+'App.2-CH_NewCGAAP_DepExp_2013'!F24</f>
        <v>45</v>
      </c>
      <c r="E24" s="412">
        <f t="shared" si="0"/>
        <v>2.2222222222222223E-2</v>
      </c>
      <c r="F24" s="374">
        <f>IF(D24=0,+'App.2-CH_NewCGAAP_DepExp_2013'!O24,+'App.2-CH_NewCGAAP_DepExp_2013'!O24+((C24*0.5)/D24))</f>
        <v>22995.838445807753</v>
      </c>
      <c r="G24" s="356">
        <f>-'App.2-BA_Fixed Asset Cont'!J332</f>
        <v>23011</v>
      </c>
      <c r="H24" s="374">
        <f t="shared" si="1"/>
        <v>-15.161554192247422</v>
      </c>
      <c r="I24" s="374">
        <f t="shared" si="2"/>
        <v>0</v>
      </c>
      <c r="J24" s="356"/>
      <c r="K24" s="374">
        <f>IF(ISERROR(+I24+'App.2-CH_NewCGAAP_DepExp_2013'!O24-J24), 0, +I24+'App.2-CH_NewCGAAP_DepExp_2013'!O24-J24)</f>
        <v>22995.838445807753</v>
      </c>
    </row>
    <row r="25" spans="1:11" x14ac:dyDescent="0.2">
      <c r="A25" s="1473">
        <v>1825</v>
      </c>
      <c r="B25" s="363" t="s">
        <v>361</v>
      </c>
      <c r="C25" s="356">
        <f>+'App.2-BA_Fixed Asset Cont'!E333</f>
        <v>0</v>
      </c>
      <c r="D25" s="459">
        <f>+'App.2-CH_NewCGAAP_DepExp_2013'!F25</f>
        <v>0</v>
      </c>
      <c r="E25" s="412">
        <f t="shared" si="0"/>
        <v>0</v>
      </c>
      <c r="F25" s="374">
        <f>IF(D25=0,+'App.2-CH_NewCGAAP_DepExp_2013'!O25,+'App.2-CH_NewCGAAP_DepExp_2013'!O25+((C25*0.5)/D25))</f>
        <v>0</v>
      </c>
      <c r="G25" s="356">
        <f>-'App.2-BA_Fixed Asset Cont'!J333</f>
        <v>0</v>
      </c>
      <c r="H25" s="374">
        <f t="shared" si="1"/>
        <v>0</v>
      </c>
      <c r="I25" s="374">
        <f t="shared" si="2"/>
        <v>0</v>
      </c>
      <c r="J25" s="356"/>
      <c r="K25" s="374">
        <f>IF(ISERROR(+I25+'App.2-CH_NewCGAAP_DepExp_2013'!O25-J25), 0, +I25+'App.2-CH_NewCGAAP_DepExp_2013'!O25-J25)</f>
        <v>0</v>
      </c>
    </row>
    <row r="26" spans="1:11" x14ac:dyDescent="0.2">
      <c r="A26" s="1473">
        <v>1830</v>
      </c>
      <c r="B26" s="363" t="s">
        <v>362</v>
      </c>
      <c r="C26" s="356">
        <f>+'App.2-BA_Fixed Asset Cont'!E334</f>
        <v>2468003</v>
      </c>
      <c r="D26" s="459">
        <f>+'App.2-CH_NewCGAAP_DepExp_2013'!F26</f>
        <v>45</v>
      </c>
      <c r="E26" s="412">
        <f t="shared" si="0"/>
        <v>2.2222222222222223E-2</v>
      </c>
      <c r="F26" s="374">
        <f>IF(D26=0,+'App.2-CH_NewCGAAP_DepExp_2013'!O26,+'App.2-CH_NewCGAAP_DepExp_2013'!O26+((C26*0.5)/D26))</f>
        <v>475891.07599431823</v>
      </c>
      <c r="G26" s="356">
        <f>-'App.2-BA_Fixed Asset Cont'!J334</f>
        <v>475788</v>
      </c>
      <c r="H26" s="374">
        <f t="shared" si="1"/>
        <v>103.07599431823473</v>
      </c>
      <c r="I26" s="374">
        <f t="shared" si="2"/>
        <v>54844.511111111111</v>
      </c>
      <c r="J26" s="356"/>
      <c r="K26" s="374">
        <f>IF(ISERROR(+I26+'App.2-CH_NewCGAAP_DepExp_2013'!O26-J26), 0, +I26+'App.2-CH_NewCGAAP_DepExp_2013'!O26-J26)</f>
        <v>503313.33154987375</v>
      </c>
    </row>
    <row r="27" spans="1:11" x14ac:dyDescent="0.2">
      <c r="A27" s="1473">
        <v>1835</v>
      </c>
      <c r="B27" s="363" t="s">
        <v>288</v>
      </c>
      <c r="C27" s="356">
        <f>+'App.2-BA_Fixed Asset Cont'!E335</f>
        <v>1142413</v>
      </c>
      <c r="D27" s="459">
        <f>+'App.2-CH_NewCGAAP_DepExp_2013'!F27</f>
        <v>45</v>
      </c>
      <c r="E27" s="412">
        <f t="shared" si="0"/>
        <v>2.2222222222222223E-2</v>
      </c>
      <c r="F27" s="374">
        <f>IF(D27=0,+'App.2-CH_NewCGAAP_DepExp_2013'!O27,+'App.2-CH_NewCGAAP_DepExp_2013'!O27+((C27*0.5)/D27))</f>
        <v>297646.22099131107</v>
      </c>
      <c r="G27" s="356">
        <f>-'App.2-BA_Fixed Asset Cont'!J335</f>
        <v>297679</v>
      </c>
      <c r="H27" s="374">
        <f t="shared" si="1"/>
        <v>-32.779008688929025</v>
      </c>
      <c r="I27" s="374">
        <f t="shared" si="2"/>
        <v>25386.955555555556</v>
      </c>
      <c r="J27" s="356"/>
      <c r="K27" s="374">
        <f>IF(ISERROR(+I27+'App.2-CH_NewCGAAP_DepExp_2013'!O27-J27), 0, +I27+'App.2-CH_NewCGAAP_DepExp_2013'!O27-J27)</f>
        <v>310339.69876908883</v>
      </c>
    </row>
    <row r="28" spans="1:11" x14ac:dyDescent="0.2">
      <c r="A28" s="1473">
        <v>1840</v>
      </c>
      <c r="B28" s="363" t="s">
        <v>289</v>
      </c>
      <c r="C28" s="356">
        <f>+'App.2-BA_Fixed Asset Cont'!E336</f>
        <v>2249779</v>
      </c>
      <c r="D28" s="459">
        <f>+'App.2-CH_NewCGAAP_DepExp_2013'!F28</f>
        <v>40</v>
      </c>
      <c r="E28" s="412">
        <f t="shared" si="0"/>
        <v>2.5000000000000001E-2</v>
      </c>
      <c r="F28" s="374">
        <f>IF(D28=0,+'App.2-CH_NewCGAAP_DepExp_2013'!O28,+'App.2-CH_NewCGAAP_DepExp_2013'!O28+((C28*0.5)/D28))</f>
        <v>522706.6003419453</v>
      </c>
      <c r="G28" s="356">
        <f>-'App.2-BA_Fixed Asset Cont'!J336</f>
        <v>512029</v>
      </c>
      <c r="H28" s="374">
        <f t="shared" si="1"/>
        <v>10677.600341945305</v>
      </c>
      <c r="I28" s="374">
        <f t="shared" si="2"/>
        <v>56244.474999999999</v>
      </c>
      <c r="J28" s="356">
        <v>10678</v>
      </c>
      <c r="K28" s="374">
        <f>IF(ISERROR(+I28+'App.2-CH_NewCGAAP_DepExp_2013'!O28-J28), 0, +I28+'App.2-CH_NewCGAAP_DepExp_2013'!O28-J28)</f>
        <v>540150.83784194535</v>
      </c>
    </row>
    <row r="29" spans="1:11" x14ac:dyDescent="0.2">
      <c r="A29" s="1473">
        <v>1845</v>
      </c>
      <c r="B29" s="363" t="s">
        <v>290</v>
      </c>
      <c r="C29" s="356">
        <f>+'App.2-BA_Fixed Asset Cont'!E337</f>
        <v>1410870</v>
      </c>
      <c r="D29" s="459">
        <f>+'App.2-CH_NewCGAAP_DepExp_2013'!F29</f>
        <v>40</v>
      </c>
      <c r="E29" s="412">
        <f t="shared" si="0"/>
        <v>2.5000000000000001E-2</v>
      </c>
      <c r="F29" s="374">
        <f>IF(D29=0,+'App.2-CH_NewCGAAP_DepExp_2013'!O29,+'App.2-CH_NewCGAAP_DepExp_2013'!O29+((C29*0.5)/D29))</f>
        <v>362088.81130653265</v>
      </c>
      <c r="G29" s="356">
        <f>-'App.2-BA_Fixed Asset Cont'!J337</f>
        <v>353320</v>
      </c>
      <c r="H29" s="374">
        <f t="shared" si="1"/>
        <v>8768.811306532647</v>
      </c>
      <c r="I29" s="374">
        <f t="shared" si="2"/>
        <v>35271.75</v>
      </c>
      <c r="J29" s="356">
        <v>8769</v>
      </c>
      <c r="K29" s="374">
        <f>IF(ISERROR(+I29+'App.2-CH_NewCGAAP_DepExp_2013'!O29-J29), 0, +I29+'App.2-CH_NewCGAAP_DepExp_2013'!O29-J29)</f>
        <v>370955.68630653265</v>
      </c>
    </row>
    <row r="30" spans="1:11" x14ac:dyDescent="0.2">
      <c r="A30" s="1473">
        <v>1850</v>
      </c>
      <c r="B30" s="363" t="s">
        <v>363</v>
      </c>
      <c r="C30" s="356">
        <f>+'App.2-BA_Fixed Asset Cont'!E338</f>
        <v>1814539</v>
      </c>
      <c r="D30" s="459">
        <f>+'App.2-CH_NewCGAAP_DepExp_2013'!F30</f>
        <v>40</v>
      </c>
      <c r="E30" s="412">
        <f t="shared" si="0"/>
        <v>2.5000000000000001E-2</v>
      </c>
      <c r="F30" s="374">
        <f>IF(D30=0,+'App.2-CH_NewCGAAP_DepExp_2013'!O30,+'App.2-CH_NewCGAAP_DepExp_2013'!O30+((C30*0.5)/D30))</f>
        <v>683060.56020523061</v>
      </c>
      <c r="G30" s="356">
        <f>-'App.2-BA_Fixed Asset Cont'!J338</f>
        <v>683051</v>
      </c>
      <c r="H30" s="374">
        <f t="shared" si="1"/>
        <v>9.5602052306057885</v>
      </c>
      <c r="I30" s="374">
        <f t="shared" si="2"/>
        <v>45363.474999999999</v>
      </c>
      <c r="J30" s="356"/>
      <c r="K30" s="374">
        <f>IF(ISERROR(+I30+'App.2-CH_NewCGAAP_DepExp_2013'!O30-J30), 0, +I30+'App.2-CH_NewCGAAP_DepExp_2013'!O30-J30)</f>
        <v>705742.29770523054</v>
      </c>
    </row>
    <row r="31" spans="1:11" x14ac:dyDescent="0.2">
      <c r="A31" s="1473">
        <v>1855</v>
      </c>
      <c r="B31" s="363" t="s">
        <v>291</v>
      </c>
      <c r="C31" s="356">
        <f>+'App.2-BA_Fixed Asset Cont'!E339</f>
        <v>831748</v>
      </c>
      <c r="D31" s="459">
        <f>+'App.2-CH_NewCGAAP_DepExp_2013'!F31</f>
        <v>40</v>
      </c>
      <c r="E31" s="412">
        <f t="shared" si="0"/>
        <v>2.5000000000000001E-2</v>
      </c>
      <c r="F31" s="374">
        <f>IF(D31=0,+'App.2-CH_NewCGAAP_DepExp_2013'!O31,+'App.2-CH_NewCGAAP_DepExp_2013'!O31+((C31*0.5)/D31))</f>
        <v>225413.53166666665</v>
      </c>
      <c r="G31" s="356">
        <f>-'App.2-BA_Fixed Asset Cont'!J339</f>
        <v>225427</v>
      </c>
      <c r="H31" s="374">
        <f t="shared" si="1"/>
        <v>-13.468333333352348</v>
      </c>
      <c r="I31" s="374">
        <f t="shared" si="2"/>
        <v>20793.7</v>
      </c>
      <c r="J31" s="356"/>
      <c r="K31" s="374">
        <f>IF(ISERROR(+I31+'App.2-CH_NewCGAAP_DepExp_2013'!O31-J31), 0, +I31+'App.2-CH_NewCGAAP_DepExp_2013'!O31-J31)</f>
        <v>235810.38166666665</v>
      </c>
    </row>
    <row r="32" spans="1:11" x14ac:dyDescent="0.2">
      <c r="A32" s="1473">
        <v>1860</v>
      </c>
      <c r="B32" s="363" t="s">
        <v>364</v>
      </c>
      <c r="C32" s="356">
        <f>+'App.2-BA_Fixed Asset Cont'!E340</f>
        <v>0</v>
      </c>
      <c r="D32" s="459">
        <f>+'App.2-CH_NewCGAAP_DepExp_2013'!F32</f>
        <v>15</v>
      </c>
      <c r="E32" s="412">
        <f t="shared" si="0"/>
        <v>6.6666666666666666E-2</v>
      </c>
      <c r="F32" s="374">
        <f>IF(D32=0,+'App.2-CH_NewCGAAP_DepExp_2013'!O32,+'App.2-CH_NewCGAAP_DepExp_2013'!O32+((C32*0.5)/D32))</f>
        <v>0</v>
      </c>
      <c r="G32" s="356">
        <f>-'App.2-BA_Fixed Asset Cont'!J340</f>
        <v>0</v>
      </c>
      <c r="H32" s="374">
        <f t="shared" si="1"/>
        <v>0</v>
      </c>
      <c r="I32" s="374">
        <f t="shared" si="2"/>
        <v>0</v>
      </c>
      <c r="J32" s="356"/>
      <c r="K32" s="374">
        <f>IF(ISERROR(+I32+'App.2-CH_NewCGAAP_DepExp_2013'!O32-J32), 0, +I32+'App.2-CH_NewCGAAP_DepExp_2013'!O32-J32)</f>
        <v>0</v>
      </c>
    </row>
    <row r="33" spans="1:13" x14ac:dyDescent="0.2">
      <c r="A33" s="361">
        <v>1860</v>
      </c>
      <c r="B33" s="362" t="s">
        <v>292</v>
      </c>
      <c r="C33" s="356">
        <f>+'App.2-BA_Fixed Asset Cont'!E341</f>
        <v>433062</v>
      </c>
      <c r="D33" s="459">
        <f>+'App.2-CH_NewCGAAP_DepExp_2013'!F33</f>
        <v>15</v>
      </c>
      <c r="E33" s="412">
        <f t="shared" si="0"/>
        <v>6.6666666666666666E-2</v>
      </c>
      <c r="F33" s="374">
        <f>IF(D33=0,+'App.2-CH_NewCGAAP_DepExp_2013'!O33,+'App.2-CH_NewCGAAP_DepExp_2013'!O33+((C33*0.5)/D33))</f>
        <v>707703.8819819818</v>
      </c>
      <c r="G33" s="356">
        <f>-'App.2-BA_Fixed Asset Cont'!J341</f>
        <v>701423</v>
      </c>
      <c r="H33" s="374">
        <f t="shared" si="1"/>
        <v>6280.8819819818018</v>
      </c>
      <c r="I33" s="374">
        <f t="shared" si="2"/>
        <v>28870.799999999999</v>
      </c>
      <c r="J33" s="356">
        <f>+[13]A!$BI$125+2911</f>
        <v>6277.8699999999735</v>
      </c>
      <c r="K33" s="374">
        <f>IF(ISERROR(+I33+'App.2-CH_NewCGAAP_DepExp_2013'!O33-J33), 0, +I33+'App.2-CH_NewCGAAP_DepExp_2013'!O33-J33)</f>
        <v>715861.41198198183</v>
      </c>
      <c r="M33" s="1670"/>
    </row>
    <row r="34" spans="1:13" x14ac:dyDescent="0.2">
      <c r="A34" s="361">
        <v>1905</v>
      </c>
      <c r="B34" s="362" t="s">
        <v>358</v>
      </c>
      <c r="C34" s="356">
        <f>+'App.2-BA_Fixed Asset Cont'!E342</f>
        <v>4040000</v>
      </c>
      <c r="D34" s="459">
        <f>+'App.2-CH_NewCGAAP_DepExp_2013'!F34</f>
        <v>0</v>
      </c>
      <c r="E34" s="412">
        <f t="shared" si="0"/>
        <v>0</v>
      </c>
      <c r="F34" s="374">
        <f>IF(D34=0,+'App.2-CH_NewCGAAP_DepExp_2013'!O34,+'App.2-CH_NewCGAAP_DepExp_2013'!O34+((C34*0.5)/D34))</f>
        <v>0</v>
      </c>
      <c r="G34" s="356">
        <f>-'App.2-BA_Fixed Asset Cont'!J342</f>
        <v>0</v>
      </c>
      <c r="H34" s="374">
        <f t="shared" si="1"/>
        <v>0</v>
      </c>
      <c r="I34" s="374">
        <f t="shared" si="2"/>
        <v>0</v>
      </c>
      <c r="J34" s="356"/>
      <c r="K34" s="374">
        <f>IF(ISERROR(+I34+'App.2-CH_NewCGAAP_DepExp_2013'!O34-J34), 0, +I34+'App.2-CH_NewCGAAP_DepExp_2013'!O34-J34)</f>
        <v>0</v>
      </c>
    </row>
    <row r="35" spans="1:13" x14ac:dyDescent="0.2">
      <c r="A35" s="1473">
        <v>1908</v>
      </c>
      <c r="B35" s="363" t="s">
        <v>366</v>
      </c>
      <c r="C35" s="356">
        <f>+'App.2-BA_Fixed Asset Cont'!E343</f>
        <v>0</v>
      </c>
      <c r="D35" s="459">
        <f>+'App.2-CH_NewCGAAP_DepExp_2013'!F35</f>
        <v>0</v>
      </c>
      <c r="E35" s="412">
        <f t="shared" si="0"/>
        <v>0</v>
      </c>
      <c r="F35" s="374">
        <f>IF(D35=0,+'App.2-CH_NewCGAAP_DepExp_2013'!O35,+'App.2-CH_NewCGAAP_DepExp_2013'!O35+((C35*0.5)/D35))</f>
        <v>0</v>
      </c>
      <c r="G35" s="356">
        <f>-'App.2-BA_Fixed Asset Cont'!J343</f>
        <v>0</v>
      </c>
      <c r="H35" s="374">
        <f t="shared" si="1"/>
        <v>0</v>
      </c>
      <c r="I35" s="374">
        <f t="shared" si="2"/>
        <v>0</v>
      </c>
      <c r="J35" s="356"/>
      <c r="K35" s="374">
        <f>IF(ISERROR(+I35+'App.2-CH_NewCGAAP_DepExp_2013'!O35-J35), 0, +I35+'App.2-CH_NewCGAAP_DepExp_2013'!O35-J35)</f>
        <v>0</v>
      </c>
    </row>
    <row r="36" spans="1:13" x14ac:dyDescent="0.2">
      <c r="A36" s="1473">
        <v>1910</v>
      </c>
      <c r="B36" s="363" t="s">
        <v>392</v>
      </c>
      <c r="C36" s="356">
        <f>+'App.2-BA_Fixed Asset Cont'!E344</f>
        <v>0</v>
      </c>
      <c r="D36" s="459">
        <v>5</v>
      </c>
      <c r="E36" s="412">
        <f t="shared" si="0"/>
        <v>0.2</v>
      </c>
      <c r="F36" s="374">
        <f>IF(D36=0,+'App.2-CH_NewCGAAP_DepExp_2013'!O36,+'App.2-CH_NewCGAAP_DepExp_2013'!O36+((C36*0.5)/D36))</f>
        <v>12017.34782608696</v>
      </c>
      <c r="G36" s="356">
        <f>-'App.2-BA_Fixed Asset Cont'!J344</f>
        <v>12024</v>
      </c>
      <c r="H36" s="374">
        <f t="shared" si="1"/>
        <v>-6.6521739130403148</v>
      </c>
      <c r="I36" s="374">
        <f t="shared" si="2"/>
        <v>0</v>
      </c>
      <c r="J36" s="356"/>
      <c r="K36" s="374">
        <f>IF(ISERROR(+I36+'App.2-CH_NewCGAAP_DepExp_2013'!O36-J36), 0, +I36+'App.2-CH_NewCGAAP_DepExp_2013'!O36-J36)</f>
        <v>12017.34782608696</v>
      </c>
    </row>
    <row r="37" spans="1:13" x14ac:dyDescent="0.2">
      <c r="A37" s="1473">
        <v>1915</v>
      </c>
      <c r="B37" s="363" t="s">
        <v>293</v>
      </c>
      <c r="C37" s="356">
        <f>+'App.2-BA_Fixed Asset Cont'!E345</f>
        <v>2798</v>
      </c>
      <c r="D37" s="459">
        <f>+'App.2-CH_NewCGAAP_DepExp_2013'!F37</f>
        <v>10</v>
      </c>
      <c r="E37" s="412">
        <f t="shared" si="0"/>
        <v>0.1</v>
      </c>
      <c r="F37" s="374">
        <f>IF(D37=0,+'App.2-CH_NewCGAAP_DepExp_2013'!O37,+'App.2-CH_NewCGAAP_DepExp_2013'!O37+((C37*0.5)/D37))</f>
        <v>17083.074603174606</v>
      </c>
      <c r="G37" s="356">
        <f>-'App.2-BA_Fixed Asset Cont'!J345</f>
        <v>15390</v>
      </c>
      <c r="H37" s="374">
        <f t="shared" si="1"/>
        <v>1693.0746031746057</v>
      </c>
      <c r="I37" s="374">
        <f t="shared" si="2"/>
        <v>279.8</v>
      </c>
      <c r="J37" s="356">
        <v>1693</v>
      </c>
      <c r="K37" s="374">
        <f>IF(ISERROR(+I37+'App.2-CH_NewCGAAP_DepExp_2013'!O37-J37), 0, +I37+'App.2-CH_NewCGAAP_DepExp_2013'!O37-J37)</f>
        <v>15529.974603174604</v>
      </c>
    </row>
    <row r="38" spans="1:13" x14ac:dyDescent="0.2">
      <c r="A38" s="1473">
        <v>1915</v>
      </c>
      <c r="B38" s="363" t="s">
        <v>294</v>
      </c>
      <c r="C38" s="356">
        <f>+'App.2-BA_Fixed Asset Cont'!E346</f>
        <v>0</v>
      </c>
      <c r="D38" s="459">
        <f>+'App.2-CH_NewCGAAP_DepExp_2013'!F38</f>
        <v>0</v>
      </c>
      <c r="E38" s="412">
        <f t="shared" si="0"/>
        <v>0</v>
      </c>
      <c r="F38" s="374">
        <f>IF(D38=0,+'App.2-CH_NewCGAAP_DepExp_2013'!O38,+'App.2-CH_NewCGAAP_DepExp_2013'!O38+((C38*0.5)/D38))</f>
        <v>0</v>
      </c>
      <c r="G38" s="356">
        <f>-'App.2-BA_Fixed Asset Cont'!J346</f>
        <v>0</v>
      </c>
      <c r="H38" s="374">
        <f t="shared" si="1"/>
        <v>0</v>
      </c>
      <c r="I38" s="374">
        <f t="shared" si="2"/>
        <v>0</v>
      </c>
      <c r="J38" s="356"/>
      <c r="K38" s="374">
        <f>IF(ISERROR(+I38+'App.2-CH_NewCGAAP_DepExp_2013'!O38-J38), 0, +I38+'App.2-CH_NewCGAAP_DepExp_2013'!O38-J38)</f>
        <v>0</v>
      </c>
    </row>
    <row r="39" spans="1:13" x14ac:dyDescent="0.2">
      <c r="A39" s="1473">
        <v>1920</v>
      </c>
      <c r="B39" s="363" t="s">
        <v>295</v>
      </c>
      <c r="C39" s="356">
        <f>+'App.2-BA_Fixed Asset Cont'!E347</f>
        <v>98237</v>
      </c>
      <c r="D39" s="459">
        <f>+'App.2-CH_NewCGAAP_DepExp_2013'!F39</f>
        <v>5</v>
      </c>
      <c r="E39" s="412">
        <f t="shared" si="0"/>
        <v>0.2</v>
      </c>
      <c r="F39" s="374">
        <f>IF(D39=0,+'App.2-CH_NewCGAAP_DepExp_2013'!O39,+'App.2-CH_NewCGAAP_DepExp_2013'!O39+((C39*0.5)/D39))</f>
        <v>86061.460919540215</v>
      </c>
      <c r="G39" s="356">
        <f>-'App.2-BA_Fixed Asset Cont'!J347</f>
        <v>74948</v>
      </c>
      <c r="H39" s="374">
        <f t="shared" si="1"/>
        <v>11113.460919540215</v>
      </c>
      <c r="I39" s="374">
        <f t="shared" si="2"/>
        <v>19647.400000000001</v>
      </c>
      <c r="J39" s="356">
        <v>11113</v>
      </c>
      <c r="K39" s="374">
        <f>IF(ISERROR(+I39+'App.2-CH_NewCGAAP_DepExp_2013'!O39-J39), 0, +I39+'App.2-CH_NewCGAAP_DepExp_2013'!O39-J39)</f>
        <v>84772.160919540212</v>
      </c>
    </row>
    <row r="40" spans="1:13" x14ac:dyDescent="0.2">
      <c r="A40" s="368">
        <v>1920</v>
      </c>
      <c r="B40" s="355" t="s">
        <v>297</v>
      </c>
      <c r="C40" s="356">
        <f>+'App.2-BA_Fixed Asset Cont'!E348</f>
        <v>0</v>
      </c>
      <c r="D40" s="459">
        <f>+'App.2-CH_NewCGAAP_DepExp_2013'!F40</f>
        <v>0</v>
      </c>
      <c r="E40" s="412">
        <f t="shared" si="0"/>
        <v>0</v>
      </c>
      <c r="F40" s="374">
        <f>IF(D40=0,+'App.2-CH_NewCGAAP_DepExp_2013'!O40,+'App.2-CH_NewCGAAP_DepExp_2013'!O40+((C40*0.5)/D40))</f>
        <v>0</v>
      </c>
      <c r="G40" s="356">
        <f>-'App.2-BA_Fixed Asset Cont'!J348</f>
        <v>0</v>
      </c>
      <c r="H40" s="374">
        <f t="shared" si="1"/>
        <v>0</v>
      </c>
      <c r="I40" s="374">
        <f t="shared" si="2"/>
        <v>0</v>
      </c>
      <c r="J40" s="356"/>
      <c r="K40" s="374">
        <f>IF(ISERROR(+I40+'App.2-CH_NewCGAAP_DepExp_2013'!O40-J40), 0, +I40+'App.2-CH_NewCGAAP_DepExp_2013'!O40-J40)</f>
        <v>0</v>
      </c>
    </row>
    <row r="41" spans="1:13" x14ac:dyDescent="0.2">
      <c r="A41" s="368">
        <v>1920</v>
      </c>
      <c r="B41" s="355" t="s">
        <v>296</v>
      </c>
      <c r="C41" s="356">
        <f>+'App.2-BA_Fixed Asset Cont'!E349</f>
        <v>0</v>
      </c>
      <c r="D41" s="459">
        <f>+'App.2-CH_NewCGAAP_DepExp_2013'!F41</f>
        <v>0</v>
      </c>
      <c r="E41" s="412">
        <f t="shared" si="0"/>
        <v>0</v>
      </c>
      <c r="F41" s="374">
        <f>IF(D41=0,+'App.2-CH_NewCGAAP_DepExp_2013'!O41,+'App.2-CH_NewCGAAP_DepExp_2013'!O41+((C41*0.5)/D41))</f>
        <v>0</v>
      </c>
      <c r="G41" s="356">
        <f>-'App.2-BA_Fixed Asset Cont'!J349</f>
        <v>0</v>
      </c>
      <c r="H41" s="374">
        <f t="shared" si="1"/>
        <v>0</v>
      </c>
      <c r="I41" s="374">
        <f t="shared" si="2"/>
        <v>0</v>
      </c>
      <c r="J41" s="356"/>
      <c r="K41" s="374">
        <f>IF(ISERROR(+I41+'App.2-CH_NewCGAAP_DepExp_2013'!O41-J41), 0, +I41+'App.2-CH_NewCGAAP_DepExp_2013'!O41-J41)</f>
        <v>0</v>
      </c>
    </row>
    <row r="42" spans="1:13" x14ac:dyDescent="0.2">
      <c r="A42" s="1473">
        <v>1930</v>
      </c>
      <c r="B42" s="363" t="s">
        <v>379</v>
      </c>
      <c r="C42" s="356">
        <v>461162.16</v>
      </c>
      <c r="D42" s="459">
        <v>12</v>
      </c>
      <c r="E42" s="412">
        <f t="shared" si="0"/>
        <v>8.3333333333333329E-2</v>
      </c>
      <c r="F42" s="374">
        <f>IF(D42=0,+'App.2-CH_NewCGAAP_DepExp_2013'!O42,+'App.2-CH_NewCGAAP_DepExp_2013'!O42+((C42*0.5)/D42))</f>
        <v>50896.34</v>
      </c>
      <c r="G42" s="356">
        <v>63540.160000000003</v>
      </c>
      <c r="H42" s="374">
        <f t="shared" si="1"/>
        <v>-12643.820000000007</v>
      </c>
      <c r="I42" s="374">
        <f t="shared" si="2"/>
        <v>38430.18</v>
      </c>
      <c r="J42" s="356"/>
      <c r="K42" s="374">
        <f>IF(ISERROR(+I42+'App.2-CH_NewCGAAP_DepExp_2013'!O42-J42), 0, +I42+'App.2-CH_NewCGAAP_DepExp_2013'!O42-J42)</f>
        <v>70111.429999999993</v>
      </c>
    </row>
    <row r="43" spans="1:13" x14ac:dyDescent="0.2">
      <c r="A43" s="1551">
        <v>1930</v>
      </c>
      <c r="B43" s="363" t="s">
        <v>379</v>
      </c>
      <c r="C43" s="356">
        <v>79211.3</v>
      </c>
      <c r="D43" s="459">
        <v>8</v>
      </c>
      <c r="E43" s="412">
        <f t="shared" si="0"/>
        <v>0.125</v>
      </c>
      <c r="F43" s="374">
        <f>IF(D43=0,+'App.2-CH_NewCGAAP_DepExp_2013'!O43,+'App.2-CH_NewCGAAP_DepExp_2013'!O43+((C43*0.5)/D43))</f>
        <v>63531.197135416689</v>
      </c>
      <c r="G43" s="356">
        <v>50897.08</v>
      </c>
      <c r="H43" s="374">
        <f t="shared" ref="H43" si="3">IF(ISERROR(+F43-G43), 0, +F43-G43)</f>
        <v>12634.117135416687</v>
      </c>
      <c r="I43" s="374">
        <f t="shared" ref="I43" si="4">IF(D43=0,0,+(C43)/D43)</f>
        <v>9901.4125000000004</v>
      </c>
      <c r="J43" s="356"/>
      <c r="K43" s="374">
        <f>IF(ISERROR(+I43+'App.2-CH_NewCGAAP_DepExp_2013'!O43-J43), 0, +I43+'App.2-CH_NewCGAAP_DepExp_2013'!O43-J43)</f>
        <v>68481.903385416692</v>
      </c>
    </row>
    <row r="44" spans="1:13" x14ac:dyDescent="0.2">
      <c r="A44" s="1473">
        <v>1935</v>
      </c>
      <c r="B44" s="363" t="s">
        <v>380</v>
      </c>
      <c r="C44" s="356">
        <f>+'App.2-BA_Fixed Asset Cont'!E351</f>
        <v>0</v>
      </c>
      <c r="D44" s="459">
        <f>+'App.2-CH_NewCGAAP_DepExp_2013'!F44</f>
        <v>12</v>
      </c>
      <c r="E44" s="412">
        <f t="shared" si="0"/>
        <v>8.3333333333333329E-2</v>
      </c>
      <c r="F44" s="374">
        <f>IF(D44=0,+'App.2-CH_NewCGAAP_DepExp_2013'!O44,+'App.2-CH_NewCGAAP_DepExp_2013'!O44+((C44*0.5)/D44))</f>
        <v>7368.4627619047624</v>
      </c>
      <c r="G44" s="356">
        <f>-'App.2-BA_Fixed Asset Cont'!J351</f>
        <v>7370</v>
      </c>
      <c r="H44" s="374">
        <f t="shared" si="1"/>
        <v>-1.5372380952376261</v>
      </c>
      <c r="I44" s="374">
        <f t="shared" si="2"/>
        <v>0</v>
      </c>
      <c r="J44" s="356"/>
      <c r="K44" s="374">
        <f>IF(ISERROR(+I44+'App.2-CH_NewCGAAP_DepExp_2013'!O44-J44), 0, +I44+'App.2-CH_NewCGAAP_DepExp_2013'!O44-J44)</f>
        <v>7368.4627619047624</v>
      </c>
    </row>
    <row r="45" spans="1:13" x14ac:dyDescent="0.2">
      <c r="A45" s="1473">
        <v>1940</v>
      </c>
      <c r="B45" s="363" t="s">
        <v>381</v>
      </c>
      <c r="C45" s="356">
        <f>+'App.2-BA_Fixed Asset Cont'!E352</f>
        <v>15446</v>
      </c>
      <c r="D45" s="459">
        <f>+'App.2-CH_NewCGAAP_DepExp_2013'!F45</f>
        <v>10</v>
      </c>
      <c r="E45" s="412">
        <f t="shared" si="0"/>
        <v>0.1</v>
      </c>
      <c r="F45" s="374">
        <f>IF(D45=0,+'App.2-CH_NewCGAAP_DepExp_2013'!O45,+'App.2-CH_NewCGAAP_DepExp_2013'!O45+((C45*0.5)/D45))</f>
        <v>8711.2594936708738</v>
      </c>
      <c r="G45" s="356">
        <f>-'App.2-BA_Fixed Asset Cont'!J352</f>
        <v>6916</v>
      </c>
      <c r="H45" s="374">
        <f t="shared" si="1"/>
        <v>1795.2594936708738</v>
      </c>
      <c r="I45" s="374">
        <f t="shared" si="2"/>
        <v>1544.6</v>
      </c>
      <c r="J45" s="356"/>
      <c r="K45" s="374">
        <f>IF(ISERROR(+I45+'App.2-CH_NewCGAAP_DepExp_2013'!O45-J45), 0, +I45+'App.2-CH_NewCGAAP_DepExp_2013'!O45-J45)</f>
        <v>9483.5594936708749</v>
      </c>
    </row>
    <row r="46" spans="1:13" x14ac:dyDescent="0.2">
      <c r="A46" s="1473">
        <v>1945</v>
      </c>
      <c r="B46" s="363" t="s">
        <v>382</v>
      </c>
      <c r="C46" s="356">
        <f>+'App.2-BA_Fixed Asset Cont'!E353</f>
        <v>0</v>
      </c>
      <c r="D46" s="459">
        <f>+'App.2-CH_NewCGAAP_DepExp_2013'!F46</f>
        <v>10</v>
      </c>
      <c r="E46" s="412">
        <f t="shared" si="0"/>
        <v>0.1</v>
      </c>
      <c r="F46" s="374">
        <f>IF(D46=0,+'App.2-CH_NewCGAAP_DepExp_2013'!O46,+'App.2-CH_NewCGAAP_DepExp_2013'!O46+((C46*0.5)/D46))</f>
        <v>9473.8084780388162</v>
      </c>
      <c r="G46" s="356">
        <f>-'App.2-BA_Fixed Asset Cont'!J353</f>
        <v>9476</v>
      </c>
      <c r="H46" s="374">
        <f t="shared" si="1"/>
        <v>-2.1915219611837529</v>
      </c>
      <c r="I46" s="374">
        <f t="shared" si="2"/>
        <v>0</v>
      </c>
      <c r="J46" s="356"/>
      <c r="K46" s="374">
        <f>IF(ISERROR(+I46+'App.2-CH_NewCGAAP_DepExp_2013'!O46-J46), 0, +I46+'App.2-CH_NewCGAAP_DepExp_2013'!O46-J46)</f>
        <v>9473.8084780388162</v>
      </c>
    </row>
    <row r="47" spans="1:13" x14ac:dyDescent="0.2">
      <c r="A47" s="1473">
        <v>1950</v>
      </c>
      <c r="B47" s="363" t="s">
        <v>298</v>
      </c>
      <c r="C47" s="356">
        <f>+'App.2-BA_Fixed Asset Cont'!E354</f>
        <v>0</v>
      </c>
      <c r="D47" s="459">
        <f>+'App.2-CH_NewCGAAP_DepExp_2013'!F47</f>
        <v>0</v>
      </c>
      <c r="E47" s="412">
        <f t="shared" si="0"/>
        <v>0</v>
      </c>
      <c r="F47" s="374">
        <f>IF(D47=0,+'App.2-CH_NewCGAAP_DepExp_2013'!O47,+'App.2-CH_NewCGAAP_DepExp_2013'!O47+((C47*0.5)/D47))</f>
        <v>0</v>
      </c>
      <c r="G47" s="356">
        <f>-'App.2-BA_Fixed Asset Cont'!J354</f>
        <v>0</v>
      </c>
      <c r="H47" s="374">
        <f t="shared" si="1"/>
        <v>0</v>
      </c>
      <c r="I47" s="374">
        <f t="shared" si="2"/>
        <v>0</v>
      </c>
      <c r="J47" s="356"/>
      <c r="K47" s="374">
        <f>IF(ISERROR(+I47+'App.2-CH_NewCGAAP_DepExp_2013'!O47-J47), 0, +I47+'App.2-CH_NewCGAAP_DepExp_2013'!O47-J47)</f>
        <v>0</v>
      </c>
    </row>
    <row r="48" spans="1:13" x14ac:dyDescent="0.2">
      <c r="A48" s="1473">
        <v>1955</v>
      </c>
      <c r="B48" s="363" t="s">
        <v>383</v>
      </c>
      <c r="C48" s="356">
        <f>+'App.2-BA_Fixed Asset Cont'!E355</f>
        <v>28833</v>
      </c>
      <c r="D48" s="459">
        <f>+'App.2-CH_NewCGAAP_DepExp_2013'!F48</f>
        <v>10</v>
      </c>
      <c r="E48" s="412">
        <f t="shared" si="0"/>
        <v>0.1</v>
      </c>
      <c r="F48" s="374">
        <f>IF(D48=0,+'App.2-CH_NewCGAAP_DepExp_2013'!O48,+'App.2-CH_NewCGAAP_DepExp_2013'!O48+((C48*0.5)/D48))</f>
        <v>12471.074057450629</v>
      </c>
      <c r="G48" s="356">
        <f>-'App.2-BA_Fixed Asset Cont'!J355</f>
        <v>12203</v>
      </c>
      <c r="H48" s="374">
        <f t="shared" si="1"/>
        <v>268.07405745062897</v>
      </c>
      <c r="I48" s="374">
        <f t="shared" si="2"/>
        <v>2883.3</v>
      </c>
      <c r="J48" s="356">
        <v>268</v>
      </c>
      <c r="K48" s="374">
        <f>IF(ISERROR(+I48+'App.2-CH_NewCGAAP_DepExp_2013'!O48-J48), 0, +I48+'App.2-CH_NewCGAAP_DepExp_2013'!O48-J48)</f>
        <v>13644.724057450629</v>
      </c>
    </row>
    <row r="49" spans="1:15" x14ac:dyDescent="0.2">
      <c r="A49" s="364">
        <v>1955</v>
      </c>
      <c r="B49" s="367" t="s">
        <v>299</v>
      </c>
      <c r="C49" s="356">
        <f>+'App.2-BA_Fixed Asset Cont'!E356</f>
        <v>0</v>
      </c>
      <c r="D49" s="459">
        <f>+'App.2-CH_NewCGAAP_DepExp_2013'!F49</f>
        <v>0</v>
      </c>
      <c r="E49" s="412">
        <f t="shared" si="0"/>
        <v>0</v>
      </c>
      <c r="F49" s="374">
        <f>IF(D49=0,+'App.2-CH_NewCGAAP_DepExp_2013'!O49,+'App.2-CH_NewCGAAP_DepExp_2013'!O49+((C49*0.5)/D49))</f>
        <v>0</v>
      </c>
      <c r="G49" s="356">
        <f>-'App.2-BA_Fixed Asset Cont'!J356</f>
        <v>0</v>
      </c>
      <c r="H49" s="374">
        <f t="shared" si="1"/>
        <v>0</v>
      </c>
      <c r="I49" s="374">
        <f t="shared" si="2"/>
        <v>0</v>
      </c>
      <c r="J49" s="356"/>
      <c r="K49" s="374">
        <f>IF(ISERROR(+I49+'App.2-CH_NewCGAAP_DepExp_2013'!O49-J49), 0, +I49+'App.2-CH_NewCGAAP_DepExp_2013'!O49-J49)</f>
        <v>0</v>
      </c>
    </row>
    <row r="50" spans="1:15" x14ac:dyDescent="0.2">
      <c r="A50" s="368">
        <v>1960</v>
      </c>
      <c r="B50" s="355" t="s">
        <v>300</v>
      </c>
      <c r="C50" s="356">
        <f>+'App.2-BA_Fixed Asset Cont'!E357</f>
        <v>0</v>
      </c>
      <c r="D50" s="459">
        <f>+'App.2-CH_NewCGAAP_DepExp_2013'!F50</f>
        <v>0</v>
      </c>
      <c r="E50" s="412">
        <f t="shared" si="0"/>
        <v>0</v>
      </c>
      <c r="F50" s="374">
        <f>IF(D50=0,+'App.2-CH_NewCGAAP_DepExp_2013'!O50,+'App.2-CH_NewCGAAP_DepExp_2013'!O50+((C50*0.5)/D50))</f>
        <v>0</v>
      </c>
      <c r="G50" s="356">
        <f>-'App.2-BA_Fixed Asset Cont'!J357</f>
        <v>0</v>
      </c>
      <c r="H50" s="374">
        <f t="shared" si="1"/>
        <v>0</v>
      </c>
      <c r="I50" s="374">
        <f t="shared" si="2"/>
        <v>0</v>
      </c>
      <c r="J50" s="356"/>
      <c r="K50" s="374">
        <f>IF(ISERROR(+I50+'App.2-CH_NewCGAAP_DepExp_2013'!O50-J50), 0, +I50+'App.2-CH_NewCGAAP_DepExp_2013'!O50-J50)</f>
        <v>0</v>
      </c>
    </row>
    <row r="51" spans="1:15" x14ac:dyDescent="0.2">
      <c r="A51" s="368">
        <v>1970</v>
      </c>
      <c r="B51" s="1474" t="s">
        <v>712</v>
      </c>
      <c r="C51" s="356">
        <f>+'App.2-BA_Fixed Asset Cont'!E358</f>
        <v>0</v>
      </c>
      <c r="D51" s="459">
        <f>+'App.2-CH_NewCGAAP_DepExp_2013'!F51</f>
        <v>0</v>
      </c>
      <c r="E51" s="412">
        <f t="shared" si="0"/>
        <v>0</v>
      </c>
      <c r="F51" s="374">
        <f>IF(D51=0,+'App.2-CH_NewCGAAP_DepExp_2013'!O51,+'App.2-CH_NewCGAAP_DepExp_2013'!O51+((C51*0.5)/D51))</f>
        <v>0</v>
      </c>
      <c r="G51" s="356">
        <f>-'App.2-BA_Fixed Asset Cont'!J358</f>
        <v>0</v>
      </c>
      <c r="H51" s="374">
        <f t="shared" si="1"/>
        <v>0</v>
      </c>
      <c r="I51" s="374">
        <f t="shared" si="2"/>
        <v>0</v>
      </c>
      <c r="J51" s="356"/>
      <c r="K51" s="374">
        <f>IF(ISERROR(+I51+'App.2-CH_NewCGAAP_DepExp_2013'!O51-J51), 0, +I51+'App.2-CH_NewCGAAP_DepExp_2013'!O51-J51)</f>
        <v>0</v>
      </c>
    </row>
    <row r="52" spans="1:15" x14ac:dyDescent="0.2">
      <c r="A52" s="1473">
        <v>1975</v>
      </c>
      <c r="B52" s="363" t="s">
        <v>384</v>
      </c>
      <c r="C52" s="356">
        <f>+'App.2-BA_Fixed Asset Cont'!E359</f>
        <v>0</v>
      </c>
      <c r="D52" s="459">
        <f>+'App.2-CH_NewCGAAP_DepExp_2013'!F52</f>
        <v>0</v>
      </c>
      <c r="E52" s="412">
        <f t="shared" si="0"/>
        <v>0</v>
      </c>
      <c r="F52" s="374">
        <f>IF(D52=0,+'App.2-CH_NewCGAAP_DepExp_2013'!O52,+'App.2-CH_NewCGAAP_DepExp_2013'!O52+((C52*0.5)/D52))</f>
        <v>0</v>
      </c>
      <c r="G52" s="356">
        <f>-'App.2-BA_Fixed Asset Cont'!J359</f>
        <v>0</v>
      </c>
      <c r="H52" s="374">
        <f t="shared" si="1"/>
        <v>0</v>
      </c>
      <c r="I52" s="374">
        <f t="shared" si="2"/>
        <v>0</v>
      </c>
      <c r="J52" s="356"/>
      <c r="K52" s="374">
        <f>IF(ISERROR(+I52+'App.2-CH_NewCGAAP_DepExp_2013'!O52-J52), 0, +I52+'App.2-CH_NewCGAAP_DepExp_2013'!O52-J52)</f>
        <v>0</v>
      </c>
    </row>
    <row r="53" spans="1:15" x14ac:dyDescent="0.2">
      <c r="A53" s="1473">
        <v>1980</v>
      </c>
      <c r="B53" s="363" t="s">
        <v>385</v>
      </c>
      <c r="C53" s="356">
        <f>+'App.2-BA_Fixed Asset Cont'!E360</f>
        <v>27973</v>
      </c>
      <c r="D53" s="459">
        <f>+'App.2-CH_NewCGAAP_DepExp_2013'!F53</f>
        <v>15</v>
      </c>
      <c r="E53" s="412">
        <f t="shared" si="0"/>
        <v>6.6666666666666666E-2</v>
      </c>
      <c r="F53" s="374">
        <f>IF(D53=0,+'App.2-CH_NewCGAAP_DepExp_2013'!O53,+'App.2-CH_NewCGAAP_DepExp_2013'!O53+((C53*0.5)/D53))</f>
        <v>4442.7</v>
      </c>
      <c r="G53" s="356">
        <f>-'App.2-BA_Fixed Asset Cont'!J360</f>
        <v>4441</v>
      </c>
      <c r="H53" s="374">
        <f t="shared" si="1"/>
        <v>1.6999999999998181</v>
      </c>
      <c r="I53" s="374">
        <f t="shared" si="2"/>
        <v>1864.8666666666666</v>
      </c>
      <c r="J53" s="356"/>
      <c r="K53" s="374">
        <f>IF(ISERROR(+I53+'App.2-CH_NewCGAAP_DepExp_2013'!O53-J53), 0, +I53+'App.2-CH_NewCGAAP_DepExp_2013'!O53-J53)</f>
        <v>5375.1333333333332</v>
      </c>
    </row>
    <row r="54" spans="1:15" x14ac:dyDescent="0.2">
      <c r="A54" s="1473">
        <v>1985</v>
      </c>
      <c r="B54" s="363" t="s">
        <v>386</v>
      </c>
      <c r="C54" s="356">
        <f>+'App.2-BA_Fixed Asset Cont'!E361</f>
        <v>0</v>
      </c>
      <c r="D54" s="459">
        <f>+'App.2-CH_NewCGAAP_DepExp_2013'!F54</f>
        <v>0</v>
      </c>
      <c r="E54" s="412">
        <f t="shared" si="0"/>
        <v>0</v>
      </c>
      <c r="F54" s="374">
        <f>IF(D54=0,+'App.2-CH_NewCGAAP_DepExp_2013'!O54,+'App.2-CH_NewCGAAP_DepExp_2013'!O54+((C54*0.5)/D54))</f>
        <v>0</v>
      </c>
      <c r="G54" s="356">
        <f>-'App.2-BA_Fixed Asset Cont'!J361</f>
        <v>0</v>
      </c>
      <c r="H54" s="374">
        <f t="shared" si="1"/>
        <v>0</v>
      </c>
      <c r="I54" s="374">
        <f t="shared" si="2"/>
        <v>0</v>
      </c>
      <c r="J54" s="356"/>
      <c r="K54" s="374">
        <f>IF(ISERROR(+I54+'App.2-CH_NewCGAAP_DepExp_2013'!O54-J54), 0, +I54+'App.2-CH_NewCGAAP_DepExp_2013'!O54-J54)</f>
        <v>0</v>
      </c>
    </row>
    <row r="55" spans="1:15" x14ac:dyDescent="0.2">
      <c r="A55" s="1473">
        <v>1990</v>
      </c>
      <c r="B55" s="1475" t="s">
        <v>650</v>
      </c>
      <c r="C55" s="356">
        <f>+'App.2-BA_Fixed Asset Cont'!E362</f>
        <v>0</v>
      </c>
      <c r="D55" s="459">
        <f>+'App.2-CH_NewCGAAP_DepExp_2013'!F55</f>
        <v>10</v>
      </c>
      <c r="E55" s="412">
        <f t="shared" si="0"/>
        <v>0.1</v>
      </c>
      <c r="F55" s="374">
        <f>IF(D55=0,+'App.2-CH_NewCGAAP_DepExp_2013'!O55,+'App.2-CH_NewCGAAP_DepExp_2013'!O55+((C55*0.5)/D55))</f>
        <v>13293.991735537187</v>
      </c>
      <c r="G55" s="356">
        <f>-'App.2-BA_Fixed Asset Cont'!J362</f>
        <v>13301</v>
      </c>
      <c r="H55" s="374">
        <f t="shared" si="1"/>
        <v>-7.0082644628128037</v>
      </c>
      <c r="I55" s="374">
        <f t="shared" si="2"/>
        <v>0</v>
      </c>
      <c r="J55" s="356"/>
      <c r="K55" s="374">
        <f>IF(ISERROR(+I55+'App.2-CH_NewCGAAP_DepExp_2013'!O55-J55), 0, +I55+'App.2-CH_NewCGAAP_DepExp_2013'!O55-J55)</f>
        <v>13293.991735537187</v>
      </c>
    </row>
    <row r="56" spans="1:15" ht="13.5" thickBot="1" x14ac:dyDescent="0.25">
      <c r="A56" s="1473">
        <v>1995</v>
      </c>
      <c r="B56" s="363" t="s">
        <v>387</v>
      </c>
      <c r="C56" s="356">
        <f>+'App.2-BA_Fixed Asset Cont'!E363</f>
        <v>-4855575</v>
      </c>
      <c r="D56" s="459">
        <f>+'App.2-CH_NewCGAAP_DepExp_2013'!F56</f>
        <v>42.5</v>
      </c>
      <c r="E56" s="467">
        <f>IF(D56=0,0,1/D56)</f>
        <v>2.3529411764705882E-2</v>
      </c>
      <c r="F56" s="446">
        <f>IF(D56=0,+'App.2-CH_NewCGAAP_DepExp_2013'!O56,+'App.2-CH_NewCGAAP_DepExp_2013'!O56+((C56*0.5)/D56))</f>
        <v>-1023893.799871213</v>
      </c>
      <c r="G56" s="356">
        <f>-'App.2-BA_Fixed Asset Cont'!J363</f>
        <v>-1028778</v>
      </c>
      <c r="H56" s="446">
        <f t="shared" si="1"/>
        <v>4884.2001287869643</v>
      </c>
      <c r="I56" s="446">
        <f t="shared" si="2"/>
        <v>-114248.82352941176</v>
      </c>
      <c r="J56" s="418"/>
      <c r="K56" s="446">
        <f>IF(ISERROR(+I56+'App.2-CH_NewCGAAP_DepExp_2013'!O56-J56), 0, +I56+'App.2-CH_NewCGAAP_DepExp_2013'!O56-J56)</f>
        <v>-1081018.2116359188</v>
      </c>
    </row>
    <row r="57" spans="1:15" ht="14.25" thickTop="1" thickBot="1" x14ac:dyDescent="0.25">
      <c r="A57" s="461"/>
      <c r="B57" s="462" t="s">
        <v>388</v>
      </c>
      <c r="C57" s="424">
        <f>SUM(C17:C56)</f>
        <v>10390891.460000001</v>
      </c>
      <c r="D57" s="469"/>
      <c r="E57" s="470"/>
      <c r="F57" s="424">
        <f t="shared" ref="F57:K57" si="5">SUM(F17:F56)</f>
        <v>2671490.1382029355</v>
      </c>
      <c r="G57" s="424">
        <f t="shared" si="5"/>
        <v>2625983.2400000002</v>
      </c>
      <c r="H57" s="424">
        <f t="shared" si="5"/>
        <v>45506.89820293543</v>
      </c>
      <c r="I57" s="424">
        <f t="shared" si="5"/>
        <v>255556.80230392149</v>
      </c>
      <c r="J57" s="424">
        <f t="shared" si="5"/>
        <v>38798.869999999974</v>
      </c>
      <c r="K57" s="424">
        <f t="shared" si="5"/>
        <v>2760469.6693548956</v>
      </c>
    </row>
    <row r="58" spans="1:15" x14ac:dyDescent="0.2">
      <c r="A58" s="450"/>
      <c r="B58" s="472" t="s">
        <v>654</v>
      </c>
      <c r="C58" s="473"/>
      <c r="D58" s="473"/>
      <c r="E58" s="473"/>
      <c r="F58" s="494"/>
      <c r="G58" s="452"/>
      <c r="H58" s="452"/>
      <c r="I58" s="452"/>
      <c r="J58" s="452"/>
      <c r="K58" s="452"/>
    </row>
    <row r="59" spans="1:15" x14ac:dyDescent="0.2">
      <c r="A59" s="450"/>
      <c r="B59" s="2069" t="s">
        <v>1610</v>
      </c>
      <c r="C59" s="2069"/>
      <c r="D59" s="2069"/>
      <c r="E59" s="2084"/>
      <c r="F59" s="374">
        <f>SUM(F57:F58)</f>
        <v>2671490.1382029355</v>
      </c>
      <c r="G59" s="452"/>
      <c r="H59" s="452"/>
      <c r="I59" s="452"/>
      <c r="J59" s="452"/>
      <c r="K59" s="452"/>
    </row>
    <row r="60" spans="1:15" ht="14.25" customHeight="1" x14ac:dyDescent="0.2"/>
    <row r="61" spans="1:15" x14ac:dyDescent="0.2">
      <c r="A61" s="334" t="s">
        <v>13</v>
      </c>
      <c r="H61" s="158"/>
    </row>
    <row r="62" spans="1:15" ht="27" customHeight="1" x14ac:dyDescent="0.2">
      <c r="A62" s="466">
        <v>1</v>
      </c>
      <c r="B62" s="1984" t="s">
        <v>524</v>
      </c>
      <c r="C62" s="1984"/>
      <c r="D62" s="1984"/>
      <c r="E62" s="1984"/>
      <c r="F62" s="1984"/>
      <c r="G62" s="1984"/>
      <c r="H62" s="1984"/>
      <c r="I62" s="1984"/>
      <c r="J62" s="1984"/>
      <c r="K62" s="1984"/>
    </row>
    <row r="63" spans="1:15" x14ac:dyDescent="0.2">
      <c r="A63" s="466">
        <v>2</v>
      </c>
      <c r="B63" s="1984" t="s">
        <v>1498</v>
      </c>
      <c r="C63" s="1984"/>
      <c r="D63" s="1984"/>
      <c r="E63" s="1984"/>
      <c r="F63" s="1984"/>
      <c r="G63" s="1984"/>
      <c r="H63" s="1984"/>
      <c r="I63" s="1984"/>
      <c r="J63" s="1984"/>
      <c r="K63" s="1984"/>
    </row>
    <row r="64" spans="1:15" ht="27.75" customHeight="1" x14ac:dyDescent="0.2">
      <c r="A64" s="431">
        <v>3</v>
      </c>
      <c r="B64" s="2001" t="s">
        <v>614</v>
      </c>
      <c r="C64" s="2001"/>
      <c r="D64" s="2001"/>
      <c r="E64" s="2001"/>
      <c r="F64" s="2001"/>
      <c r="G64" s="2001"/>
      <c r="H64" s="2001"/>
      <c r="I64" s="2001"/>
      <c r="J64" s="2001"/>
      <c r="K64" s="2001"/>
      <c r="L64" s="1478"/>
      <c r="M64" s="1478"/>
      <c r="N64" s="1478"/>
      <c r="O64" s="1478"/>
    </row>
    <row r="65" spans="1:15" ht="13.5" customHeight="1" x14ac:dyDescent="0.2">
      <c r="A65" s="431"/>
      <c r="B65" s="1472"/>
      <c r="C65" s="1472"/>
      <c r="D65" s="1472"/>
      <c r="E65" s="1472"/>
      <c r="F65" s="1472"/>
      <c r="G65" s="1472"/>
      <c r="H65" s="1472"/>
      <c r="I65" s="1472"/>
      <c r="J65" s="1472"/>
      <c r="K65" s="1472"/>
      <c r="L65" s="1478"/>
      <c r="M65" s="1478"/>
      <c r="N65" s="1478"/>
      <c r="O65" s="1478"/>
    </row>
    <row r="66" spans="1:15" x14ac:dyDescent="0.2">
      <c r="A66" s="334" t="s">
        <v>306</v>
      </c>
      <c r="B66" s="2069" t="s">
        <v>257</v>
      </c>
      <c r="C66" s="2069"/>
      <c r="D66" s="2069"/>
      <c r="E66" s="2069"/>
      <c r="F66" s="2069"/>
      <c r="G66" s="2069"/>
      <c r="H66" s="2069"/>
      <c r="I66" s="2069"/>
      <c r="J66" s="2069"/>
      <c r="K66" s="2069"/>
    </row>
    <row r="67" spans="1:15" ht="12.75" customHeight="1" x14ac:dyDescent="0.2">
      <c r="B67" s="2069"/>
      <c r="C67" s="2069"/>
      <c r="D67" s="2069"/>
      <c r="E67" s="2069"/>
      <c r="F67" s="2069"/>
      <c r="G67" s="2069"/>
      <c r="H67" s="2069"/>
      <c r="I67" s="2069"/>
      <c r="J67" s="2069"/>
      <c r="K67" s="2069"/>
      <c r="L67" s="432"/>
      <c r="M67" s="432"/>
    </row>
    <row r="68" spans="1:15" x14ac:dyDescent="0.2">
      <c r="L68" s="432"/>
      <c r="M68" s="432"/>
    </row>
    <row r="69" spans="1:15" x14ac:dyDescent="0.2">
      <c r="L69" s="432"/>
      <c r="M69" s="432"/>
    </row>
    <row r="75" spans="1:15" x14ac:dyDescent="0.2">
      <c r="L75" s="1480"/>
    </row>
    <row r="76" spans="1:15" x14ac:dyDescent="0.2">
      <c r="E76" s="158"/>
      <c r="F76" s="158"/>
      <c r="G76" s="158"/>
      <c r="H76" s="158"/>
      <c r="I76" s="158"/>
      <c r="J76" s="158"/>
      <c r="K76" s="158"/>
      <c r="L76" s="158"/>
      <c r="M76" s="158"/>
    </row>
    <row r="77" spans="1:15" x14ac:dyDescent="0.2">
      <c r="K77" s="158"/>
      <c r="L77" s="158"/>
      <c r="M77" s="158"/>
    </row>
    <row r="78" spans="1:15" x14ac:dyDescent="0.2">
      <c r="K78" s="158"/>
      <c r="L78" s="158"/>
      <c r="M78" s="158"/>
    </row>
    <row r="79" spans="1:15" x14ac:dyDescent="0.2">
      <c r="K79" s="158"/>
      <c r="L79" s="158"/>
      <c r="M79" s="158"/>
    </row>
    <row r="81" spans="5:5" x14ac:dyDescent="0.2">
      <c r="E81" s="158"/>
    </row>
    <row r="82" spans="5:5" x14ac:dyDescent="0.2">
      <c r="E82" s="158"/>
    </row>
  </sheetData>
  <mergeCells count="13">
    <mergeCell ref="L15:L16"/>
    <mergeCell ref="B62:K62"/>
    <mergeCell ref="B63:K63"/>
    <mergeCell ref="B64:K64"/>
    <mergeCell ref="B66:K67"/>
    <mergeCell ref="B59:E59"/>
    <mergeCell ref="A9:K9"/>
    <mergeCell ref="A10:K10"/>
    <mergeCell ref="A15:A16"/>
    <mergeCell ref="B15:B16"/>
    <mergeCell ref="G15:G16"/>
    <mergeCell ref="J15:J16"/>
    <mergeCell ref="A11:K11"/>
  </mergeCells>
  <dataValidations disablePrompts="1" count="1">
    <dataValidation allowBlank="1" showInputMessage="1" showErrorMessage="1" promptTitle="Date Format" prompt="E.g:  &quot;August 1, 2011&quot;" sqref="H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H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H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H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H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H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H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H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H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H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H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H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H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H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H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H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dataValidations>
  <printOptions horizontalCentered="1"/>
  <pageMargins left="0.74803149606299213" right="0.74803149606299213" top="0.70866141732283472" bottom="0.39370078740157483" header="0.39370078740157483" footer="0.27559055118110237"/>
  <pageSetup scale="5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59"/>
  <sheetViews>
    <sheetView showGridLines="0" zoomScaleNormal="100" workbookViewId="0"/>
  </sheetViews>
  <sheetFormatPr defaultRowHeight="12.75" x14ac:dyDescent="0.2"/>
  <cols>
    <col min="2" max="2" width="59.42578125" customWidth="1"/>
    <col min="3" max="3" width="10" customWidth="1"/>
    <col min="4" max="5" width="3" bestFit="1" customWidth="1"/>
    <col min="6" max="6" width="58.85546875" customWidth="1"/>
    <col min="13" max="13" width="33.42578125" bestFit="1" customWidth="1"/>
    <col min="15" max="15" width="121.42578125" bestFit="1" customWidth="1"/>
  </cols>
  <sheetData>
    <row r="1" spans="1:21" x14ac:dyDescent="0.2">
      <c r="M1" s="28"/>
      <c r="O1" s="156"/>
      <c r="U1" s="28"/>
    </row>
    <row r="2" spans="1:21" x14ac:dyDescent="0.2">
      <c r="M2" s="156"/>
      <c r="O2" s="156"/>
    </row>
    <row r="3" spans="1:21" x14ac:dyDescent="0.2">
      <c r="M3" s="28"/>
      <c r="O3" s="156"/>
    </row>
    <row r="4" spans="1:21" x14ac:dyDescent="0.2">
      <c r="M4" s="28"/>
      <c r="O4" s="156"/>
    </row>
    <row r="5" spans="1:21" x14ac:dyDescent="0.2">
      <c r="M5" s="28"/>
      <c r="O5" s="156"/>
    </row>
    <row r="6" spans="1:21" x14ac:dyDescent="0.2">
      <c r="M6" s="28"/>
      <c r="O6" s="156"/>
    </row>
    <row r="7" spans="1:21" ht="18" x14ac:dyDescent="0.25">
      <c r="C7" s="15"/>
      <c r="M7" s="28"/>
      <c r="O7" s="156"/>
    </row>
    <row r="8" spans="1:21" x14ac:dyDescent="0.2">
      <c r="C8" s="11"/>
      <c r="M8" s="28"/>
      <c r="O8" s="156"/>
    </row>
    <row r="9" spans="1:21" x14ac:dyDescent="0.2">
      <c r="C9" s="12"/>
      <c r="M9" s="28"/>
      <c r="O9" s="156"/>
    </row>
    <row r="10" spans="1:21" x14ac:dyDescent="0.2">
      <c r="C10" s="12"/>
      <c r="M10" s="28"/>
      <c r="O10" s="156"/>
    </row>
    <row r="11" spans="1:21" x14ac:dyDescent="0.2">
      <c r="C11" s="12"/>
      <c r="M11" s="28"/>
      <c r="O11" s="157"/>
    </row>
    <row r="12" spans="1:21" x14ac:dyDescent="0.2">
      <c r="C12" s="12"/>
      <c r="M12" s="28"/>
      <c r="O12" s="157"/>
    </row>
    <row r="13" spans="1:21" ht="15" customHeight="1" x14ac:dyDescent="0.2">
      <c r="A13" s="24"/>
      <c r="C13" s="12"/>
      <c r="M13" s="28"/>
      <c r="O13" s="157"/>
    </row>
    <row r="14" spans="1:21" x14ac:dyDescent="0.2">
      <c r="C14" s="3"/>
      <c r="M14" s="28"/>
      <c r="O14" s="157"/>
    </row>
    <row r="15" spans="1:21" x14ac:dyDescent="0.2">
      <c r="A15" s="27">
        <v>1</v>
      </c>
      <c r="B15" s="156" t="s">
        <v>566</v>
      </c>
      <c r="C15" s="129"/>
      <c r="D15" s="130"/>
      <c r="E15" s="3">
        <v>28</v>
      </c>
      <c r="F15" s="28" t="s">
        <v>1676</v>
      </c>
      <c r="G15" s="129"/>
      <c r="M15" s="28"/>
      <c r="O15" s="157"/>
    </row>
    <row r="16" spans="1:21" x14ac:dyDescent="0.2">
      <c r="A16" s="3">
        <v>2</v>
      </c>
      <c r="B16" s="156" t="s">
        <v>565</v>
      </c>
      <c r="C16" s="13"/>
      <c r="E16" s="3">
        <v>29</v>
      </c>
      <c r="F16" s="28" t="s">
        <v>1675</v>
      </c>
      <c r="G16" s="13"/>
      <c r="M16" s="28"/>
      <c r="O16" s="157"/>
    </row>
    <row r="17" spans="1:15" x14ac:dyDescent="0.2">
      <c r="A17" s="3">
        <v>3</v>
      </c>
      <c r="B17" s="156" t="s">
        <v>812</v>
      </c>
      <c r="C17" s="13"/>
      <c r="E17" s="3">
        <v>30</v>
      </c>
      <c r="F17" s="28" t="s">
        <v>1677</v>
      </c>
      <c r="G17" s="13"/>
      <c r="M17" s="28"/>
      <c r="O17" s="157"/>
    </row>
    <row r="18" spans="1:15" x14ac:dyDescent="0.2">
      <c r="A18" s="3">
        <v>4</v>
      </c>
      <c r="B18" s="156" t="s">
        <v>800</v>
      </c>
      <c r="C18" s="13"/>
      <c r="E18" s="3">
        <v>31</v>
      </c>
      <c r="F18" s="28" t="s">
        <v>1678</v>
      </c>
      <c r="G18" s="13"/>
      <c r="M18" s="28"/>
      <c r="O18" s="157"/>
    </row>
    <row r="19" spans="1:15" x14ac:dyDescent="0.2">
      <c r="A19" s="3">
        <v>5</v>
      </c>
      <c r="B19" s="156" t="s">
        <v>1658</v>
      </c>
      <c r="C19" s="13"/>
      <c r="E19" s="3">
        <v>32</v>
      </c>
      <c r="F19" s="28" t="s">
        <v>1679</v>
      </c>
      <c r="G19" s="13"/>
      <c r="M19" s="28"/>
      <c r="O19" s="157"/>
    </row>
    <row r="20" spans="1:15" x14ac:dyDescent="0.2">
      <c r="A20" s="3">
        <v>6</v>
      </c>
      <c r="B20" s="156" t="s">
        <v>1659</v>
      </c>
      <c r="C20" s="13"/>
      <c r="E20" s="3">
        <v>33</v>
      </c>
      <c r="F20" s="28" t="s">
        <v>1680</v>
      </c>
      <c r="G20" s="13"/>
      <c r="M20" s="28"/>
      <c r="O20" s="157"/>
    </row>
    <row r="21" spans="1:15" x14ac:dyDescent="0.2">
      <c r="A21" s="3">
        <v>7</v>
      </c>
      <c r="B21" s="156" t="s">
        <v>1660</v>
      </c>
      <c r="C21" s="13"/>
      <c r="E21" s="3">
        <v>34</v>
      </c>
      <c r="F21" s="28" t="s">
        <v>1937</v>
      </c>
      <c r="G21" s="13"/>
      <c r="M21" s="28"/>
      <c r="O21" s="157"/>
    </row>
    <row r="22" spans="1:15" x14ac:dyDescent="0.2">
      <c r="A22" s="3">
        <v>8</v>
      </c>
      <c r="B22" s="156" t="s">
        <v>1661</v>
      </c>
      <c r="C22" s="13"/>
      <c r="E22" s="3">
        <v>35</v>
      </c>
      <c r="F22" s="28" t="s">
        <v>1681</v>
      </c>
      <c r="G22" s="13"/>
      <c r="M22" s="28"/>
      <c r="O22" s="157"/>
    </row>
    <row r="23" spans="1:15" x14ac:dyDescent="0.2">
      <c r="A23" s="3">
        <v>9</v>
      </c>
      <c r="B23" s="156" t="s">
        <v>1662</v>
      </c>
      <c r="C23" s="13"/>
      <c r="E23" s="3">
        <v>36</v>
      </c>
      <c r="F23" s="28" t="s">
        <v>1682</v>
      </c>
      <c r="G23" s="13"/>
      <c r="L23" s="93"/>
      <c r="M23" s="28"/>
      <c r="O23" s="157"/>
    </row>
    <row r="24" spans="1:15" x14ac:dyDescent="0.2">
      <c r="A24" s="3">
        <v>10</v>
      </c>
      <c r="B24" s="156" t="s">
        <v>813</v>
      </c>
      <c r="C24" s="13"/>
      <c r="E24" s="3">
        <v>37</v>
      </c>
      <c r="F24" s="28" t="s">
        <v>1683</v>
      </c>
      <c r="G24" s="13"/>
      <c r="L24" s="93"/>
      <c r="M24" s="28"/>
      <c r="O24" s="156"/>
    </row>
    <row r="25" spans="1:15" x14ac:dyDescent="0.2">
      <c r="A25" s="3">
        <v>11</v>
      </c>
      <c r="B25" s="157" t="s">
        <v>1663</v>
      </c>
      <c r="C25" s="13"/>
      <c r="E25" s="3">
        <v>38</v>
      </c>
      <c r="F25" s="28" t="s">
        <v>1684</v>
      </c>
      <c r="G25" s="13"/>
      <c r="L25" s="93"/>
      <c r="M25" s="28"/>
      <c r="O25" s="156"/>
    </row>
    <row r="26" spans="1:15" x14ac:dyDescent="0.2">
      <c r="A26" s="3">
        <v>12</v>
      </c>
      <c r="B26" s="157" t="s">
        <v>1664</v>
      </c>
      <c r="C26" s="13"/>
      <c r="E26" s="3">
        <v>39</v>
      </c>
      <c r="F26" s="28" t="s">
        <v>1657</v>
      </c>
      <c r="G26" s="13"/>
      <c r="L26" s="93"/>
      <c r="M26" s="28"/>
      <c r="O26" s="156"/>
    </row>
    <row r="27" spans="1:15" x14ac:dyDescent="0.2">
      <c r="A27" s="3">
        <v>13</v>
      </c>
      <c r="B27" s="157" t="s">
        <v>1665</v>
      </c>
      <c r="C27" s="13"/>
      <c r="E27" s="3">
        <v>40</v>
      </c>
      <c r="F27" s="28" t="s">
        <v>1656</v>
      </c>
      <c r="G27" s="13"/>
      <c r="L27" s="93"/>
      <c r="M27" s="28"/>
      <c r="O27" s="156"/>
    </row>
    <row r="28" spans="1:15" x14ac:dyDescent="0.2">
      <c r="A28" s="3">
        <v>14</v>
      </c>
      <c r="B28" s="157" t="s">
        <v>1666</v>
      </c>
      <c r="C28" s="13"/>
      <c r="E28" s="3">
        <v>41</v>
      </c>
      <c r="F28" s="28" t="s">
        <v>1655</v>
      </c>
      <c r="G28" s="25"/>
      <c r="L28" s="93"/>
      <c r="M28" s="28"/>
      <c r="O28" s="156"/>
    </row>
    <row r="29" spans="1:15" x14ac:dyDescent="0.2">
      <c r="A29" s="3">
        <v>15</v>
      </c>
      <c r="B29" s="157" t="s">
        <v>1667</v>
      </c>
      <c r="C29" s="13"/>
      <c r="E29" s="3">
        <v>42</v>
      </c>
      <c r="F29" s="247" t="s">
        <v>1974</v>
      </c>
      <c r="G29" s="25"/>
      <c r="L29" s="93"/>
      <c r="M29" s="28"/>
      <c r="O29" s="28"/>
    </row>
    <row r="30" spans="1:15" x14ac:dyDescent="0.2">
      <c r="A30" s="3">
        <v>16</v>
      </c>
      <c r="B30" s="157" t="s">
        <v>1920</v>
      </c>
      <c r="C30" s="13"/>
      <c r="E30" s="3">
        <v>43</v>
      </c>
      <c r="F30" s="28" t="s">
        <v>1654</v>
      </c>
      <c r="G30" s="25"/>
      <c r="L30" s="93"/>
      <c r="M30" s="28"/>
      <c r="O30" s="28"/>
    </row>
    <row r="31" spans="1:15" x14ac:dyDescent="0.2">
      <c r="A31" s="3">
        <v>17</v>
      </c>
      <c r="B31" s="157" t="s">
        <v>1921</v>
      </c>
      <c r="C31" s="13"/>
      <c r="E31" s="3">
        <v>44</v>
      </c>
      <c r="F31" s="28" t="s">
        <v>1653</v>
      </c>
      <c r="G31" s="13"/>
      <c r="L31" s="93"/>
      <c r="M31" s="28"/>
      <c r="O31" s="28"/>
    </row>
    <row r="32" spans="1:15" x14ac:dyDescent="0.2">
      <c r="A32" s="3">
        <v>18</v>
      </c>
      <c r="B32" s="157" t="s">
        <v>1922</v>
      </c>
      <c r="C32" s="26"/>
      <c r="E32" s="3">
        <v>45</v>
      </c>
      <c r="F32" s="28" t="s">
        <v>1652</v>
      </c>
      <c r="G32" s="13"/>
      <c r="L32" s="93"/>
      <c r="M32" s="28"/>
      <c r="O32" s="28"/>
    </row>
    <row r="33" spans="1:15" x14ac:dyDescent="0.2">
      <c r="A33" s="3">
        <v>19</v>
      </c>
      <c r="B33" s="157" t="s">
        <v>1923</v>
      </c>
      <c r="C33" s="13"/>
      <c r="E33" s="3">
        <v>46</v>
      </c>
      <c r="F33" s="28" t="s">
        <v>1651</v>
      </c>
      <c r="G33" s="13"/>
      <c r="M33" s="28"/>
      <c r="O33" s="28"/>
    </row>
    <row r="34" spans="1:15" x14ac:dyDescent="0.2">
      <c r="A34" s="3">
        <v>20</v>
      </c>
      <c r="B34" s="157" t="s">
        <v>1919</v>
      </c>
      <c r="C34" s="29"/>
      <c r="E34" s="3">
        <v>47</v>
      </c>
      <c r="F34" s="28" t="s">
        <v>1648</v>
      </c>
      <c r="I34" s="2"/>
      <c r="M34" s="28"/>
      <c r="O34" s="28"/>
    </row>
    <row r="35" spans="1:15" x14ac:dyDescent="0.2">
      <c r="A35" s="3">
        <v>21</v>
      </c>
      <c r="B35" s="157" t="s">
        <v>1924</v>
      </c>
      <c r="C35" s="2"/>
      <c r="E35" s="3">
        <v>48</v>
      </c>
      <c r="F35" s="28" t="s">
        <v>1649</v>
      </c>
      <c r="I35" s="2"/>
      <c r="M35" s="28"/>
      <c r="O35" s="28"/>
    </row>
    <row r="36" spans="1:15" x14ac:dyDescent="0.2">
      <c r="A36" s="3">
        <v>22</v>
      </c>
      <c r="B36" s="157" t="s">
        <v>1668</v>
      </c>
      <c r="C36" s="2"/>
      <c r="E36" s="3">
        <v>49</v>
      </c>
      <c r="F36" s="28" t="s">
        <v>1647</v>
      </c>
      <c r="M36" s="28"/>
      <c r="O36" s="28"/>
    </row>
    <row r="37" spans="1:15" x14ac:dyDescent="0.2">
      <c r="A37" s="3">
        <v>23</v>
      </c>
      <c r="B37" s="157" t="s">
        <v>1669</v>
      </c>
      <c r="C37" s="2"/>
      <c r="E37" s="3">
        <v>50</v>
      </c>
      <c r="F37" s="28" t="s">
        <v>1650</v>
      </c>
      <c r="I37" s="2"/>
      <c r="M37" s="28"/>
      <c r="O37" s="28"/>
    </row>
    <row r="38" spans="1:15" ht="12.75" customHeight="1" x14ac:dyDescent="0.2">
      <c r="A38" s="3">
        <v>24</v>
      </c>
      <c r="B38" s="156" t="s">
        <v>1670</v>
      </c>
      <c r="C38" s="2"/>
      <c r="D38" s="28"/>
      <c r="E38" s="3">
        <v>51</v>
      </c>
      <c r="F38" s="28" t="s">
        <v>1646</v>
      </c>
      <c r="I38" s="2"/>
      <c r="M38" s="28"/>
      <c r="O38" s="28"/>
    </row>
    <row r="39" spans="1:15" x14ac:dyDescent="0.2">
      <c r="A39" s="8">
        <v>25</v>
      </c>
      <c r="B39" s="156" t="s">
        <v>1671</v>
      </c>
      <c r="C39" s="19"/>
      <c r="D39" s="28"/>
      <c r="E39" s="3">
        <v>52</v>
      </c>
      <c r="F39" s="28" t="s">
        <v>1645</v>
      </c>
      <c r="I39" s="2"/>
      <c r="M39" s="28"/>
      <c r="O39" s="28"/>
    </row>
    <row r="40" spans="1:15" x14ac:dyDescent="0.2">
      <c r="A40" s="3">
        <v>26</v>
      </c>
      <c r="B40" s="156" t="s">
        <v>1672</v>
      </c>
      <c r="C40" s="2"/>
      <c r="D40" s="28"/>
      <c r="E40" s="3"/>
      <c r="F40" s="3"/>
      <c r="I40" s="19"/>
      <c r="M40" s="28"/>
      <c r="O40" s="28"/>
    </row>
    <row r="41" spans="1:15" ht="12.75" customHeight="1" x14ac:dyDescent="0.2">
      <c r="A41" s="3">
        <v>27</v>
      </c>
      <c r="B41" s="156" t="s">
        <v>1673</v>
      </c>
      <c r="C41" s="3"/>
      <c r="D41" s="3"/>
      <c r="E41" s="3"/>
      <c r="F41" s="28"/>
      <c r="G41" s="3"/>
      <c r="H41" s="3"/>
      <c r="M41" s="28"/>
      <c r="O41" s="28"/>
    </row>
    <row r="42" spans="1:15" x14ac:dyDescent="0.2">
      <c r="A42" s="8">
        <v>28</v>
      </c>
      <c r="B42" s="156" t="s">
        <v>1674</v>
      </c>
      <c r="C42" s="3"/>
      <c r="D42" s="3"/>
      <c r="E42" s="3"/>
      <c r="F42" s="3"/>
      <c r="G42" s="3"/>
      <c r="H42" s="3"/>
      <c r="M42" s="28"/>
      <c r="O42" s="28"/>
    </row>
    <row r="43" spans="1:15" x14ac:dyDescent="0.2">
      <c r="A43" s="3"/>
      <c r="C43" s="3"/>
      <c r="D43" s="3"/>
      <c r="E43" s="3"/>
      <c r="F43" s="3"/>
      <c r="G43" s="3"/>
      <c r="H43" s="3"/>
      <c r="M43" s="28"/>
      <c r="O43" s="28"/>
    </row>
    <row r="44" spans="1:15" x14ac:dyDescent="0.2">
      <c r="A44" s="3"/>
      <c r="C44" s="3"/>
      <c r="D44" s="3"/>
      <c r="E44" s="3"/>
      <c r="F44" s="3"/>
      <c r="G44" s="3"/>
      <c r="H44" s="3"/>
      <c r="M44" s="28"/>
      <c r="O44" s="28"/>
    </row>
    <row r="45" spans="1:15" x14ac:dyDescent="0.2">
      <c r="A45" s="3"/>
      <c r="C45" s="3"/>
      <c r="D45" s="3"/>
      <c r="E45" s="3"/>
      <c r="F45" s="30"/>
      <c r="G45" s="3"/>
      <c r="H45" s="3"/>
      <c r="M45" s="28"/>
      <c r="O45" s="28"/>
    </row>
    <row r="46" spans="1:15" x14ac:dyDescent="0.2">
      <c r="A46" s="3"/>
      <c r="C46" s="3"/>
      <c r="D46" s="3"/>
      <c r="G46" s="3"/>
      <c r="H46" s="3"/>
      <c r="M46" s="28"/>
      <c r="O46" s="28"/>
    </row>
    <row r="47" spans="1:15" x14ac:dyDescent="0.2">
      <c r="A47" s="3"/>
      <c r="D47" s="28"/>
      <c r="M47" s="28"/>
      <c r="O47" s="28"/>
    </row>
    <row r="48" spans="1:15" x14ac:dyDescent="0.2">
      <c r="A48" s="3"/>
      <c r="D48" s="28"/>
      <c r="M48" s="28"/>
      <c r="O48" s="28"/>
    </row>
    <row r="49" spans="4:15" x14ac:dyDescent="0.2">
      <c r="D49" s="28"/>
      <c r="M49" s="28"/>
      <c r="O49" s="28"/>
    </row>
    <row r="50" spans="4:15" x14ac:dyDescent="0.2">
      <c r="D50" s="28"/>
      <c r="M50" s="28"/>
      <c r="O50" s="28"/>
    </row>
    <row r="51" spans="4:15" x14ac:dyDescent="0.2">
      <c r="D51" s="28"/>
      <c r="G51" s="13"/>
      <c r="M51" s="28"/>
      <c r="O51" s="28"/>
    </row>
    <row r="52" spans="4:15" x14ac:dyDescent="0.2">
      <c r="D52" s="28"/>
      <c r="M52" s="28"/>
      <c r="O52" s="28"/>
    </row>
    <row r="53" spans="4:15" x14ac:dyDescent="0.2">
      <c r="M53" s="28"/>
      <c r="O53" s="3"/>
    </row>
    <row r="54" spans="4:15" x14ac:dyDescent="0.2">
      <c r="M54" s="28"/>
    </row>
    <row r="55" spans="4:15" x14ac:dyDescent="0.2">
      <c r="M55" s="28"/>
    </row>
    <row r="56" spans="4:15" x14ac:dyDescent="0.2">
      <c r="M56" s="28"/>
    </row>
    <row r="57" spans="4:15" x14ac:dyDescent="0.2">
      <c r="F57" s="13"/>
    </row>
    <row r="58" spans="4:15" x14ac:dyDescent="0.2">
      <c r="F58" s="13"/>
    </row>
    <row r="59" spans="4:15" x14ac:dyDescent="0.2">
      <c r="F59" s="13"/>
    </row>
  </sheetData>
  <phoneticPr fontId="17" type="noConversion"/>
  <hyperlinks>
    <hyperlink ref="F15:F39" display="App.2-G: Service Reliability Indicators"/>
    <hyperlink ref="B15" display="LDC Information Sheet"/>
    <hyperlink ref="B16:B41" display="Index"/>
    <hyperlink ref="B41:B42" display="App.2-FB: Calculation of Renewable Generation Connection Direct Benefits/Provincial Amount: Renewable Enabling Improvement Investments"/>
    <hyperlink ref="B16" display="Index"/>
    <hyperlink ref="B17" display="Cost of Service Application Flowchart"/>
    <hyperlink ref="B18" display="List of Key References"/>
    <hyperlink ref="B19" display="App.2-AA: Capital Projects Table"/>
    <hyperlink ref="B20" display="App.2-AB: Capital Expenditures"/>
    <hyperlink ref="B21" display="App. 2-AC: Customer Engagement Worksheet"/>
    <hyperlink ref="B22" display="App.2-B: General Accounting Instructions"/>
    <hyperlink ref="B23" display="App.2-BA: Fixed Asset Continuity Schedule"/>
    <hyperlink ref="B24" display="Appendix 2-BB: Service Life Comparison"/>
    <hyperlink ref="B25" display="App.2-CA: 2012 Depreciation and Amortization Expense (Old CGAAP)"/>
    <hyperlink ref="B26" display="App.2-CB: 2012 Depreciation and Amortization Expense (New CGAAP)"/>
    <hyperlink ref="B27" display="App.2-CC: 2013 Depreciation and Amortization Expense (New CGAAP)"/>
    <hyperlink ref="B28" display="App.2-CD: 2014 Depreciation and Amortization Expense (MIFRS)"/>
    <hyperlink ref="B29" display="App.2-CE: 2015 Depreciation and Amortization Expense (MIFRS)"/>
    <hyperlink ref="B30" display="App.2-CF: 2015 Depreciation and Amortization Expense (MIFRS)"/>
    <hyperlink ref="B31" display="App.2-CG: 2013 Depreciation and Amortization Expense (Old CGAAP)"/>
    <hyperlink ref="B32" display="App.2-CH: 2013 Depreciation and Amortization Expense (New CGAAP)"/>
    <hyperlink ref="B33" display="App.2-CI: 2014 Depreciation and Amortization Expense (MIFRS)"/>
    <hyperlink ref="B34" display="App.2-CJ: 2015 Depreciation and Amortization Expense (MIFRS)"/>
    <hyperlink ref="B35" display="App.2-CK: 2016 Depreciation and Amortization Expense (MIFRS)"/>
    <hyperlink ref="B36" display="App.2-D: Overhead Expenses"/>
    <hyperlink ref="B37" display="App.2-EA: Account 1575 PP&amp;E Deferral Account (2015 IFRS Adopters)"/>
    <hyperlink ref="B38" display="App.2-EB: Account 1576 - Accounting Changes Under CGAAP (2012 Changes)"/>
    <hyperlink ref="B39" display="App.2-EC: Account 1576 - Accounting Changes Under CGAAP (2013 Changes)"/>
    <hyperlink ref="B40" display="App.2-FA: Renewable Generation Connection Investment Summary"/>
    <hyperlink ref="B41" display="App.2-FB: Calculation of Renewable Generation Connection Direct Benefits/Provincial Amount: Renewable Enabling Improvement Investments"/>
    <hyperlink ref="B42" display="App.2-FC: Calculation of Renewable Generation Connection Direct Benefits/Provincial Amount: Renewable Expansion Investments"/>
    <hyperlink ref="F15" display="App.2-G: Service Reliability Indicators"/>
    <hyperlink ref="F16" display="App.2-H: Other Operating Revenue"/>
    <hyperlink ref="F17" display="App.2-I: Load Forecast CDM Adjustment Workform"/>
    <hyperlink ref="F18" display="App.2-IA:  Actual and Forecast Load and Customer Data"/>
    <hyperlink ref="F19" display="App.2-JA: OM&amp;A Summary Analysis"/>
    <hyperlink ref="F20" display="App.2-JB: Recoverable OM&amp;A Cost Driver Table"/>
    <hyperlink ref="F21" display="App.2-JC: OM&amp;A Programs Table"/>
    <hyperlink ref="F22" display="App.2-K: Employee Costs"/>
    <hyperlink ref="F23" display="App.2-L: Recoverable OM&amp;A Cost per Customer and per FTE"/>
    <hyperlink ref="F24" display="App.2-M: Regulatory Costs Schedule"/>
    <hyperlink ref="F25" display="App.2-N: Shared Servcies and Corporate Cost Allocation"/>
    <hyperlink ref="F26" display="App.2-OA: Capital Structure and Cost of Capital"/>
    <hyperlink ref="F27" display="App.2-OB: Debt Instruments"/>
    <hyperlink ref="F28" display="App.2-P: Cost Allocation"/>
    <hyperlink ref="F30" display="App.2-Q: Cost of Serving Embedded Distributor(s)"/>
    <hyperlink ref="F31" display="App.2-R: Loss Factors"/>
    <hyperlink ref="F32" display="App.2-S: Stranded Meter Treatment"/>
    <hyperlink ref="F33" display="App.2-TA: Account 1592, PILs and Tax Variances"/>
    <hyperlink ref="F34" display="App.2-TB: Account 1592, HST-OVAT Input Tax Credits"/>
    <hyperlink ref="F35" display="App.2-U: One-Time Incremental IFRS Transition Costs"/>
    <hyperlink ref="F36" display="App.2-V: Revenue Reconciliation"/>
    <hyperlink ref="F37" display="App.2-W: Bill Impacts"/>
    <hyperlink ref="F38" display="App.2-Y: Transition to MIFRS Summary Impact"/>
    <hyperlink ref="F39" display="App. 2-Z: Tariff Schedule"/>
    <hyperlink ref="F29" display="App.2-PA:  New Rate Design Policy For Residential Customers"/>
  </hyperlinks>
  <pageMargins left="0.75" right="0.75" top="1" bottom="1" header="0.5" footer="0.5"/>
  <pageSetup scale="81"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K72"/>
  <sheetViews>
    <sheetView showGridLines="0" zoomScaleNormal="100" workbookViewId="0"/>
  </sheetViews>
  <sheetFormatPr defaultRowHeight="12.75" x14ac:dyDescent="0.2"/>
  <cols>
    <col min="1" max="1" width="9.140625" style="140"/>
    <col min="2" max="2" width="41.140625" style="140" customWidth="1"/>
    <col min="3" max="3" width="12.28515625" style="140" bestFit="1" customWidth="1"/>
    <col min="4" max="4" width="10.140625" style="140" customWidth="1"/>
    <col min="5" max="5" width="12.28515625" style="140" customWidth="1"/>
    <col min="6" max="6" width="15.7109375" style="140" customWidth="1"/>
    <col min="7" max="7" width="17.7109375" style="140" customWidth="1"/>
    <col min="8" max="8" width="17.140625" style="140" customWidth="1"/>
    <col min="9" max="9" width="14.42578125" style="140" customWidth="1"/>
    <col min="10" max="10" width="15.5703125" style="140" customWidth="1"/>
    <col min="11" max="11" width="16.140625" style="140" customWidth="1"/>
    <col min="12" max="254" width="9.140625" style="140"/>
    <col min="255" max="255" width="2.7109375" style="140" customWidth="1"/>
    <col min="256" max="256" width="9.140625" style="140"/>
    <col min="257" max="257" width="40.28515625" style="140" bestFit="1" customWidth="1"/>
    <col min="258" max="258" width="10" style="140" customWidth="1"/>
    <col min="259" max="259" width="10.140625" style="140" customWidth="1"/>
    <col min="260" max="260" width="12.28515625" style="140" customWidth="1"/>
    <col min="261" max="261" width="15.7109375" style="140" customWidth="1"/>
    <col min="262" max="262" width="12.85546875" style="140" customWidth="1"/>
    <col min="263" max="263" width="12.7109375" style="140" customWidth="1"/>
    <col min="264" max="264" width="12.85546875" style="140" customWidth="1"/>
    <col min="265" max="265" width="14.42578125" style="140" customWidth="1"/>
    <col min="266" max="510" width="9.140625" style="140"/>
    <col min="511" max="511" width="2.7109375" style="140" customWidth="1"/>
    <col min="512" max="512" width="9.140625" style="140"/>
    <col min="513" max="513" width="40.28515625" style="140" bestFit="1" customWidth="1"/>
    <col min="514" max="514" width="10" style="140" customWidth="1"/>
    <col min="515" max="515" width="10.140625" style="140" customWidth="1"/>
    <col min="516" max="516" width="12.28515625" style="140" customWidth="1"/>
    <col min="517" max="517" width="15.7109375" style="140" customWidth="1"/>
    <col min="518" max="518" width="12.85546875" style="140" customWidth="1"/>
    <col min="519" max="519" width="12.7109375" style="140" customWidth="1"/>
    <col min="520" max="520" width="12.85546875" style="140" customWidth="1"/>
    <col min="521" max="521" width="14.42578125" style="140" customWidth="1"/>
    <col min="522" max="766" width="9.140625" style="140"/>
    <col min="767" max="767" width="2.7109375" style="140" customWidth="1"/>
    <col min="768" max="768" width="9.140625" style="140"/>
    <col min="769" max="769" width="40.28515625" style="140" bestFit="1" customWidth="1"/>
    <col min="770" max="770" width="10" style="140" customWidth="1"/>
    <col min="771" max="771" width="10.140625" style="140" customWidth="1"/>
    <col min="772" max="772" width="12.28515625" style="140" customWidth="1"/>
    <col min="773" max="773" width="15.7109375" style="140" customWidth="1"/>
    <col min="774" max="774" width="12.85546875" style="140" customWidth="1"/>
    <col min="775" max="775" width="12.7109375" style="140" customWidth="1"/>
    <col min="776" max="776" width="12.85546875" style="140" customWidth="1"/>
    <col min="777" max="777" width="14.42578125" style="140" customWidth="1"/>
    <col min="778" max="1022" width="9.140625" style="140"/>
    <col min="1023" max="1023" width="2.7109375" style="140" customWidth="1"/>
    <col min="1024" max="1024" width="9.140625" style="140"/>
    <col min="1025" max="1025" width="40.28515625" style="140" bestFit="1" customWidth="1"/>
    <col min="1026" max="1026" width="10" style="140" customWidth="1"/>
    <col min="1027" max="1027" width="10.140625" style="140" customWidth="1"/>
    <col min="1028" max="1028" width="12.28515625" style="140" customWidth="1"/>
    <col min="1029" max="1029" width="15.7109375" style="140" customWidth="1"/>
    <col min="1030" max="1030" width="12.85546875" style="140" customWidth="1"/>
    <col min="1031" max="1031" width="12.7109375" style="140" customWidth="1"/>
    <col min="1032" max="1032" width="12.85546875" style="140" customWidth="1"/>
    <col min="1033" max="1033" width="14.42578125" style="140" customWidth="1"/>
    <col min="1034" max="1278" width="9.140625" style="140"/>
    <col min="1279" max="1279" width="2.7109375" style="140" customWidth="1"/>
    <col min="1280" max="1280" width="9.140625" style="140"/>
    <col min="1281" max="1281" width="40.28515625" style="140" bestFit="1" customWidth="1"/>
    <col min="1282" max="1282" width="10" style="140" customWidth="1"/>
    <col min="1283" max="1283" width="10.140625" style="140" customWidth="1"/>
    <col min="1284" max="1284" width="12.28515625" style="140" customWidth="1"/>
    <col min="1285" max="1285" width="15.7109375" style="140" customWidth="1"/>
    <col min="1286" max="1286" width="12.85546875" style="140" customWidth="1"/>
    <col min="1287" max="1287" width="12.7109375" style="140" customWidth="1"/>
    <col min="1288" max="1288" width="12.85546875" style="140" customWidth="1"/>
    <col min="1289" max="1289" width="14.42578125" style="140" customWidth="1"/>
    <col min="1290" max="1534" width="9.140625" style="140"/>
    <col min="1535" max="1535" width="2.7109375" style="140" customWidth="1"/>
    <col min="1536" max="1536" width="9.140625" style="140"/>
    <col min="1537" max="1537" width="40.28515625" style="140" bestFit="1" customWidth="1"/>
    <col min="1538" max="1538" width="10" style="140" customWidth="1"/>
    <col min="1539" max="1539" width="10.140625" style="140" customWidth="1"/>
    <col min="1540" max="1540" width="12.28515625" style="140" customWidth="1"/>
    <col min="1541" max="1541" width="15.7109375" style="140" customWidth="1"/>
    <col min="1542" max="1542" width="12.85546875" style="140" customWidth="1"/>
    <col min="1543" max="1543" width="12.7109375" style="140" customWidth="1"/>
    <col min="1544" max="1544" width="12.85546875" style="140" customWidth="1"/>
    <col min="1545" max="1545" width="14.42578125" style="140" customWidth="1"/>
    <col min="1546" max="1790" width="9.140625" style="140"/>
    <col min="1791" max="1791" width="2.7109375" style="140" customWidth="1"/>
    <col min="1792" max="1792" width="9.140625" style="140"/>
    <col min="1793" max="1793" width="40.28515625" style="140" bestFit="1" customWidth="1"/>
    <col min="1794" max="1794" width="10" style="140" customWidth="1"/>
    <col min="1795" max="1795" width="10.140625" style="140" customWidth="1"/>
    <col min="1796" max="1796" width="12.28515625" style="140" customWidth="1"/>
    <col min="1797" max="1797" width="15.7109375" style="140" customWidth="1"/>
    <col min="1798" max="1798" width="12.85546875" style="140" customWidth="1"/>
    <col min="1799" max="1799" width="12.7109375" style="140" customWidth="1"/>
    <col min="1800" max="1800" width="12.85546875" style="140" customWidth="1"/>
    <col min="1801" max="1801" width="14.42578125" style="140" customWidth="1"/>
    <col min="1802" max="2046" width="9.140625" style="140"/>
    <col min="2047" max="2047" width="2.7109375" style="140" customWidth="1"/>
    <col min="2048" max="2048" width="9.140625" style="140"/>
    <col min="2049" max="2049" width="40.28515625" style="140" bestFit="1" customWidth="1"/>
    <col min="2050" max="2050" width="10" style="140" customWidth="1"/>
    <col min="2051" max="2051" width="10.140625" style="140" customWidth="1"/>
    <col min="2052" max="2052" width="12.28515625" style="140" customWidth="1"/>
    <col min="2053" max="2053" width="15.7109375" style="140" customWidth="1"/>
    <col min="2054" max="2054" width="12.85546875" style="140" customWidth="1"/>
    <col min="2055" max="2055" width="12.7109375" style="140" customWidth="1"/>
    <col min="2056" max="2056" width="12.85546875" style="140" customWidth="1"/>
    <col min="2057" max="2057" width="14.42578125" style="140" customWidth="1"/>
    <col min="2058" max="2302" width="9.140625" style="140"/>
    <col min="2303" max="2303" width="2.7109375" style="140" customWidth="1"/>
    <col min="2304" max="2304" width="9.140625" style="140"/>
    <col min="2305" max="2305" width="40.28515625" style="140" bestFit="1" customWidth="1"/>
    <col min="2306" max="2306" width="10" style="140" customWidth="1"/>
    <col min="2307" max="2307" width="10.140625" style="140" customWidth="1"/>
    <col min="2308" max="2308" width="12.28515625" style="140" customWidth="1"/>
    <col min="2309" max="2309" width="15.7109375" style="140" customWidth="1"/>
    <col min="2310" max="2310" width="12.85546875" style="140" customWidth="1"/>
    <col min="2311" max="2311" width="12.7109375" style="140" customWidth="1"/>
    <col min="2312" max="2312" width="12.85546875" style="140" customWidth="1"/>
    <col min="2313" max="2313" width="14.42578125" style="140" customWidth="1"/>
    <col min="2314" max="2558" width="9.140625" style="140"/>
    <col min="2559" max="2559" width="2.7109375" style="140" customWidth="1"/>
    <col min="2560" max="2560" width="9.140625" style="140"/>
    <col min="2561" max="2561" width="40.28515625" style="140" bestFit="1" customWidth="1"/>
    <col min="2562" max="2562" width="10" style="140" customWidth="1"/>
    <col min="2563" max="2563" width="10.140625" style="140" customWidth="1"/>
    <col min="2564" max="2564" width="12.28515625" style="140" customWidth="1"/>
    <col min="2565" max="2565" width="15.7109375" style="140" customWidth="1"/>
    <col min="2566" max="2566" width="12.85546875" style="140" customWidth="1"/>
    <col min="2567" max="2567" width="12.7109375" style="140" customWidth="1"/>
    <col min="2568" max="2568" width="12.85546875" style="140" customWidth="1"/>
    <col min="2569" max="2569" width="14.42578125" style="140" customWidth="1"/>
    <col min="2570" max="2814" width="9.140625" style="140"/>
    <col min="2815" max="2815" width="2.7109375" style="140" customWidth="1"/>
    <col min="2816" max="2816" width="9.140625" style="140"/>
    <col min="2817" max="2817" width="40.28515625" style="140" bestFit="1" customWidth="1"/>
    <col min="2818" max="2818" width="10" style="140" customWidth="1"/>
    <col min="2819" max="2819" width="10.140625" style="140" customWidth="1"/>
    <col min="2820" max="2820" width="12.28515625" style="140" customWidth="1"/>
    <col min="2821" max="2821" width="15.7109375" style="140" customWidth="1"/>
    <col min="2822" max="2822" width="12.85546875" style="140" customWidth="1"/>
    <col min="2823" max="2823" width="12.7109375" style="140" customWidth="1"/>
    <col min="2824" max="2824" width="12.85546875" style="140" customWidth="1"/>
    <col min="2825" max="2825" width="14.42578125" style="140" customWidth="1"/>
    <col min="2826" max="3070" width="9.140625" style="140"/>
    <col min="3071" max="3071" width="2.7109375" style="140" customWidth="1"/>
    <col min="3072" max="3072" width="9.140625" style="140"/>
    <col min="3073" max="3073" width="40.28515625" style="140" bestFit="1" customWidth="1"/>
    <col min="3074" max="3074" width="10" style="140" customWidth="1"/>
    <col min="3075" max="3075" width="10.140625" style="140" customWidth="1"/>
    <col min="3076" max="3076" width="12.28515625" style="140" customWidth="1"/>
    <col min="3077" max="3077" width="15.7109375" style="140" customWidth="1"/>
    <col min="3078" max="3078" width="12.85546875" style="140" customWidth="1"/>
    <col min="3079" max="3079" width="12.7109375" style="140" customWidth="1"/>
    <col min="3080" max="3080" width="12.85546875" style="140" customWidth="1"/>
    <col min="3081" max="3081" width="14.42578125" style="140" customWidth="1"/>
    <col min="3082" max="3326" width="9.140625" style="140"/>
    <col min="3327" max="3327" width="2.7109375" style="140" customWidth="1"/>
    <col min="3328" max="3328" width="9.140625" style="140"/>
    <col min="3329" max="3329" width="40.28515625" style="140" bestFit="1" customWidth="1"/>
    <col min="3330" max="3330" width="10" style="140" customWidth="1"/>
    <col min="3331" max="3331" width="10.140625" style="140" customWidth="1"/>
    <col min="3332" max="3332" width="12.28515625" style="140" customWidth="1"/>
    <col min="3333" max="3333" width="15.7109375" style="140" customWidth="1"/>
    <col min="3334" max="3334" width="12.85546875" style="140" customWidth="1"/>
    <col min="3335" max="3335" width="12.7109375" style="140" customWidth="1"/>
    <col min="3336" max="3336" width="12.85546875" style="140" customWidth="1"/>
    <col min="3337" max="3337" width="14.42578125" style="140" customWidth="1"/>
    <col min="3338" max="3582" width="9.140625" style="140"/>
    <col min="3583" max="3583" width="2.7109375" style="140" customWidth="1"/>
    <col min="3584" max="3584" width="9.140625" style="140"/>
    <col min="3585" max="3585" width="40.28515625" style="140" bestFit="1" customWidth="1"/>
    <col min="3586" max="3586" width="10" style="140" customWidth="1"/>
    <col min="3587" max="3587" width="10.140625" style="140" customWidth="1"/>
    <col min="3588" max="3588" width="12.28515625" style="140" customWidth="1"/>
    <col min="3589" max="3589" width="15.7109375" style="140" customWidth="1"/>
    <col min="3590" max="3590" width="12.85546875" style="140" customWidth="1"/>
    <col min="3591" max="3591" width="12.7109375" style="140" customWidth="1"/>
    <col min="3592" max="3592" width="12.85546875" style="140" customWidth="1"/>
    <col min="3593" max="3593" width="14.42578125" style="140" customWidth="1"/>
    <col min="3594" max="3838" width="9.140625" style="140"/>
    <col min="3839" max="3839" width="2.7109375" style="140" customWidth="1"/>
    <col min="3840" max="3840" width="9.140625" style="140"/>
    <col min="3841" max="3841" width="40.28515625" style="140" bestFit="1" customWidth="1"/>
    <col min="3842" max="3842" width="10" style="140" customWidth="1"/>
    <col min="3843" max="3843" width="10.140625" style="140" customWidth="1"/>
    <col min="3844" max="3844" width="12.28515625" style="140" customWidth="1"/>
    <col min="3845" max="3845" width="15.7109375" style="140" customWidth="1"/>
    <col min="3846" max="3846" width="12.85546875" style="140" customWidth="1"/>
    <col min="3847" max="3847" width="12.7109375" style="140" customWidth="1"/>
    <col min="3848" max="3848" width="12.85546875" style="140" customWidth="1"/>
    <col min="3849" max="3849" width="14.42578125" style="140" customWidth="1"/>
    <col min="3850" max="4094" width="9.140625" style="140"/>
    <col min="4095" max="4095" width="2.7109375" style="140" customWidth="1"/>
    <col min="4096" max="4096" width="9.140625" style="140"/>
    <col min="4097" max="4097" width="40.28515625" style="140" bestFit="1" customWidth="1"/>
    <col min="4098" max="4098" width="10" style="140" customWidth="1"/>
    <col min="4099" max="4099" width="10.140625" style="140" customWidth="1"/>
    <col min="4100" max="4100" width="12.28515625" style="140" customWidth="1"/>
    <col min="4101" max="4101" width="15.7109375" style="140" customWidth="1"/>
    <col min="4102" max="4102" width="12.85546875" style="140" customWidth="1"/>
    <col min="4103" max="4103" width="12.7109375" style="140" customWidth="1"/>
    <col min="4104" max="4104" width="12.85546875" style="140" customWidth="1"/>
    <col min="4105" max="4105" width="14.42578125" style="140" customWidth="1"/>
    <col min="4106" max="4350" width="9.140625" style="140"/>
    <col min="4351" max="4351" width="2.7109375" style="140" customWidth="1"/>
    <col min="4352" max="4352" width="9.140625" style="140"/>
    <col min="4353" max="4353" width="40.28515625" style="140" bestFit="1" customWidth="1"/>
    <col min="4354" max="4354" width="10" style="140" customWidth="1"/>
    <col min="4355" max="4355" width="10.140625" style="140" customWidth="1"/>
    <col min="4356" max="4356" width="12.28515625" style="140" customWidth="1"/>
    <col min="4357" max="4357" width="15.7109375" style="140" customWidth="1"/>
    <col min="4358" max="4358" width="12.85546875" style="140" customWidth="1"/>
    <col min="4359" max="4359" width="12.7109375" style="140" customWidth="1"/>
    <col min="4360" max="4360" width="12.85546875" style="140" customWidth="1"/>
    <col min="4361" max="4361" width="14.42578125" style="140" customWidth="1"/>
    <col min="4362" max="4606" width="9.140625" style="140"/>
    <col min="4607" max="4607" width="2.7109375" style="140" customWidth="1"/>
    <col min="4608" max="4608" width="9.140625" style="140"/>
    <col min="4609" max="4609" width="40.28515625" style="140" bestFit="1" customWidth="1"/>
    <col min="4610" max="4610" width="10" style="140" customWidth="1"/>
    <col min="4611" max="4611" width="10.140625" style="140" customWidth="1"/>
    <col min="4612" max="4612" width="12.28515625" style="140" customWidth="1"/>
    <col min="4613" max="4613" width="15.7109375" style="140" customWidth="1"/>
    <col min="4614" max="4614" width="12.85546875" style="140" customWidth="1"/>
    <col min="4615" max="4615" width="12.7109375" style="140" customWidth="1"/>
    <col min="4616" max="4616" width="12.85546875" style="140" customWidth="1"/>
    <col min="4617" max="4617" width="14.42578125" style="140" customWidth="1"/>
    <col min="4618" max="4862" width="9.140625" style="140"/>
    <col min="4863" max="4863" width="2.7109375" style="140" customWidth="1"/>
    <col min="4864" max="4864" width="9.140625" style="140"/>
    <col min="4865" max="4865" width="40.28515625" style="140" bestFit="1" customWidth="1"/>
    <col min="4866" max="4866" width="10" style="140" customWidth="1"/>
    <col min="4867" max="4867" width="10.140625" style="140" customWidth="1"/>
    <col min="4868" max="4868" width="12.28515625" style="140" customWidth="1"/>
    <col min="4869" max="4869" width="15.7109375" style="140" customWidth="1"/>
    <col min="4870" max="4870" width="12.85546875" style="140" customWidth="1"/>
    <col min="4871" max="4871" width="12.7109375" style="140" customWidth="1"/>
    <col min="4872" max="4872" width="12.85546875" style="140" customWidth="1"/>
    <col min="4873" max="4873" width="14.42578125" style="140" customWidth="1"/>
    <col min="4874" max="5118" width="9.140625" style="140"/>
    <col min="5119" max="5119" width="2.7109375" style="140" customWidth="1"/>
    <col min="5120" max="5120" width="9.140625" style="140"/>
    <col min="5121" max="5121" width="40.28515625" style="140" bestFit="1" customWidth="1"/>
    <col min="5122" max="5122" width="10" style="140" customWidth="1"/>
    <col min="5123" max="5123" width="10.140625" style="140" customWidth="1"/>
    <col min="5124" max="5124" width="12.28515625" style="140" customWidth="1"/>
    <col min="5125" max="5125" width="15.7109375" style="140" customWidth="1"/>
    <col min="5126" max="5126" width="12.85546875" style="140" customWidth="1"/>
    <col min="5127" max="5127" width="12.7109375" style="140" customWidth="1"/>
    <col min="5128" max="5128" width="12.85546875" style="140" customWidth="1"/>
    <col min="5129" max="5129" width="14.42578125" style="140" customWidth="1"/>
    <col min="5130" max="5374" width="9.140625" style="140"/>
    <col min="5375" max="5375" width="2.7109375" style="140" customWidth="1"/>
    <col min="5376" max="5376" width="9.140625" style="140"/>
    <col min="5377" max="5377" width="40.28515625" style="140" bestFit="1" customWidth="1"/>
    <col min="5378" max="5378" width="10" style="140" customWidth="1"/>
    <col min="5379" max="5379" width="10.140625" style="140" customWidth="1"/>
    <col min="5380" max="5380" width="12.28515625" style="140" customWidth="1"/>
    <col min="5381" max="5381" width="15.7109375" style="140" customWidth="1"/>
    <col min="5382" max="5382" width="12.85546875" style="140" customWidth="1"/>
    <col min="5383" max="5383" width="12.7109375" style="140" customWidth="1"/>
    <col min="5384" max="5384" width="12.85546875" style="140" customWidth="1"/>
    <col min="5385" max="5385" width="14.42578125" style="140" customWidth="1"/>
    <col min="5386" max="5630" width="9.140625" style="140"/>
    <col min="5631" max="5631" width="2.7109375" style="140" customWidth="1"/>
    <col min="5632" max="5632" width="9.140625" style="140"/>
    <col min="5633" max="5633" width="40.28515625" style="140" bestFit="1" customWidth="1"/>
    <col min="5634" max="5634" width="10" style="140" customWidth="1"/>
    <col min="5635" max="5635" width="10.140625" style="140" customWidth="1"/>
    <col min="5636" max="5636" width="12.28515625" style="140" customWidth="1"/>
    <col min="5637" max="5637" width="15.7109375" style="140" customWidth="1"/>
    <col min="5638" max="5638" width="12.85546875" style="140" customWidth="1"/>
    <col min="5639" max="5639" width="12.7109375" style="140" customWidth="1"/>
    <col min="5640" max="5640" width="12.85546875" style="140" customWidth="1"/>
    <col min="5641" max="5641" width="14.42578125" style="140" customWidth="1"/>
    <col min="5642" max="5886" width="9.140625" style="140"/>
    <col min="5887" max="5887" width="2.7109375" style="140" customWidth="1"/>
    <col min="5888" max="5888" width="9.140625" style="140"/>
    <col min="5889" max="5889" width="40.28515625" style="140" bestFit="1" customWidth="1"/>
    <col min="5890" max="5890" width="10" style="140" customWidth="1"/>
    <col min="5891" max="5891" width="10.140625" style="140" customWidth="1"/>
    <col min="5892" max="5892" width="12.28515625" style="140" customWidth="1"/>
    <col min="5893" max="5893" width="15.7109375" style="140" customWidth="1"/>
    <col min="5894" max="5894" width="12.85546875" style="140" customWidth="1"/>
    <col min="5895" max="5895" width="12.7109375" style="140" customWidth="1"/>
    <col min="5896" max="5896" width="12.85546875" style="140" customWidth="1"/>
    <col min="5897" max="5897" width="14.42578125" style="140" customWidth="1"/>
    <col min="5898" max="6142" width="9.140625" style="140"/>
    <col min="6143" max="6143" width="2.7109375" style="140" customWidth="1"/>
    <col min="6144" max="6144" width="9.140625" style="140"/>
    <col min="6145" max="6145" width="40.28515625" style="140" bestFit="1" customWidth="1"/>
    <col min="6146" max="6146" width="10" style="140" customWidth="1"/>
    <col min="6147" max="6147" width="10.140625" style="140" customWidth="1"/>
    <col min="6148" max="6148" width="12.28515625" style="140" customWidth="1"/>
    <col min="6149" max="6149" width="15.7109375" style="140" customWidth="1"/>
    <col min="6150" max="6150" width="12.85546875" style="140" customWidth="1"/>
    <col min="6151" max="6151" width="12.7109375" style="140" customWidth="1"/>
    <col min="6152" max="6152" width="12.85546875" style="140" customWidth="1"/>
    <col min="6153" max="6153" width="14.42578125" style="140" customWidth="1"/>
    <col min="6154" max="6398" width="9.140625" style="140"/>
    <col min="6399" max="6399" width="2.7109375" style="140" customWidth="1"/>
    <col min="6400" max="6400" width="9.140625" style="140"/>
    <col min="6401" max="6401" width="40.28515625" style="140" bestFit="1" customWidth="1"/>
    <col min="6402" max="6402" width="10" style="140" customWidth="1"/>
    <col min="6403" max="6403" width="10.140625" style="140" customWidth="1"/>
    <col min="6404" max="6404" width="12.28515625" style="140" customWidth="1"/>
    <col min="6405" max="6405" width="15.7109375" style="140" customWidth="1"/>
    <col min="6406" max="6406" width="12.85546875" style="140" customWidth="1"/>
    <col min="6407" max="6407" width="12.7109375" style="140" customWidth="1"/>
    <col min="6408" max="6408" width="12.85546875" style="140" customWidth="1"/>
    <col min="6409" max="6409" width="14.42578125" style="140" customWidth="1"/>
    <col min="6410" max="6654" width="9.140625" style="140"/>
    <col min="6655" max="6655" width="2.7109375" style="140" customWidth="1"/>
    <col min="6656" max="6656" width="9.140625" style="140"/>
    <col min="6657" max="6657" width="40.28515625" style="140" bestFit="1" customWidth="1"/>
    <col min="6658" max="6658" width="10" style="140" customWidth="1"/>
    <col min="6659" max="6659" width="10.140625" style="140" customWidth="1"/>
    <col min="6660" max="6660" width="12.28515625" style="140" customWidth="1"/>
    <col min="6661" max="6661" width="15.7109375" style="140" customWidth="1"/>
    <col min="6662" max="6662" width="12.85546875" style="140" customWidth="1"/>
    <col min="6663" max="6663" width="12.7109375" style="140" customWidth="1"/>
    <col min="6664" max="6664" width="12.85546875" style="140" customWidth="1"/>
    <col min="6665" max="6665" width="14.42578125" style="140" customWidth="1"/>
    <col min="6666" max="6910" width="9.140625" style="140"/>
    <col min="6911" max="6911" width="2.7109375" style="140" customWidth="1"/>
    <col min="6912" max="6912" width="9.140625" style="140"/>
    <col min="6913" max="6913" width="40.28515625" style="140" bestFit="1" customWidth="1"/>
    <col min="6914" max="6914" width="10" style="140" customWidth="1"/>
    <col min="6915" max="6915" width="10.140625" style="140" customWidth="1"/>
    <col min="6916" max="6916" width="12.28515625" style="140" customWidth="1"/>
    <col min="6917" max="6917" width="15.7109375" style="140" customWidth="1"/>
    <col min="6918" max="6918" width="12.85546875" style="140" customWidth="1"/>
    <col min="6919" max="6919" width="12.7109375" style="140" customWidth="1"/>
    <col min="6920" max="6920" width="12.85546875" style="140" customWidth="1"/>
    <col min="6921" max="6921" width="14.42578125" style="140" customWidth="1"/>
    <col min="6922" max="7166" width="9.140625" style="140"/>
    <col min="7167" max="7167" width="2.7109375" style="140" customWidth="1"/>
    <col min="7168" max="7168" width="9.140625" style="140"/>
    <col min="7169" max="7169" width="40.28515625" style="140" bestFit="1" customWidth="1"/>
    <col min="7170" max="7170" width="10" style="140" customWidth="1"/>
    <col min="7171" max="7171" width="10.140625" style="140" customWidth="1"/>
    <col min="7172" max="7172" width="12.28515625" style="140" customWidth="1"/>
    <col min="7173" max="7173" width="15.7109375" style="140" customWidth="1"/>
    <col min="7174" max="7174" width="12.85546875" style="140" customWidth="1"/>
    <col min="7175" max="7175" width="12.7109375" style="140" customWidth="1"/>
    <col min="7176" max="7176" width="12.85546875" style="140" customWidth="1"/>
    <col min="7177" max="7177" width="14.42578125" style="140" customWidth="1"/>
    <col min="7178" max="7422" width="9.140625" style="140"/>
    <col min="7423" max="7423" width="2.7109375" style="140" customWidth="1"/>
    <col min="7424" max="7424" width="9.140625" style="140"/>
    <col min="7425" max="7425" width="40.28515625" style="140" bestFit="1" customWidth="1"/>
    <col min="7426" max="7426" width="10" style="140" customWidth="1"/>
    <col min="7427" max="7427" width="10.140625" style="140" customWidth="1"/>
    <col min="7428" max="7428" width="12.28515625" style="140" customWidth="1"/>
    <col min="7429" max="7429" width="15.7109375" style="140" customWidth="1"/>
    <col min="7430" max="7430" width="12.85546875" style="140" customWidth="1"/>
    <col min="7431" max="7431" width="12.7109375" style="140" customWidth="1"/>
    <col min="7432" max="7432" width="12.85546875" style="140" customWidth="1"/>
    <col min="7433" max="7433" width="14.42578125" style="140" customWidth="1"/>
    <col min="7434" max="7678" width="9.140625" style="140"/>
    <col min="7679" max="7679" width="2.7109375" style="140" customWidth="1"/>
    <col min="7680" max="7680" width="9.140625" style="140"/>
    <col min="7681" max="7681" width="40.28515625" style="140" bestFit="1" customWidth="1"/>
    <col min="7682" max="7682" width="10" style="140" customWidth="1"/>
    <col min="7683" max="7683" width="10.140625" style="140" customWidth="1"/>
    <col min="7684" max="7684" width="12.28515625" style="140" customWidth="1"/>
    <col min="7685" max="7685" width="15.7109375" style="140" customWidth="1"/>
    <col min="7686" max="7686" width="12.85546875" style="140" customWidth="1"/>
    <col min="7687" max="7687" width="12.7109375" style="140" customWidth="1"/>
    <col min="7688" max="7688" width="12.85546875" style="140" customWidth="1"/>
    <col min="7689" max="7689" width="14.42578125" style="140" customWidth="1"/>
    <col min="7690" max="7934" width="9.140625" style="140"/>
    <col min="7935" max="7935" width="2.7109375" style="140" customWidth="1"/>
    <col min="7936" max="7936" width="9.140625" style="140"/>
    <col min="7937" max="7937" width="40.28515625" style="140" bestFit="1" customWidth="1"/>
    <col min="7938" max="7938" width="10" style="140" customWidth="1"/>
    <col min="7939" max="7939" width="10.140625" style="140" customWidth="1"/>
    <col min="7940" max="7940" width="12.28515625" style="140" customWidth="1"/>
    <col min="7941" max="7941" width="15.7109375" style="140" customWidth="1"/>
    <col min="7942" max="7942" width="12.85546875" style="140" customWidth="1"/>
    <col min="7943" max="7943" width="12.7109375" style="140" customWidth="1"/>
    <col min="7944" max="7944" width="12.85546875" style="140" customWidth="1"/>
    <col min="7945" max="7945" width="14.42578125" style="140" customWidth="1"/>
    <col min="7946" max="8190" width="9.140625" style="140"/>
    <col min="8191" max="8191" width="2.7109375" style="140" customWidth="1"/>
    <col min="8192" max="8192" width="9.140625" style="140"/>
    <col min="8193" max="8193" width="40.28515625" style="140" bestFit="1" customWidth="1"/>
    <col min="8194" max="8194" width="10" style="140" customWidth="1"/>
    <col min="8195" max="8195" width="10.140625" style="140" customWidth="1"/>
    <col min="8196" max="8196" width="12.28515625" style="140" customWidth="1"/>
    <col min="8197" max="8197" width="15.7109375" style="140" customWidth="1"/>
    <col min="8198" max="8198" width="12.85546875" style="140" customWidth="1"/>
    <col min="8199" max="8199" width="12.7109375" style="140" customWidth="1"/>
    <col min="8200" max="8200" width="12.85546875" style="140" customWidth="1"/>
    <col min="8201" max="8201" width="14.42578125" style="140" customWidth="1"/>
    <col min="8202" max="8446" width="9.140625" style="140"/>
    <col min="8447" max="8447" width="2.7109375" style="140" customWidth="1"/>
    <col min="8448" max="8448" width="9.140625" style="140"/>
    <col min="8449" max="8449" width="40.28515625" style="140" bestFit="1" customWidth="1"/>
    <col min="8450" max="8450" width="10" style="140" customWidth="1"/>
    <col min="8451" max="8451" width="10.140625" style="140" customWidth="1"/>
    <col min="8452" max="8452" width="12.28515625" style="140" customWidth="1"/>
    <col min="8453" max="8453" width="15.7109375" style="140" customWidth="1"/>
    <col min="8454" max="8454" width="12.85546875" style="140" customWidth="1"/>
    <col min="8455" max="8455" width="12.7109375" style="140" customWidth="1"/>
    <col min="8456" max="8456" width="12.85546875" style="140" customWidth="1"/>
    <col min="8457" max="8457" width="14.42578125" style="140" customWidth="1"/>
    <col min="8458" max="8702" width="9.140625" style="140"/>
    <col min="8703" max="8703" width="2.7109375" style="140" customWidth="1"/>
    <col min="8704" max="8704" width="9.140625" style="140"/>
    <col min="8705" max="8705" width="40.28515625" style="140" bestFit="1" customWidth="1"/>
    <col min="8706" max="8706" width="10" style="140" customWidth="1"/>
    <col min="8707" max="8707" width="10.140625" style="140" customWidth="1"/>
    <col min="8708" max="8708" width="12.28515625" style="140" customWidth="1"/>
    <col min="8709" max="8709" width="15.7109375" style="140" customWidth="1"/>
    <col min="8710" max="8710" width="12.85546875" style="140" customWidth="1"/>
    <col min="8711" max="8711" width="12.7109375" style="140" customWidth="1"/>
    <col min="8712" max="8712" width="12.85546875" style="140" customWidth="1"/>
    <col min="8713" max="8713" width="14.42578125" style="140" customWidth="1"/>
    <col min="8714" max="8958" width="9.140625" style="140"/>
    <col min="8959" max="8959" width="2.7109375" style="140" customWidth="1"/>
    <col min="8960" max="8960" width="9.140625" style="140"/>
    <col min="8961" max="8961" width="40.28515625" style="140" bestFit="1" customWidth="1"/>
    <col min="8962" max="8962" width="10" style="140" customWidth="1"/>
    <col min="8963" max="8963" width="10.140625" style="140" customWidth="1"/>
    <col min="8964" max="8964" width="12.28515625" style="140" customWidth="1"/>
    <col min="8965" max="8965" width="15.7109375" style="140" customWidth="1"/>
    <col min="8966" max="8966" width="12.85546875" style="140" customWidth="1"/>
    <col min="8967" max="8967" width="12.7109375" style="140" customWidth="1"/>
    <col min="8968" max="8968" width="12.85546875" style="140" customWidth="1"/>
    <col min="8969" max="8969" width="14.42578125" style="140" customWidth="1"/>
    <col min="8970" max="9214" width="9.140625" style="140"/>
    <col min="9215" max="9215" width="2.7109375" style="140" customWidth="1"/>
    <col min="9216" max="9216" width="9.140625" style="140"/>
    <col min="9217" max="9217" width="40.28515625" style="140" bestFit="1" customWidth="1"/>
    <col min="9218" max="9218" width="10" style="140" customWidth="1"/>
    <col min="9219" max="9219" width="10.140625" style="140" customWidth="1"/>
    <col min="9220" max="9220" width="12.28515625" style="140" customWidth="1"/>
    <col min="9221" max="9221" width="15.7109375" style="140" customWidth="1"/>
    <col min="9222" max="9222" width="12.85546875" style="140" customWidth="1"/>
    <col min="9223" max="9223" width="12.7109375" style="140" customWidth="1"/>
    <col min="9224" max="9224" width="12.85546875" style="140" customWidth="1"/>
    <col min="9225" max="9225" width="14.42578125" style="140" customWidth="1"/>
    <col min="9226" max="9470" width="9.140625" style="140"/>
    <col min="9471" max="9471" width="2.7109375" style="140" customWidth="1"/>
    <col min="9472" max="9472" width="9.140625" style="140"/>
    <col min="9473" max="9473" width="40.28515625" style="140" bestFit="1" customWidth="1"/>
    <col min="9474" max="9474" width="10" style="140" customWidth="1"/>
    <col min="9475" max="9475" width="10.140625" style="140" customWidth="1"/>
    <col min="9476" max="9476" width="12.28515625" style="140" customWidth="1"/>
    <col min="9477" max="9477" width="15.7109375" style="140" customWidth="1"/>
    <col min="9478" max="9478" width="12.85546875" style="140" customWidth="1"/>
    <col min="9479" max="9479" width="12.7109375" style="140" customWidth="1"/>
    <col min="9480" max="9480" width="12.85546875" style="140" customWidth="1"/>
    <col min="9481" max="9481" width="14.42578125" style="140" customWidth="1"/>
    <col min="9482" max="9726" width="9.140625" style="140"/>
    <col min="9727" max="9727" width="2.7109375" style="140" customWidth="1"/>
    <col min="9728" max="9728" width="9.140625" style="140"/>
    <col min="9729" max="9729" width="40.28515625" style="140" bestFit="1" customWidth="1"/>
    <col min="9730" max="9730" width="10" style="140" customWidth="1"/>
    <col min="9731" max="9731" width="10.140625" style="140" customWidth="1"/>
    <col min="9732" max="9732" width="12.28515625" style="140" customWidth="1"/>
    <col min="9733" max="9733" width="15.7109375" style="140" customWidth="1"/>
    <col min="9734" max="9734" width="12.85546875" style="140" customWidth="1"/>
    <col min="9735" max="9735" width="12.7109375" style="140" customWidth="1"/>
    <col min="9736" max="9736" width="12.85546875" style="140" customWidth="1"/>
    <col min="9737" max="9737" width="14.42578125" style="140" customWidth="1"/>
    <col min="9738" max="9982" width="9.140625" style="140"/>
    <col min="9983" max="9983" width="2.7109375" style="140" customWidth="1"/>
    <col min="9984" max="9984" width="9.140625" style="140"/>
    <col min="9985" max="9985" width="40.28515625" style="140" bestFit="1" customWidth="1"/>
    <col min="9986" max="9986" width="10" style="140" customWidth="1"/>
    <col min="9987" max="9987" width="10.140625" style="140" customWidth="1"/>
    <col min="9988" max="9988" width="12.28515625" style="140" customWidth="1"/>
    <col min="9989" max="9989" width="15.7109375" style="140" customWidth="1"/>
    <col min="9990" max="9990" width="12.85546875" style="140" customWidth="1"/>
    <col min="9991" max="9991" width="12.7109375" style="140" customWidth="1"/>
    <col min="9992" max="9992" width="12.85546875" style="140" customWidth="1"/>
    <col min="9993" max="9993" width="14.42578125" style="140" customWidth="1"/>
    <col min="9994" max="10238" width="9.140625" style="140"/>
    <col min="10239" max="10239" width="2.7109375" style="140" customWidth="1"/>
    <col min="10240" max="10240" width="9.140625" style="140"/>
    <col min="10241" max="10241" width="40.28515625" style="140" bestFit="1" customWidth="1"/>
    <col min="10242" max="10242" width="10" style="140" customWidth="1"/>
    <col min="10243" max="10243" width="10.140625" style="140" customWidth="1"/>
    <col min="10244" max="10244" width="12.28515625" style="140" customWidth="1"/>
    <col min="10245" max="10245" width="15.7109375" style="140" customWidth="1"/>
    <col min="10246" max="10246" width="12.85546875" style="140" customWidth="1"/>
    <col min="10247" max="10247" width="12.7109375" style="140" customWidth="1"/>
    <col min="10248" max="10248" width="12.85546875" style="140" customWidth="1"/>
    <col min="10249" max="10249" width="14.42578125" style="140" customWidth="1"/>
    <col min="10250" max="10494" width="9.140625" style="140"/>
    <col min="10495" max="10495" width="2.7109375" style="140" customWidth="1"/>
    <col min="10496" max="10496" width="9.140625" style="140"/>
    <col min="10497" max="10497" width="40.28515625" style="140" bestFit="1" customWidth="1"/>
    <col min="10498" max="10498" width="10" style="140" customWidth="1"/>
    <col min="10499" max="10499" width="10.140625" style="140" customWidth="1"/>
    <col min="10500" max="10500" width="12.28515625" style="140" customWidth="1"/>
    <col min="10501" max="10501" width="15.7109375" style="140" customWidth="1"/>
    <col min="10502" max="10502" width="12.85546875" style="140" customWidth="1"/>
    <col min="10503" max="10503" width="12.7109375" style="140" customWidth="1"/>
    <col min="10504" max="10504" width="12.85546875" style="140" customWidth="1"/>
    <col min="10505" max="10505" width="14.42578125" style="140" customWidth="1"/>
    <col min="10506" max="10750" width="9.140625" style="140"/>
    <col min="10751" max="10751" width="2.7109375" style="140" customWidth="1"/>
    <col min="10752" max="10752" width="9.140625" style="140"/>
    <col min="10753" max="10753" width="40.28515625" style="140" bestFit="1" customWidth="1"/>
    <col min="10754" max="10754" width="10" style="140" customWidth="1"/>
    <col min="10755" max="10755" width="10.140625" style="140" customWidth="1"/>
    <col min="10756" max="10756" width="12.28515625" style="140" customWidth="1"/>
    <col min="10757" max="10757" width="15.7109375" style="140" customWidth="1"/>
    <col min="10758" max="10758" width="12.85546875" style="140" customWidth="1"/>
    <col min="10759" max="10759" width="12.7109375" style="140" customWidth="1"/>
    <col min="10760" max="10760" width="12.85546875" style="140" customWidth="1"/>
    <col min="10761" max="10761" width="14.42578125" style="140" customWidth="1"/>
    <col min="10762" max="11006" width="9.140625" style="140"/>
    <col min="11007" max="11007" width="2.7109375" style="140" customWidth="1"/>
    <col min="11008" max="11008" width="9.140625" style="140"/>
    <col min="11009" max="11009" width="40.28515625" style="140" bestFit="1" customWidth="1"/>
    <col min="11010" max="11010" width="10" style="140" customWidth="1"/>
    <col min="11011" max="11011" width="10.140625" style="140" customWidth="1"/>
    <col min="11012" max="11012" width="12.28515625" style="140" customWidth="1"/>
    <col min="11013" max="11013" width="15.7109375" style="140" customWidth="1"/>
    <col min="11014" max="11014" width="12.85546875" style="140" customWidth="1"/>
    <col min="11015" max="11015" width="12.7109375" style="140" customWidth="1"/>
    <col min="11016" max="11016" width="12.85546875" style="140" customWidth="1"/>
    <col min="11017" max="11017" width="14.42578125" style="140" customWidth="1"/>
    <col min="11018" max="11262" width="9.140625" style="140"/>
    <col min="11263" max="11263" width="2.7109375" style="140" customWidth="1"/>
    <col min="11264" max="11264" width="9.140625" style="140"/>
    <col min="11265" max="11265" width="40.28515625" style="140" bestFit="1" customWidth="1"/>
    <col min="11266" max="11266" width="10" style="140" customWidth="1"/>
    <col min="11267" max="11267" width="10.140625" style="140" customWidth="1"/>
    <col min="11268" max="11268" width="12.28515625" style="140" customWidth="1"/>
    <col min="11269" max="11269" width="15.7109375" style="140" customWidth="1"/>
    <col min="11270" max="11270" width="12.85546875" style="140" customWidth="1"/>
    <col min="11271" max="11271" width="12.7109375" style="140" customWidth="1"/>
    <col min="11272" max="11272" width="12.85546875" style="140" customWidth="1"/>
    <col min="11273" max="11273" width="14.42578125" style="140" customWidth="1"/>
    <col min="11274" max="11518" width="9.140625" style="140"/>
    <col min="11519" max="11519" width="2.7109375" style="140" customWidth="1"/>
    <col min="11520" max="11520" width="9.140625" style="140"/>
    <col min="11521" max="11521" width="40.28515625" style="140" bestFit="1" customWidth="1"/>
    <col min="11522" max="11522" width="10" style="140" customWidth="1"/>
    <col min="11523" max="11523" width="10.140625" style="140" customWidth="1"/>
    <col min="11524" max="11524" width="12.28515625" style="140" customWidth="1"/>
    <col min="11525" max="11525" width="15.7109375" style="140" customWidth="1"/>
    <col min="11526" max="11526" width="12.85546875" style="140" customWidth="1"/>
    <col min="11527" max="11527" width="12.7109375" style="140" customWidth="1"/>
    <col min="11528" max="11528" width="12.85546875" style="140" customWidth="1"/>
    <col min="11529" max="11529" width="14.42578125" style="140" customWidth="1"/>
    <col min="11530" max="11774" width="9.140625" style="140"/>
    <col min="11775" max="11775" width="2.7109375" style="140" customWidth="1"/>
    <col min="11776" max="11776" width="9.140625" style="140"/>
    <col min="11777" max="11777" width="40.28515625" style="140" bestFit="1" customWidth="1"/>
    <col min="11778" max="11778" width="10" style="140" customWidth="1"/>
    <col min="11779" max="11779" width="10.140625" style="140" customWidth="1"/>
    <col min="11780" max="11780" width="12.28515625" style="140" customWidth="1"/>
    <col min="11781" max="11781" width="15.7109375" style="140" customWidth="1"/>
    <col min="11782" max="11782" width="12.85546875" style="140" customWidth="1"/>
    <col min="11783" max="11783" width="12.7109375" style="140" customWidth="1"/>
    <col min="11784" max="11784" width="12.85546875" style="140" customWidth="1"/>
    <col min="11785" max="11785" width="14.42578125" style="140" customWidth="1"/>
    <col min="11786" max="12030" width="9.140625" style="140"/>
    <col min="12031" max="12031" width="2.7109375" style="140" customWidth="1"/>
    <col min="12032" max="12032" width="9.140625" style="140"/>
    <col min="12033" max="12033" width="40.28515625" style="140" bestFit="1" customWidth="1"/>
    <col min="12034" max="12034" width="10" style="140" customWidth="1"/>
    <col min="12035" max="12035" width="10.140625" style="140" customWidth="1"/>
    <col min="12036" max="12036" width="12.28515625" style="140" customWidth="1"/>
    <col min="12037" max="12037" width="15.7109375" style="140" customWidth="1"/>
    <col min="12038" max="12038" width="12.85546875" style="140" customWidth="1"/>
    <col min="12039" max="12039" width="12.7109375" style="140" customWidth="1"/>
    <col min="12040" max="12040" width="12.85546875" style="140" customWidth="1"/>
    <col min="12041" max="12041" width="14.42578125" style="140" customWidth="1"/>
    <col min="12042" max="12286" width="9.140625" style="140"/>
    <col min="12287" max="12287" width="2.7109375" style="140" customWidth="1"/>
    <col min="12288" max="12288" width="9.140625" style="140"/>
    <col min="12289" max="12289" width="40.28515625" style="140" bestFit="1" customWidth="1"/>
    <col min="12290" max="12290" width="10" style="140" customWidth="1"/>
    <col min="12291" max="12291" width="10.140625" style="140" customWidth="1"/>
    <col min="12292" max="12292" width="12.28515625" style="140" customWidth="1"/>
    <col min="12293" max="12293" width="15.7109375" style="140" customWidth="1"/>
    <col min="12294" max="12294" width="12.85546875" style="140" customWidth="1"/>
    <col min="12295" max="12295" width="12.7109375" style="140" customWidth="1"/>
    <col min="12296" max="12296" width="12.85546875" style="140" customWidth="1"/>
    <col min="12297" max="12297" width="14.42578125" style="140" customWidth="1"/>
    <col min="12298" max="12542" width="9.140625" style="140"/>
    <col min="12543" max="12543" width="2.7109375" style="140" customWidth="1"/>
    <col min="12544" max="12544" width="9.140625" style="140"/>
    <col min="12545" max="12545" width="40.28515625" style="140" bestFit="1" customWidth="1"/>
    <col min="12546" max="12546" width="10" style="140" customWidth="1"/>
    <col min="12547" max="12547" width="10.140625" style="140" customWidth="1"/>
    <col min="12548" max="12548" width="12.28515625" style="140" customWidth="1"/>
    <col min="12549" max="12549" width="15.7109375" style="140" customWidth="1"/>
    <col min="12550" max="12550" width="12.85546875" style="140" customWidth="1"/>
    <col min="12551" max="12551" width="12.7109375" style="140" customWidth="1"/>
    <col min="12552" max="12552" width="12.85546875" style="140" customWidth="1"/>
    <col min="12553" max="12553" width="14.42578125" style="140" customWidth="1"/>
    <col min="12554" max="12798" width="9.140625" style="140"/>
    <col min="12799" max="12799" width="2.7109375" style="140" customWidth="1"/>
    <col min="12800" max="12800" width="9.140625" style="140"/>
    <col min="12801" max="12801" width="40.28515625" style="140" bestFit="1" customWidth="1"/>
    <col min="12802" max="12802" width="10" style="140" customWidth="1"/>
    <col min="12803" max="12803" width="10.140625" style="140" customWidth="1"/>
    <col min="12804" max="12804" width="12.28515625" style="140" customWidth="1"/>
    <col min="12805" max="12805" width="15.7109375" style="140" customWidth="1"/>
    <col min="12806" max="12806" width="12.85546875" style="140" customWidth="1"/>
    <col min="12807" max="12807" width="12.7109375" style="140" customWidth="1"/>
    <col min="12808" max="12808" width="12.85546875" style="140" customWidth="1"/>
    <col min="12809" max="12809" width="14.42578125" style="140" customWidth="1"/>
    <col min="12810" max="13054" width="9.140625" style="140"/>
    <col min="13055" max="13055" width="2.7109375" style="140" customWidth="1"/>
    <col min="13056" max="13056" width="9.140625" style="140"/>
    <col min="13057" max="13057" width="40.28515625" style="140" bestFit="1" customWidth="1"/>
    <col min="13058" max="13058" width="10" style="140" customWidth="1"/>
    <col min="13059" max="13059" width="10.140625" style="140" customWidth="1"/>
    <col min="13060" max="13060" width="12.28515625" style="140" customWidth="1"/>
    <col min="13061" max="13061" width="15.7109375" style="140" customWidth="1"/>
    <col min="13062" max="13062" width="12.85546875" style="140" customWidth="1"/>
    <col min="13063" max="13063" width="12.7109375" style="140" customWidth="1"/>
    <col min="13064" max="13064" width="12.85546875" style="140" customWidth="1"/>
    <col min="13065" max="13065" width="14.42578125" style="140" customWidth="1"/>
    <col min="13066" max="13310" width="9.140625" style="140"/>
    <col min="13311" max="13311" width="2.7109375" style="140" customWidth="1"/>
    <col min="13312" max="13312" width="9.140625" style="140"/>
    <col min="13313" max="13313" width="40.28515625" style="140" bestFit="1" customWidth="1"/>
    <col min="13314" max="13314" width="10" style="140" customWidth="1"/>
    <col min="13315" max="13315" width="10.140625" style="140" customWidth="1"/>
    <col min="13316" max="13316" width="12.28515625" style="140" customWidth="1"/>
    <col min="13317" max="13317" width="15.7109375" style="140" customWidth="1"/>
    <col min="13318" max="13318" width="12.85546875" style="140" customWidth="1"/>
    <col min="13319" max="13319" width="12.7109375" style="140" customWidth="1"/>
    <col min="13320" max="13320" width="12.85546875" style="140" customWidth="1"/>
    <col min="13321" max="13321" width="14.42578125" style="140" customWidth="1"/>
    <col min="13322" max="13566" width="9.140625" style="140"/>
    <col min="13567" max="13567" width="2.7109375" style="140" customWidth="1"/>
    <col min="13568" max="13568" width="9.140625" style="140"/>
    <col min="13569" max="13569" width="40.28515625" style="140" bestFit="1" customWidth="1"/>
    <col min="13570" max="13570" width="10" style="140" customWidth="1"/>
    <col min="13571" max="13571" width="10.140625" style="140" customWidth="1"/>
    <col min="13572" max="13572" width="12.28515625" style="140" customWidth="1"/>
    <col min="13573" max="13573" width="15.7109375" style="140" customWidth="1"/>
    <col min="13574" max="13574" width="12.85546875" style="140" customWidth="1"/>
    <col min="13575" max="13575" width="12.7109375" style="140" customWidth="1"/>
    <col min="13576" max="13576" width="12.85546875" style="140" customWidth="1"/>
    <col min="13577" max="13577" width="14.42578125" style="140" customWidth="1"/>
    <col min="13578" max="13822" width="9.140625" style="140"/>
    <col min="13823" max="13823" width="2.7109375" style="140" customWidth="1"/>
    <col min="13824" max="13824" width="9.140625" style="140"/>
    <col min="13825" max="13825" width="40.28515625" style="140" bestFit="1" customWidth="1"/>
    <col min="13826" max="13826" width="10" style="140" customWidth="1"/>
    <col min="13827" max="13827" width="10.140625" style="140" customWidth="1"/>
    <col min="13828" max="13828" width="12.28515625" style="140" customWidth="1"/>
    <col min="13829" max="13829" width="15.7109375" style="140" customWidth="1"/>
    <col min="13830" max="13830" width="12.85546875" style="140" customWidth="1"/>
    <col min="13831" max="13831" width="12.7109375" style="140" customWidth="1"/>
    <col min="13832" max="13832" width="12.85546875" style="140" customWidth="1"/>
    <col min="13833" max="13833" width="14.42578125" style="140" customWidth="1"/>
    <col min="13834" max="14078" width="9.140625" style="140"/>
    <col min="14079" max="14079" width="2.7109375" style="140" customWidth="1"/>
    <col min="14080" max="14080" width="9.140625" style="140"/>
    <col min="14081" max="14081" width="40.28515625" style="140" bestFit="1" customWidth="1"/>
    <col min="14082" max="14082" width="10" style="140" customWidth="1"/>
    <col min="14083" max="14083" width="10.140625" style="140" customWidth="1"/>
    <col min="14084" max="14084" width="12.28515625" style="140" customWidth="1"/>
    <col min="14085" max="14085" width="15.7109375" style="140" customWidth="1"/>
    <col min="14086" max="14086" width="12.85546875" style="140" customWidth="1"/>
    <col min="14087" max="14087" width="12.7109375" style="140" customWidth="1"/>
    <col min="14088" max="14088" width="12.85546875" style="140" customWidth="1"/>
    <col min="14089" max="14089" width="14.42578125" style="140" customWidth="1"/>
    <col min="14090" max="14334" width="9.140625" style="140"/>
    <col min="14335" max="14335" width="2.7109375" style="140" customWidth="1"/>
    <col min="14336" max="14336" width="9.140625" style="140"/>
    <col min="14337" max="14337" width="40.28515625" style="140" bestFit="1" customWidth="1"/>
    <col min="14338" max="14338" width="10" style="140" customWidth="1"/>
    <col min="14339" max="14339" width="10.140625" style="140" customWidth="1"/>
    <col min="14340" max="14340" width="12.28515625" style="140" customWidth="1"/>
    <col min="14341" max="14341" width="15.7109375" style="140" customWidth="1"/>
    <col min="14342" max="14342" width="12.85546875" style="140" customWidth="1"/>
    <col min="14343" max="14343" width="12.7109375" style="140" customWidth="1"/>
    <col min="14344" max="14344" width="12.85546875" style="140" customWidth="1"/>
    <col min="14345" max="14345" width="14.42578125" style="140" customWidth="1"/>
    <col min="14346" max="14590" width="9.140625" style="140"/>
    <col min="14591" max="14591" width="2.7109375" style="140" customWidth="1"/>
    <col min="14592" max="14592" width="9.140625" style="140"/>
    <col min="14593" max="14593" width="40.28515625" style="140" bestFit="1" customWidth="1"/>
    <col min="14594" max="14594" width="10" style="140" customWidth="1"/>
    <col min="14595" max="14595" width="10.140625" style="140" customWidth="1"/>
    <col min="14596" max="14596" width="12.28515625" style="140" customWidth="1"/>
    <col min="14597" max="14597" width="15.7109375" style="140" customWidth="1"/>
    <col min="14598" max="14598" width="12.85546875" style="140" customWidth="1"/>
    <col min="14599" max="14599" width="12.7109375" style="140" customWidth="1"/>
    <col min="14600" max="14600" width="12.85546875" style="140" customWidth="1"/>
    <col min="14601" max="14601" width="14.42578125" style="140" customWidth="1"/>
    <col min="14602" max="14846" width="9.140625" style="140"/>
    <col min="14847" max="14847" width="2.7109375" style="140" customWidth="1"/>
    <col min="14848" max="14848" width="9.140625" style="140"/>
    <col min="14849" max="14849" width="40.28515625" style="140" bestFit="1" customWidth="1"/>
    <col min="14850" max="14850" width="10" style="140" customWidth="1"/>
    <col min="14851" max="14851" width="10.140625" style="140" customWidth="1"/>
    <col min="14852" max="14852" width="12.28515625" style="140" customWidth="1"/>
    <col min="14853" max="14853" width="15.7109375" style="140" customWidth="1"/>
    <col min="14854" max="14854" width="12.85546875" style="140" customWidth="1"/>
    <col min="14855" max="14855" width="12.7109375" style="140" customWidth="1"/>
    <col min="14856" max="14856" width="12.85546875" style="140" customWidth="1"/>
    <col min="14857" max="14857" width="14.42578125" style="140" customWidth="1"/>
    <col min="14858" max="15102" width="9.140625" style="140"/>
    <col min="15103" max="15103" width="2.7109375" style="140" customWidth="1"/>
    <col min="15104" max="15104" width="9.140625" style="140"/>
    <col min="15105" max="15105" width="40.28515625" style="140" bestFit="1" customWidth="1"/>
    <col min="15106" max="15106" width="10" style="140" customWidth="1"/>
    <col min="15107" max="15107" width="10.140625" style="140" customWidth="1"/>
    <col min="15108" max="15108" width="12.28515625" style="140" customWidth="1"/>
    <col min="15109" max="15109" width="15.7109375" style="140" customWidth="1"/>
    <col min="15110" max="15110" width="12.85546875" style="140" customWidth="1"/>
    <col min="15111" max="15111" width="12.7109375" style="140" customWidth="1"/>
    <col min="15112" max="15112" width="12.85546875" style="140" customWidth="1"/>
    <col min="15113" max="15113" width="14.42578125" style="140" customWidth="1"/>
    <col min="15114" max="15358" width="9.140625" style="140"/>
    <col min="15359" max="15359" width="2.7109375" style="140" customWidth="1"/>
    <col min="15360" max="15360" width="9.140625" style="140"/>
    <col min="15361" max="15361" width="40.28515625" style="140" bestFit="1" customWidth="1"/>
    <col min="15362" max="15362" width="10" style="140" customWidth="1"/>
    <col min="15363" max="15363" width="10.140625" style="140" customWidth="1"/>
    <col min="15364" max="15364" width="12.28515625" style="140" customWidth="1"/>
    <col min="15365" max="15365" width="15.7109375" style="140" customWidth="1"/>
    <col min="15366" max="15366" width="12.85546875" style="140" customWidth="1"/>
    <col min="15367" max="15367" width="12.7109375" style="140" customWidth="1"/>
    <col min="15368" max="15368" width="12.85546875" style="140" customWidth="1"/>
    <col min="15369" max="15369" width="14.42578125" style="140" customWidth="1"/>
    <col min="15370" max="15614" width="9.140625" style="140"/>
    <col min="15615" max="15615" width="2.7109375" style="140" customWidth="1"/>
    <col min="15616" max="15616" width="9.140625" style="140"/>
    <col min="15617" max="15617" width="40.28515625" style="140" bestFit="1" customWidth="1"/>
    <col min="15618" max="15618" width="10" style="140" customWidth="1"/>
    <col min="15619" max="15619" width="10.140625" style="140" customWidth="1"/>
    <col min="15620" max="15620" width="12.28515625" style="140" customWidth="1"/>
    <col min="15621" max="15621" width="15.7109375" style="140" customWidth="1"/>
    <col min="15622" max="15622" width="12.85546875" style="140" customWidth="1"/>
    <col min="15623" max="15623" width="12.7109375" style="140" customWidth="1"/>
    <col min="15624" max="15624" width="12.85546875" style="140" customWidth="1"/>
    <col min="15625" max="15625" width="14.42578125" style="140" customWidth="1"/>
    <col min="15626" max="15870" width="9.140625" style="140"/>
    <col min="15871" max="15871" width="2.7109375" style="140" customWidth="1"/>
    <col min="15872" max="15872" width="9.140625" style="140"/>
    <col min="15873" max="15873" width="40.28515625" style="140" bestFit="1" customWidth="1"/>
    <col min="15874" max="15874" width="10" style="140" customWidth="1"/>
    <col min="15875" max="15875" width="10.140625" style="140" customWidth="1"/>
    <col min="15876" max="15876" width="12.28515625" style="140" customWidth="1"/>
    <col min="15877" max="15877" width="15.7109375" style="140" customWidth="1"/>
    <col min="15878" max="15878" width="12.85546875" style="140" customWidth="1"/>
    <col min="15879" max="15879" width="12.7109375" style="140" customWidth="1"/>
    <col min="15880" max="15880" width="12.85546875" style="140" customWidth="1"/>
    <col min="15881" max="15881" width="14.42578125" style="140" customWidth="1"/>
    <col min="15882" max="16126" width="9.140625" style="140"/>
    <col min="16127" max="16127" width="2.7109375" style="140" customWidth="1"/>
    <col min="16128" max="16128" width="9.140625" style="140"/>
    <col min="16129" max="16129" width="40.28515625" style="140" bestFit="1" customWidth="1"/>
    <col min="16130" max="16130" width="10" style="140" customWidth="1"/>
    <col min="16131" max="16131" width="10.140625" style="140" customWidth="1"/>
    <col min="16132" max="16132" width="12.28515625" style="140" customWidth="1"/>
    <col min="16133" max="16133" width="15.7109375" style="140" customWidth="1"/>
    <col min="16134" max="16134" width="12.85546875" style="140" customWidth="1"/>
    <col min="16135" max="16135" width="12.7109375" style="140" customWidth="1"/>
    <col min="16136" max="16136" width="12.85546875" style="140" customWidth="1"/>
    <col min="16137" max="16137" width="14.42578125" style="140" customWidth="1"/>
    <col min="16138" max="16384" width="9.140625" style="140"/>
  </cols>
  <sheetData>
    <row r="1" spans="1:11" x14ac:dyDescent="0.2">
      <c r="C1" s="337"/>
      <c r="D1" s="336"/>
      <c r="E1" s="337"/>
      <c r="F1" s="337"/>
      <c r="G1" s="334" t="s">
        <v>394</v>
      </c>
      <c r="H1" s="253" t="str">
        <f>EBNUMBER</f>
        <v>EB-2015-0089</v>
      </c>
      <c r="J1" s="337"/>
    </row>
    <row r="2" spans="1:11" x14ac:dyDescent="0.2">
      <c r="C2" s="337"/>
      <c r="D2" s="336"/>
      <c r="E2" s="337"/>
      <c r="F2" s="337"/>
      <c r="G2" s="334" t="s">
        <v>395</v>
      </c>
      <c r="H2" s="136">
        <v>4</v>
      </c>
      <c r="J2" s="337"/>
    </row>
    <row r="3" spans="1:11" x14ac:dyDescent="0.2">
      <c r="C3" s="337"/>
      <c r="D3" s="336"/>
      <c r="E3" s="337"/>
      <c r="F3" s="337"/>
      <c r="G3" s="334" t="s">
        <v>396</v>
      </c>
      <c r="H3" s="136" t="s">
        <v>2456</v>
      </c>
      <c r="J3" s="337"/>
    </row>
    <row r="4" spans="1:11" x14ac:dyDescent="0.2">
      <c r="C4" s="337"/>
      <c r="D4" s="336"/>
      <c r="E4" s="337"/>
      <c r="F4" s="337"/>
      <c r="G4" s="334" t="s">
        <v>397</v>
      </c>
      <c r="H4" s="136" t="s">
        <v>2419</v>
      </c>
      <c r="J4" s="337"/>
    </row>
    <row r="5" spans="1:11" x14ac:dyDescent="0.2">
      <c r="C5" s="337"/>
      <c r="D5" s="336"/>
      <c r="E5" s="337"/>
      <c r="F5" s="337"/>
      <c r="G5" s="334" t="s">
        <v>398</v>
      </c>
      <c r="H5" s="1514">
        <v>72</v>
      </c>
      <c r="J5" s="337"/>
    </row>
    <row r="6" spans="1:11" x14ac:dyDescent="0.2">
      <c r="C6" s="337"/>
      <c r="D6" s="336"/>
      <c r="E6" s="337"/>
      <c r="F6" s="337"/>
      <c r="G6" s="334"/>
      <c r="H6" s="1513"/>
      <c r="J6" s="337"/>
    </row>
    <row r="7" spans="1:11" x14ac:dyDescent="0.2">
      <c r="C7" s="337"/>
      <c r="D7" s="336"/>
      <c r="E7" s="337"/>
      <c r="F7" s="337"/>
      <c r="G7" s="334" t="s">
        <v>399</v>
      </c>
      <c r="H7" s="1838" t="s">
        <v>2455</v>
      </c>
      <c r="J7" s="394"/>
    </row>
    <row r="9" spans="1:11" ht="18" x14ac:dyDescent="0.2">
      <c r="A9" s="2083" t="s">
        <v>1812</v>
      </c>
      <c r="B9" s="2083"/>
      <c r="C9" s="2083"/>
      <c r="D9" s="2083"/>
      <c r="E9" s="2083"/>
      <c r="F9" s="2083"/>
      <c r="G9" s="2083"/>
      <c r="H9" s="2083"/>
      <c r="I9" s="495"/>
    </row>
    <row r="10" spans="1:11" ht="18" x14ac:dyDescent="0.2">
      <c r="A10" s="2083" t="s">
        <v>3</v>
      </c>
      <c r="B10" s="2083"/>
      <c r="C10" s="2083"/>
      <c r="D10" s="2083"/>
      <c r="E10" s="2083"/>
      <c r="F10" s="2083"/>
      <c r="G10" s="2083"/>
      <c r="H10" s="2083"/>
      <c r="I10" s="2083"/>
    </row>
    <row r="11" spans="1:11" ht="24" customHeight="1" x14ac:dyDescent="0.2">
      <c r="A11" s="2076" t="s">
        <v>1853</v>
      </c>
      <c r="B11" s="2076"/>
      <c r="C11" s="2076"/>
      <c r="D11" s="2076"/>
      <c r="E11" s="2076"/>
      <c r="F11" s="2076"/>
      <c r="G11" s="2076"/>
      <c r="H11" s="2076"/>
      <c r="I11" s="456"/>
      <c r="J11" s="456"/>
      <c r="K11" s="496"/>
    </row>
    <row r="12" spans="1:11" ht="24" customHeight="1" x14ac:dyDescent="0.2">
      <c r="A12" s="1479"/>
      <c r="B12" s="1479"/>
      <c r="C12" s="1479"/>
      <c r="D12" s="1479"/>
      <c r="E12" s="1479"/>
      <c r="F12" s="1479"/>
      <c r="G12" s="1479"/>
      <c r="H12" s="1479"/>
      <c r="I12" s="456"/>
      <c r="J12" s="456"/>
      <c r="K12" s="496"/>
    </row>
    <row r="13" spans="1:11" ht="15.75" customHeight="1" x14ac:dyDescent="0.25">
      <c r="A13" s="1467"/>
      <c r="D13" s="435">
        <v>2015</v>
      </c>
      <c r="E13" s="497" t="s">
        <v>152</v>
      </c>
      <c r="F13" s="497" t="s">
        <v>2436</v>
      </c>
      <c r="G13" s="497"/>
      <c r="H13" s="497"/>
    </row>
    <row r="14" spans="1:11" ht="13.5" thickBot="1" x14ac:dyDescent="0.25"/>
    <row r="15" spans="1:11" ht="62.25" customHeight="1" x14ac:dyDescent="0.2">
      <c r="A15" s="474" t="s">
        <v>4</v>
      </c>
      <c r="B15" s="2072" t="s">
        <v>324</v>
      </c>
      <c r="C15" s="404" t="s">
        <v>326</v>
      </c>
      <c r="D15" s="404" t="s">
        <v>489</v>
      </c>
      <c r="E15" s="404" t="s">
        <v>479</v>
      </c>
      <c r="F15" s="438" t="s">
        <v>1530</v>
      </c>
      <c r="G15" s="2079" t="s">
        <v>1605</v>
      </c>
      <c r="H15" s="438" t="s">
        <v>482</v>
      </c>
      <c r="I15" s="438" t="s">
        <v>1805</v>
      </c>
      <c r="J15" s="2079" t="s">
        <v>616</v>
      </c>
      <c r="K15" s="438" t="s">
        <v>1806</v>
      </c>
    </row>
    <row r="16" spans="1:11" ht="52.5" customHeight="1" thickBot="1" x14ac:dyDescent="0.25">
      <c r="A16" s="475"/>
      <c r="B16" s="2078"/>
      <c r="C16" s="439" t="s">
        <v>6</v>
      </c>
      <c r="D16" s="439" t="s">
        <v>8</v>
      </c>
      <c r="E16" s="439" t="s">
        <v>9</v>
      </c>
      <c r="F16" s="457" t="s">
        <v>1531</v>
      </c>
      <c r="G16" s="2080"/>
      <c r="H16" s="442" t="s">
        <v>476</v>
      </c>
      <c r="I16" s="442" t="s">
        <v>491</v>
      </c>
      <c r="J16" s="2081"/>
      <c r="K16" s="458" t="s">
        <v>1807</v>
      </c>
    </row>
    <row r="17" spans="1:11" ht="13.5" thickBot="1" x14ac:dyDescent="0.25">
      <c r="A17" s="1551">
        <v>1609</v>
      </c>
      <c r="B17" s="355" t="s">
        <v>2159</v>
      </c>
      <c r="C17" s="356">
        <f>+'App.2-BA_Fixed Asset Cont'!E449</f>
        <v>0</v>
      </c>
      <c r="D17" s="459">
        <f>+'App.2-CI_MIFRS_DepExp_2014'!D17</f>
        <v>40</v>
      </c>
      <c r="E17" s="479">
        <f t="shared" ref="E17" si="0">IF(D17=0,0,1/D17)</f>
        <v>2.5000000000000001E-2</v>
      </c>
      <c r="F17" s="374">
        <f>IF(D17=0,'App.2-CI_MIFRS_DepExp_2014'!K17,+'App.2-CI_MIFRS_DepExp_2014'!K17+((C17*0.5)/D17))</f>
        <v>3058.7249999999999</v>
      </c>
      <c r="G17" s="356">
        <f>-'App.2-BA_Fixed Asset Cont'!J449</f>
        <v>3059</v>
      </c>
      <c r="H17" s="374">
        <f t="shared" ref="H17" si="1">IF(ISERROR(+F17-G17), 0, +F17-G17)</f>
        <v>-0.27500000000009095</v>
      </c>
      <c r="I17" s="374">
        <f>IF(D17=0,0,+(C17)/D17)</f>
        <v>0</v>
      </c>
      <c r="J17" s="356"/>
      <c r="K17" s="374">
        <f>IF(ISERROR(+I17+'App.2-CI_MIFRS_DepExp_2014'!K17-J17), 0, +I17+'App.2-CI_MIFRS_DepExp_2014'!K17-J17)</f>
        <v>3058.7249999999999</v>
      </c>
    </row>
    <row r="18" spans="1:11" ht="25.5" x14ac:dyDescent="0.2">
      <c r="A18" s="476">
        <v>1611</v>
      </c>
      <c r="B18" s="477" t="s">
        <v>475</v>
      </c>
      <c r="C18" s="356">
        <f>+'App.2-BA_Fixed Asset Cont'!E450</f>
        <v>291170</v>
      </c>
      <c r="D18" s="459">
        <f>+'App.2-CI_MIFRS_DepExp_2014'!D18</f>
        <v>5</v>
      </c>
      <c r="E18" s="479">
        <f t="shared" ref="E18:E56" si="2">IF(D18=0,0,1/D18)</f>
        <v>0.2</v>
      </c>
      <c r="F18" s="374">
        <f>IF(D18=0,'App.2-CI_MIFRS_DepExp_2014'!K18,+'App.2-CI_MIFRS_DepExp_2014'!K18+((C18*0.5)/D18))</f>
        <v>152824.17512953369</v>
      </c>
      <c r="G18" s="356">
        <f>-'App.2-BA_Fixed Asset Cont'!J450</f>
        <v>140718</v>
      </c>
      <c r="H18" s="374">
        <f t="shared" ref="H18:H56" si="3">IF(ISERROR(+F18-G18), 0, +F18-G18)</f>
        <v>12106.175129533687</v>
      </c>
      <c r="I18" s="374">
        <f>IF(D18=0,0,+(C18)/D18)</f>
        <v>58234</v>
      </c>
      <c r="J18" s="356">
        <v>12106</v>
      </c>
      <c r="K18" s="374">
        <f>IF(ISERROR(+I18+'App.2-CI_MIFRS_DepExp_2014'!K18-J18), 0, +I18+'App.2-CI_MIFRS_DepExp_2014'!K18-J18)</f>
        <v>169835.17512953369</v>
      </c>
    </row>
    <row r="19" spans="1:11" x14ac:dyDescent="0.2">
      <c r="A19" s="1477">
        <v>1612</v>
      </c>
      <c r="B19" s="355" t="s">
        <v>563</v>
      </c>
      <c r="C19" s="356">
        <f>+'App.2-BA_Fixed Asset Cont'!E451</f>
        <v>0</v>
      </c>
      <c r="D19" s="459">
        <f>+'App.2-CI_MIFRS_DepExp_2014'!D19</f>
        <v>0</v>
      </c>
      <c r="E19" s="413">
        <f t="shared" si="2"/>
        <v>0</v>
      </c>
      <c r="F19" s="374">
        <f>IF(D19=0,'App.2-CI_MIFRS_DepExp_2014'!K19,+'App.2-CI_MIFRS_DepExp_2014'!K19+((C19*0.5)/D19))</f>
        <v>0</v>
      </c>
      <c r="G19" s="356">
        <f>-'App.2-BA_Fixed Asset Cont'!J451</f>
        <v>0</v>
      </c>
      <c r="H19" s="374">
        <f t="shared" si="3"/>
        <v>0</v>
      </c>
      <c r="I19" s="374">
        <f t="shared" ref="I19:I56" si="4">IF(D19=0,0,+(C19)/D19)</f>
        <v>0</v>
      </c>
      <c r="J19" s="356"/>
      <c r="K19" s="374">
        <f>IF(ISERROR(+I19+'App.2-CI_MIFRS_DepExp_2014'!K19-J19), 0, +I19+'App.2-CI_MIFRS_DepExp_2014'!K19-J19)</f>
        <v>0</v>
      </c>
    </row>
    <row r="20" spans="1:11" x14ac:dyDescent="0.2">
      <c r="A20" s="414">
        <v>1805</v>
      </c>
      <c r="B20" s="362" t="s">
        <v>358</v>
      </c>
      <c r="C20" s="356">
        <f>+'App.2-BA_Fixed Asset Cont'!E452</f>
        <v>0</v>
      </c>
      <c r="D20" s="459">
        <f>+'App.2-CI_MIFRS_DepExp_2014'!D20</f>
        <v>0</v>
      </c>
      <c r="E20" s="413">
        <f t="shared" si="2"/>
        <v>0</v>
      </c>
      <c r="F20" s="374">
        <f>IF(D20=0,'App.2-CI_MIFRS_DepExp_2014'!K20,+'App.2-CI_MIFRS_DepExp_2014'!K20+((C20*0.5)/D20))</f>
        <v>0</v>
      </c>
      <c r="G20" s="356">
        <f>-'App.2-BA_Fixed Asset Cont'!J452</f>
        <v>0</v>
      </c>
      <c r="H20" s="374">
        <f t="shared" si="3"/>
        <v>0</v>
      </c>
      <c r="I20" s="374">
        <f t="shared" si="4"/>
        <v>0</v>
      </c>
      <c r="J20" s="356"/>
      <c r="K20" s="374">
        <f>IF(ISERROR(+I20+'App.2-CI_MIFRS_DepExp_2014'!K20-J20), 0, +I20+'App.2-CI_MIFRS_DepExp_2014'!K20-J20)</f>
        <v>0</v>
      </c>
    </row>
    <row r="21" spans="1:11" x14ac:dyDescent="0.2">
      <c r="A21" s="1477">
        <v>1808</v>
      </c>
      <c r="B21" s="363" t="s">
        <v>359</v>
      </c>
      <c r="C21" s="356">
        <f>+'App.2-BA_Fixed Asset Cont'!E453</f>
        <v>0</v>
      </c>
      <c r="D21" s="459">
        <f>+'App.2-CI_MIFRS_DepExp_2014'!D21</f>
        <v>0</v>
      </c>
      <c r="E21" s="413">
        <f t="shared" si="2"/>
        <v>0</v>
      </c>
      <c r="F21" s="374">
        <f>IF(D21=0,'App.2-CI_MIFRS_DepExp_2014'!K21,+'App.2-CI_MIFRS_DepExp_2014'!K21+((C21*0.5)/D21))</f>
        <v>0</v>
      </c>
      <c r="G21" s="356">
        <f>-'App.2-BA_Fixed Asset Cont'!J453</f>
        <v>0</v>
      </c>
      <c r="H21" s="374">
        <f t="shared" si="3"/>
        <v>0</v>
      </c>
      <c r="I21" s="374">
        <f t="shared" si="4"/>
        <v>0</v>
      </c>
      <c r="J21" s="356"/>
      <c r="K21" s="374">
        <f>IF(ISERROR(+I21+'App.2-CI_MIFRS_DepExp_2014'!K21-J21), 0, +I21+'App.2-CI_MIFRS_DepExp_2014'!K21-J21)</f>
        <v>0</v>
      </c>
    </row>
    <row r="22" spans="1:11" x14ac:dyDescent="0.2">
      <c r="A22" s="1477">
        <v>1810</v>
      </c>
      <c r="B22" s="363" t="s">
        <v>392</v>
      </c>
      <c r="C22" s="356">
        <f>+'App.2-BA_Fixed Asset Cont'!E454</f>
        <v>0</v>
      </c>
      <c r="D22" s="459">
        <f>+'App.2-CI_MIFRS_DepExp_2014'!D22</f>
        <v>0</v>
      </c>
      <c r="E22" s="413">
        <f t="shared" si="2"/>
        <v>0</v>
      </c>
      <c r="F22" s="374">
        <f>IF(D22=0,'App.2-CI_MIFRS_DepExp_2014'!K22,+'App.2-CI_MIFRS_DepExp_2014'!K22+((C22*0.5)/D22))</f>
        <v>0</v>
      </c>
      <c r="G22" s="356">
        <f>-'App.2-BA_Fixed Asset Cont'!J454</f>
        <v>0</v>
      </c>
      <c r="H22" s="374">
        <f t="shared" si="3"/>
        <v>0</v>
      </c>
      <c r="I22" s="374">
        <f t="shared" si="4"/>
        <v>0</v>
      </c>
      <c r="J22" s="356"/>
      <c r="K22" s="374">
        <f>IF(ISERROR(+I22+'App.2-CI_MIFRS_DepExp_2014'!K22-J22), 0, +I22+'App.2-CI_MIFRS_DepExp_2014'!K22-J22)</f>
        <v>0</v>
      </c>
    </row>
    <row r="23" spans="1:11" x14ac:dyDescent="0.2">
      <c r="A23" s="1477">
        <v>1815</v>
      </c>
      <c r="B23" s="363" t="s">
        <v>360</v>
      </c>
      <c r="C23" s="356">
        <f>+'App.2-BA_Fixed Asset Cont'!E455</f>
        <v>0</v>
      </c>
      <c r="D23" s="459">
        <f>+'App.2-CI_MIFRS_DepExp_2014'!D23</f>
        <v>0</v>
      </c>
      <c r="E23" s="413">
        <f t="shared" si="2"/>
        <v>0</v>
      </c>
      <c r="F23" s="374">
        <f>IF(D23=0,'App.2-CI_MIFRS_DepExp_2014'!K23,+'App.2-CI_MIFRS_DepExp_2014'!K23+((C23*0.5)/D23))</f>
        <v>0</v>
      </c>
      <c r="G23" s="356">
        <f>-'App.2-BA_Fixed Asset Cont'!J455</f>
        <v>0</v>
      </c>
      <c r="H23" s="374">
        <f t="shared" si="3"/>
        <v>0</v>
      </c>
      <c r="I23" s="374">
        <f t="shared" si="4"/>
        <v>0</v>
      </c>
      <c r="J23" s="356"/>
      <c r="K23" s="374">
        <f>IF(ISERROR(+I23+'App.2-CI_MIFRS_DepExp_2014'!K23-J23), 0, +I23+'App.2-CI_MIFRS_DepExp_2014'!K23-J23)</f>
        <v>0</v>
      </c>
    </row>
    <row r="24" spans="1:11" x14ac:dyDescent="0.2">
      <c r="A24" s="1477">
        <v>1820</v>
      </c>
      <c r="B24" s="355" t="s">
        <v>287</v>
      </c>
      <c r="C24" s="356">
        <f>+'App.2-BA_Fixed Asset Cont'!E456</f>
        <v>0</v>
      </c>
      <c r="D24" s="459">
        <f>+'App.2-CI_MIFRS_DepExp_2014'!D24</f>
        <v>45</v>
      </c>
      <c r="E24" s="413">
        <f t="shared" si="2"/>
        <v>2.2222222222222223E-2</v>
      </c>
      <c r="F24" s="374">
        <f>IF(D24=0,'App.2-CI_MIFRS_DepExp_2014'!K24,+'App.2-CI_MIFRS_DepExp_2014'!K24+((C24*0.5)/D24))</f>
        <v>22995.838445807753</v>
      </c>
      <c r="G24" s="356">
        <f>-'App.2-BA_Fixed Asset Cont'!J456</f>
        <v>23011</v>
      </c>
      <c r="H24" s="374">
        <f t="shared" si="3"/>
        <v>-15.161554192247422</v>
      </c>
      <c r="I24" s="374">
        <f t="shared" si="4"/>
        <v>0</v>
      </c>
      <c r="J24" s="356"/>
      <c r="K24" s="374">
        <f>IF(ISERROR(+I24+'App.2-CI_MIFRS_DepExp_2014'!K24-J24), 0, +I24+'App.2-CI_MIFRS_DepExp_2014'!K24-J24)</f>
        <v>22995.838445807753</v>
      </c>
    </row>
    <row r="25" spans="1:11" x14ac:dyDescent="0.2">
      <c r="A25" s="1477">
        <v>1825</v>
      </c>
      <c r="B25" s="363" t="s">
        <v>361</v>
      </c>
      <c r="C25" s="356">
        <f>+'App.2-BA_Fixed Asset Cont'!E457</f>
        <v>0</v>
      </c>
      <c r="D25" s="459">
        <f>+'App.2-CI_MIFRS_DepExp_2014'!D25</f>
        <v>0</v>
      </c>
      <c r="E25" s="413">
        <f t="shared" si="2"/>
        <v>0</v>
      </c>
      <c r="F25" s="374">
        <f>IF(D25=0,'App.2-CI_MIFRS_DepExp_2014'!K25,+'App.2-CI_MIFRS_DepExp_2014'!K25+((C25*0.5)/D25))</f>
        <v>0</v>
      </c>
      <c r="G25" s="356">
        <f>-'App.2-BA_Fixed Asset Cont'!J457</f>
        <v>0</v>
      </c>
      <c r="H25" s="374">
        <f t="shared" si="3"/>
        <v>0</v>
      </c>
      <c r="I25" s="374">
        <f t="shared" si="4"/>
        <v>0</v>
      </c>
      <c r="J25" s="356"/>
      <c r="K25" s="374">
        <f>IF(ISERROR(+I25+'App.2-CI_MIFRS_DepExp_2014'!K25-J25), 0, +I25+'App.2-CI_MIFRS_DepExp_2014'!K25-J25)</f>
        <v>0</v>
      </c>
    </row>
    <row r="26" spans="1:11" x14ac:dyDescent="0.2">
      <c r="A26" s="1477">
        <v>1830</v>
      </c>
      <c r="B26" s="363" t="s">
        <v>362</v>
      </c>
      <c r="C26" s="356">
        <f>+'App.2-BA_Fixed Asset Cont'!E458</f>
        <v>1092972</v>
      </c>
      <c r="D26" s="459">
        <f>+'App.2-CI_MIFRS_DepExp_2014'!D26</f>
        <v>45</v>
      </c>
      <c r="E26" s="413">
        <f t="shared" si="2"/>
        <v>2.2222222222222223E-2</v>
      </c>
      <c r="F26" s="374">
        <f>IF(D26=0,'App.2-CI_MIFRS_DepExp_2014'!K26,+'App.2-CI_MIFRS_DepExp_2014'!K26+((C26*0.5)/D26))</f>
        <v>515457.46488320711</v>
      </c>
      <c r="G26" s="356">
        <f>-'App.2-BA_Fixed Asset Cont'!J458</f>
        <v>455398</v>
      </c>
      <c r="H26" s="374">
        <f t="shared" si="3"/>
        <v>60059.464883207111</v>
      </c>
      <c r="I26" s="374">
        <f t="shared" si="4"/>
        <v>24288.266666666666</v>
      </c>
      <c r="J26" s="356"/>
      <c r="K26" s="374">
        <f>IF(ISERROR(+I26+'App.2-CI_MIFRS_DepExp_2014'!K26-J26), 0, +I26+'App.2-CI_MIFRS_DepExp_2014'!K26-J26)</f>
        <v>527601.59821654041</v>
      </c>
    </row>
    <row r="27" spans="1:11" x14ac:dyDescent="0.2">
      <c r="A27" s="1477">
        <v>1835</v>
      </c>
      <c r="B27" s="363" t="s">
        <v>288</v>
      </c>
      <c r="C27" s="356">
        <f>+'App.2-BA_Fixed Asset Cont'!E459</f>
        <v>913178</v>
      </c>
      <c r="D27" s="459">
        <f>+'App.2-CI_MIFRS_DepExp_2014'!D27</f>
        <v>45</v>
      </c>
      <c r="E27" s="413">
        <f t="shared" si="2"/>
        <v>2.2222222222222223E-2</v>
      </c>
      <c r="F27" s="374">
        <f>IF(D27=0,'App.2-CI_MIFRS_DepExp_2014'!K27,+'App.2-CI_MIFRS_DepExp_2014'!K27+((C27*0.5)/D27))</f>
        <v>320486.12099131104</v>
      </c>
      <c r="G27" s="356">
        <f>-'App.2-BA_Fixed Asset Cont'!J459</f>
        <v>380485</v>
      </c>
      <c r="H27" s="374">
        <f t="shared" si="3"/>
        <v>-59998.879008688964</v>
      </c>
      <c r="I27" s="374">
        <f t="shared" si="4"/>
        <v>20292.844444444443</v>
      </c>
      <c r="J27" s="356"/>
      <c r="K27" s="374">
        <f>IF(ISERROR(+I27+'App.2-CI_MIFRS_DepExp_2014'!K27-J27), 0, +I27+'App.2-CI_MIFRS_DepExp_2014'!K27-J27)</f>
        <v>330632.5432135333</v>
      </c>
    </row>
    <row r="28" spans="1:11" x14ac:dyDescent="0.2">
      <c r="A28" s="1477">
        <v>1840</v>
      </c>
      <c r="B28" s="363" t="s">
        <v>289</v>
      </c>
      <c r="C28" s="356">
        <f>+'App.2-BA_Fixed Asset Cont'!E460</f>
        <v>1245285</v>
      </c>
      <c r="D28" s="459">
        <f>+'App.2-CI_MIFRS_DepExp_2014'!D28</f>
        <v>40</v>
      </c>
      <c r="E28" s="413">
        <f t="shared" si="2"/>
        <v>2.5000000000000001E-2</v>
      </c>
      <c r="F28" s="374">
        <f>IF(D28=0,'App.2-CI_MIFRS_DepExp_2014'!K28,+'App.2-CI_MIFRS_DepExp_2014'!K28+((C28*0.5)/D28))</f>
        <v>555716.90034194535</v>
      </c>
      <c r="G28" s="356">
        <f>-'App.2-BA_Fixed Asset Cont'!J460</f>
        <v>567106</v>
      </c>
      <c r="H28" s="374">
        <f t="shared" si="3"/>
        <v>-11389.099658054649</v>
      </c>
      <c r="I28" s="374">
        <f t="shared" si="4"/>
        <v>31132.125</v>
      </c>
      <c r="J28" s="356"/>
      <c r="K28" s="374">
        <f>IF(ISERROR(+I28+'App.2-CI_MIFRS_DepExp_2014'!K28-J28), 0, +I28+'App.2-CI_MIFRS_DepExp_2014'!K28-J28)</f>
        <v>571282.96284194535</v>
      </c>
    </row>
    <row r="29" spans="1:11" x14ac:dyDescent="0.2">
      <c r="A29" s="1477">
        <v>1845</v>
      </c>
      <c r="B29" s="363" t="s">
        <v>290</v>
      </c>
      <c r="C29" s="356">
        <f>+'App.2-BA_Fixed Asset Cont'!E461</f>
        <v>811878</v>
      </c>
      <c r="D29" s="459">
        <f>+'App.2-CI_MIFRS_DepExp_2014'!D29</f>
        <v>40</v>
      </c>
      <c r="E29" s="413">
        <f t="shared" si="2"/>
        <v>2.5000000000000001E-2</v>
      </c>
      <c r="F29" s="374">
        <f>IF(D29=0,'App.2-CI_MIFRS_DepExp_2014'!K29,+'App.2-CI_MIFRS_DepExp_2014'!K29+((C29*0.5)/D29))</f>
        <v>381104.16130653262</v>
      </c>
      <c r="G29" s="356">
        <f>-'App.2-BA_Fixed Asset Cont'!J461</f>
        <v>369731</v>
      </c>
      <c r="H29" s="374">
        <f t="shared" si="3"/>
        <v>11373.161306532624</v>
      </c>
      <c r="I29" s="374">
        <f t="shared" si="4"/>
        <v>20296.95</v>
      </c>
      <c r="J29" s="356"/>
      <c r="K29" s="374">
        <f>IF(ISERROR(+I29+'App.2-CI_MIFRS_DepExp_2014'!K29-J29), 0, +I29+'App.2-CI_MIFRS_DepExp_2014'!K29-J29)</f>
        <v>391252.63630653266</v>
      </c>
    </row>
    <row r="30" spans="1:11" x14ac:dyDescent="0.2">
      <c r="A30" s="1477">
        <v>1850</v>
      </c>
      <c r="B30" s="363" t="s">
        <v>363</v>
      </c>
      <c r="C30" s="356">
        <f>+'App.2-BA_Fixed Asset Cont'!E462</f>
        <v>890846</v>
      </c>
      <c r="D30" s="459">
        <f>+'App.2-CI_MIFRS_DepExp_2014'!D30</f>
        <v>40</v>
      </c>
      <c r="E30" s="413">
        <f t="shared" si="2"/>
        <v>2.5000000000000001E-2</v>
      </c>
      <c r="F30" s="374">
        <f>IF(D30=0,'App.2-CI_MIFRS_DepExp_2014'!K30,+'App.2-CI_MIFRS_DepExp_2014'!K30+((C30*0.5)/D30))</f>
        <v>716877.87270523049</v>
      </c>
      <c r="G30" s="356">
        <f>-'App.2-BA_Fixed Asset Cont'!J462</f>
        <v>712642</v>
      </c>
      <c r="H30" s="374">
        <f t="shared" si="3"/>
        <v>4235.8727052304894</v>
      </c>
      <c r="I30" s="374">
        <f t="shared" si="4"/>
        <v>22271.15</v>
      </c>
      <c r="J30" s="356"/>
      <c r="K30" s="374">
        <f>IF(ISERROR(+I30+'App.2-CI_MIFRS_DepExp_2014'!K30-J30), 0, +I30+'App.2-CI_MIFRS_DepExp_2014'!K30-J30)</f>
        <v>728013.44770523056</v>
      </c>
    </row>
    <row r="31" spans="1:11" x14ac:dyDescent="0.2">
      <c r="A31" s="1477">
        <v>1855</v>
      </c>
      <c r="B31" s="363" t="s">
        <v>291</v>
      </c>
      <c r="C31" s="356">
        <f>+'App.2-BA_Fixed Asset Cont'!E463</f>
        <v>628445</v>
      </c>
      <c r="D31" s="459">
        <f>+'App.2-CI_MIFRS_DepExp_2014'!D31</f>
        <v>40</v>
      </c>
      <c r="E31" s="413">
        <f t="shared" si="2"/>
        <v>2.5000000000000001E-2</v>
      </c>
      <c r="F31" s="374">
        <f>IF(D31=0,'App.2-CI_MIFRS_DepExp_2014'!K31,+'App.2-CI_MIFRS_DepExp_2014'!K31+((C31*0.5)/D31))</f>
        <v>243665.94416666665</v>
      </c>
      <c r="G31" s="356">
        <f>-'App.2-BA_Fixed Asset Cont'!J463</f>
        <v>243666</v>
      </c>
      <c r="H31" s="374">
        <f t="shared" si="3"/>
        <v>-5.583333334652707E-2</v>
      </c>
      <c r="I31" s="374">
        <f t="shared" si="4"/>
        <v>15711.125</v>
      </c>
      <c r="J31" s="356"/>
      <c r="K31" s="374">
        <f>IF(ISERROR(+I31+'App.2-CI_MIFRS_DepExp_2014'!K31-J31), 0, +I31+'App.2-CI_MIFRS_DepExp_2014'!K31-J31)</f>
        <v>251521.50666666665</v>
      </c>
    </row>
    <row r="32" spans="1:11" x14ac:dyDescent="0.2">
      <c r="A32" s="1477">
        <v>1860</v>
      </c>
      <c r="B32" s="363" t="s">
        <v>364</v>
      </c>
      <c r="C32" s="356">
        <f>+'App.2-BA_Fixed Asset Cont'!E464</f>
        <v>0</v>
      </c>
      <c r="D32" s="459">
        <f>+'App.2-CI_MIFRS_DepExp_2014'!D32</f>
        <v>15</v>
      </c>
      <c r="E32" s="413">
        <f t="shared" si="2"/>
        <v>6.6666666666666666E-2</v>
      </c>
      <c r="F32" s="374">
        <f>IF(D32=0,'App.2-CI_MIFRS_DepExp_2014'!K32,+'App.2-CI_MIFRS_DepExp_2014'!K32+((C32*0.5)/D32))</f>
        <v>0</v>
      </c>
      <c r="G32" s="356">
        <f>-'App.2-BA_Fixed Asset Cont'!J464</f>
        <v>0</v>
      </c>
      <c r="H32" s="374">
        <f t="shared" si="3"/>
        <v>0</v>
      </c>
      <c r="I32" s="374">
        <f t="shared" si="4"/>
        <v>0</v>
      </c>
      <c r="J32" s="356"/>
      <c r="K32" s="374">
        <f>IF(ISERROR(+I32+'App.2-CI_MIFRS_DepExp_2014'!K32-J32), 0, +I32+'App.2-CI_MIFRS_DepExp_2014'!K32-J32)</f>
        <v>0</v>
      </c>
    </row>
    <row r="33" spans="1:11" x14ac:dyDescent="0.2">
      <c r="A33" s="414">
        <v>1860</v>
      </c>
      <c r="B33" s="362" t="s">
        <v>292</v>
      </c>
      <c r="C33" s="356">
        <f>+'App.2-BA_Fixed Asset Cont'!E465</f>
        <v>285365</v>
      </c>
      <c r="D33" s="459">
        <f>+'App.2-CI_MIFRS_DepExp_2014'!D33</f>
        <v>15</v>
      </c>
      <c r="E33" s="413">
        <f t="shared" si="2"/>
        <v>6.6666666666666666E-2</v>
      </c>
      <c r="F33" s="374">
        <f>IF(D33=0,'App.2-CI_MIFRS_DepExp_2014'!K33,+'App.2-CI_MIFRS_DepExp_2014'!K33+((C33*0.5)/D33))</f>
        <v>725373.57864864846</v>
      </c>
      <c r="G33" s="356">
        <f>-'App.2-BA_Fixed Asset Cont'!J465</f>
        <v>722424</v>
      </c>
      <c r="H33" s="374">
        <f t="shared" si="3"/>
        <v>2949.5786486484576</v>
      </c>
      <c r="I33" s="374">
        <f t="shared" si="4"/>
        <v>19024.333333333332</v>
      </c>
      <c r="J33" s="356"/>
      <c r="K33" s="374">
        <f>IF(ISERROR(+I33+'App.2-CI_MIFRS_DepExp_2014'!K33-J33), 0, +I33+'App.2-CI_MIFRS_DepExp_2014'!K33-J33)</f>
        <v>734885.7453153152</v>
      </c>
    </row>
    <row r="34" spans="1:11" x14ac:dyDescent="0.2">
      <c r="A34" s="414">
        <v>1905</v>
      </c>
      <c r="B34" s="362" t="s">
        <v>358</v>
      </c>
      <c r="C34" s="356">
        <f>+'App.2-BA_Fixed Asset Cont'!E466</f>
        <v>0</v>
      </c>
      <c r="D34" s="459">
        <f>+'App.2-CI_MIFRS_DepExp_2014'!D34</f>
        <v>0</v>
      </c>
      <c r="E34" s="413">
        <f t="shared" si="2"/>
        <v>0</v>
      </c>
      <c r="F34" s="374">
        <f>IF(D34=0,'App.2-CI_MIFRS_DepExp_2014'!K34,+'App.2-CI_MIFRS_DepExp_2014'!K34+((C34*0.5)/D34))</f>
        <v>0</v>
      </c>
      <c r="G34" s="356">
        <f>-'App.2-BA_Fixed Asset Cont'!J466</f>
        <v>0</v>
      </c>
      <c r="H34" s="374">
        <f t="shared" si="3"/>
        <v>0</v>
      </c>
      <c r="I34" s="374">
        <f t="shared" si="4"/>
        <v>0</v>
      </c>
      <c r="J34" s="356"/>
      <c r="K34" s="374">
        <f>IF(ISERROR(+I34+'App.2-CI_MIFRS_DepExp_2014'!K34-J34), 0, +I34+'App.2-CI_MIFRS_DepExp_2014'!K34-J34)</f>
        <v>0</v>
      </c>
    </row>
    <row r="35" spans="1:11" x14ac:dyDescent="0.2">
      <c r="A35" s="1477">
        <v>1908</v>
      </c>
      <c r="B35" s="363" t="s">
        <v>366</v>
      </c>
      <c r="C35" s="356">
        <f>+'App.2-BA_Fixed Asset Cont'!E467</f>
        <v>8524798</v>
      </c>
      <c r="D35" s="459">
        <v>50</v>
      </c>
      <c r="E35" s="413">
        <f t="shared" si="2"/>
        <v>0.02</v>
      </c>
      <c r="F35" s="374">
        <f>IF(D35=0,'App.2-CI_MIFRS_DepExp_2014'!K35,+'App.2-CI_MIFRS_DepExp_2014'!K35+((C35*0.5)/D35))</f>
        <v>85247.98</v>
      </c>
      <c r="G35" s="356">
        <f>-'App.2-BA_Fixed Asset Cont'!J467</f>
        <v>85247.98</v>
      </c>
      <c r="H35" s="374">
        <f t="shared" si="3"/>
        <v>0</v>
      </c>
      <c r="I35" s="374">
        <f t="shared" si="4"/>
        <v>170495.96</v>
      </c>
      <c r="J35" s="356"/>
      <c r="K35" s="374">
        <f>IF(ISERROR(+I35+'App.2-CI_MIFRS_DepExp_2014'!K35-J35), 0, +I35+'App.2-CI_MIFRS_DepExp_2014'!K35-J35)</f>
        <v>170495.96</v>
      </c>
    </row>
    <row r="36" spans="1:11" x14ac:dyDescent="0.2">
      <c r="A36" s="1477">
        <v>1910</v>
      </c>
      <c r="B36" s="363" t="s">
        <v>392</v>
      </c>
      <c r="C36" s="356">
        <f>+'App.2-BA_Fixed Asset Cont'!E468</f>
        <v>0</v>
      </c>
      <c r="D36" s="459">
        <f>+'App.2-CI_MIFRS_DepExp_2014'!D36</f>
        <v>5</v>
      </c>
      <c r="E36" s="413">
        <f t="shared" si="2"/>
        <v>0.2</v>
      </c>
      <c r="F36" s="374">
        <f>IF(D36=0,'App.2-CI_MIFRS_DepExp_2014'!K36,+'App.2-CI_MIFRS_DepExp_2014'!K36+((C36*0.5)/D36))</f>
        <v>12017.34782608696</v>
      </c>
      <c r="G36" s="356">
        <f>-'App.2-BA_Fixed Asset Cont'!J468</f>
        <v>0</v>
      </c>
      <c r="H36" s="374">
        <f t="shared" si="3"/>
        <v>12017.34782608696</v>
      </c>
      <c r="I36" s="374">
        <f t="shared" si="4"/>
        <v>0</v>
      </c>
      <c r="J36" s="356">
        <v>12017</v>
      </c>
      <c r="K36" s="374">
        <f>IF(ISERROR(+I36+'App.2-CI_MIFRS_DepExp_2014'!K36-J36), 0, +I36+'App.2-CI_MIFRS_DepExp_2014'!K36-J36)</f>
        <v>0.3478260869596852</v>
      </c>
    </row>
    <row r="37" spans="1:11" x14ac:dyDescent="0.2">
      <c r="A37" s="1477">
        <v>1915</v>
      </c>
      <c r="B37" s="363" t="s">
        <v>293</v>
      </c>
      <c r="C37" s="356">
        <f>+'App.2-BA_Fixed Asset Cont'!E469</f>
        <v>400000</v>
      </c>
      <c r="D37" s="459">
        <f>+'App.2-CI_MIFRS_DepExp_2014'!D37</f>
        <v>10</v>
      </c>
      <c r="E37" s="413">
        <f t="shared" si="2"/>
        <v>0.1</v>
      </c>
      <c r="F37" s="374">
        <f>IF(D37=0,'App.2-CI_MIFRS_DepExp_2014'!K37,+'App.2-CI_MIFRS_DepExp_2014'!K37+((C37*0.5)/D37))</f>
        <v>35529.974603174604</v>
      </c>
      <c r="G37" s="356">
        <f>-'App.2-BA_Fixed Asset Cont'!J469</f>
        <v>20000</v>
      </c>
      <c r="H37" s="374">
        <f t="shared" si="3"/>
        <v>15529.974603174604</v>
      </c>
      <c r="I37" s="374">
        <f t="shared" si="4"/>
        <v>40000</v>
      </c>
      <c r="J37" s="356">
        <v>140</v>
      </c>
      <c r="K37" s="374">
        <f>IF(ISERROR(+I37+'App.2-CI_MIFRS_DepExp_2014'!K37-J37), 0, +I37+'App.2-CI_MIFRS_DepExp_2014'!K37-J37)</f>
        <v>55389.974603174604</v>
      </c>
    </row>
    <row r="38" spans="1:11" x14ac:dyDescent="0.2">
      <c r="A38" s="1477">
        <v>1915</v>
      </c>
      <c r="B38" s="363" t="s">
        <v>294</v>
      </c>
      <c r="C38" s="356">
        <f>+'App.2-BA_Fixed Asset Cont'!E470</f>
        <v>0</v>
      </c>
      <c r="D38" s="459">
        <f>+'App.2-CI_MIFRS_DepExp_2014'!D38</f>
        <v>0</v>
      </c>
      <c r="E38" s="413">
        <f t="shared" si="2"/>
        <v>0</v>
      </c>
      <c r="F38" s="374">
        <f>IF(D38=0,'App.2-CI_MIFRS_DepExp_2014'!K38,+'App.2-CI_MIFRS_DepExp_2014'!K38+((C38*0.5)/D38))</f>
        <v>0</v>
      </c>
      <c r="G38" s="356">
        <f>-'App.2-BA_Fixed Asset Cont'!J470</f>
        <v>0</v>
      </c>
      <c r="H38" s="374">
        <f t="shared" si="3"/>
        <v>0</v>
      </c>
      <c r="I38" s="374">
        <f t="shared" si="4"/>
        <v>0</v>
      </c>
      <c r="J38" s="356"/>
      <c r="K38" s="374">
        <f>IF(ISERROR(+I38+'App.2-CI_MIFRS_DepExp_2014'!K38-J38), 0, +I38+'App.2-CI_MIFRS_DepExp_2014'!K38-J38)</f>
        <v>0</v>
      </c>
    </row>
    <row r="39" spans="1:11" x14ac:dyDescent="0.2">
      <c r="A39" s="1477">
        <v>1920</v>
      </c>
      <c r="B39" s="363" t="s">
        <v>295</v>
      </c>
      <c r="C39" s="356">
        <f>+'App.2-BA_Fixed Asset Cont'!E471</f>
        <v>106393</v>
      </c>
      <c r="D39" s="459">
        <f>+'App.2-CI_MIFRS_DepExp_2014'!D39</f>
        <v>5</v>
      </c>
      <c r="E39" s="413">
        <f t="shared" si="2"/>
        <v>0.2</v>
      </c>
      <c r="F39" s="374">
        <f>IF(D39=0,'App.2-CI_MIFRS_DepExp_2014'!K39,+'App.2-CI_MIFRS_DepExp_2014'!K39+((C39*0.5)/D39))</f>
        <v>95411.460919540215</v>
      </c>
      <c r="G39" s="356">
        <f>-'App.2-BA_Fixed Asset Cont'!J471</f>
        <v>87558</v>
      </c>
      <c r="H39" s="374">
        <f t="shared" si="3"/>
        <v>7853.4609195402154</v>
      </c>
      <c r="I39" s="374">
        <f t="shared" si="4"/>
        <v>21278.6</v>
      </c>
      <c r="J39" s="356">
        <v>7854</v>
      </c>
      <c r="K39" s="374">
        <f>IF(ISERROR(+I39+'App.2-CI_MIFRS_DepExp_2014'!K39-J39), 0, +I39+'App.2-CI_MIFRS_DepExp_2014'!K39-J39)</f>
        <v>98196.760919540218</v>
      </c>
    </row>
    <row r="40" spans="1:11" x14ac:dyDescent="0.2">
      <c r="A40" s="415">
        <v>1920</v>
      </c>
      <c r="B40" s="355" t="s">
        <v>297</v>
      </c>
      <c r="C40" s="356">
        <f>+'App.2-BA_Fixed Asset Cont'!E472</f>
        <v>0</v>
      </c>
      <c r="D40" s="459">
        <f>+'App.2-CI_MIFRS_DepExp_2014'!D40</f>
        <v>0</v>
      </c>
      <c r="E40" s="413">
        <f t="shared" si="2"/>
        <v>0</v>
      </c>
      <c r="F40" s="374">
        <f>IF(D40=0,'App.2-CI_MIFRS_DepExp_2014'!K40,+'App.2-CI_MIFRS_DepExp_2014'!K40+((C40*0.5)/D40))</f>
        <v>0</v>
      </c>
      <c r="G40" s="356">
        <f>-'App.2-BA_Fixed Asset Cont'!J472</f>
        <v>0</v>
      </c>
      <c r="H40" s="374">
        <f t="shared" si="3"/>
        <v>0</v>
      </c>
      <c r="I40" s="374">
        <f t="shared" si="4"/>
        <v>0</v>
      </c>
      <c r="J40" s="356"/>
      <c r="K40" s="374">
        <f>IF(ISERROR(+I40+'App.2-CI_MIFRS_DepExp_2014'!K40-J40), 0, +I40+'App.2-CI_MIFRS_DepExp_2014'!K40-J40)</f>
        <v>0</v>
      </c>
    </row>
    <row r="41" spans="1:11" x14ac:dyDescent="0.2">
      <c r="A41" s="415">
        <v>1920</v>
      </c>
      <c r="B41" s="355" t="s">
        <v>296</v>
      </c>
      <c r="C41" s="356">
        <f>+'App.2-BA_Fixed Asset Cont'!E473</f>
        <v>0</v>
      </c>
      <c r="D41" s="459">
        <f>+'App.2-CI_MIFRS_DepExp_2014'!D41</f>
        <v>0</v>
      </c>
      <c r="E41" s="413">
        <f t="shared" si="2"/>
        <v>0</v>
      </c>
      <c r="F41" s="374">
        <f>IF(D41=0,'App.2-CI_MIFRS_DepExp_2014'!K41,+'App.2-CI_MIFRS_DepExp_2014'!K41+((C41*0.5)/D41))</f>
        <v>0</v>
      </c>
      <c r="G41" s="356">
        <f>-'App.2-BA_Fixed Asset Cont'!J473</f>
        <v>0</v>
      </c>
      <c r="H41" s="374">
        <f t="shared" si="3"/>
        <v>0</v>
      </c>
      <c r="I41" s="374">
        <f t="shared" si="4"/>
        <v>0</v>
      </c>
      <c r="J41" s="356"/>
      <c r="K41" s="374">
        <f>IF(ISERROR(+I41+'App.2-CI_MIFRS_DepExp_2014'!K41-J41), 0, +I41+'App.2-CI_MIFRS_DepExp_2014'!K41-J41)</f>
        <v>0</v>
      </c>
    </row>
    <row r="42" spans="1:11" x14ac:dyDescent="0.2">
      <c r="A42" s="1477">
        <v>1930</v>
      </c>
      <c r="B42" s="363" t="s">
        <v>379</v>
      </c>
      <c r="C42" s="356">
        <f>440677-C43</f>
        <v>410677</v>
      </c>
      <c r="D42" s="459">
        <v>12</v>
      </c>
      <c r="E42" s="413">
        <f t="shared" si="2"/>
        <v>8.3333333333333329E-2</v>
      </c>
      <c r="F42" s="374">
        <f>IF(D42=0,'App.2-CI_MIFRS_DepExp_2014'!K42,+'App.2-CI_MIFRS_DepExp_2014'!K42+((C42*0.5)/D42))</f>
        <v>87222.971666666665</v>
      </c>
      <c r="G42" s="356">
        <f>90942.5-3838</f>
        <v>87104.5</v>
      </c>
      <c r="H42" s="374">
        <f t="shared" si="3"/>
        <v>118.47166666666453</v>
      </c>
      <c r="I42" s="374">
        <f t="shared" si="4"/>
        <v>34223.083333333336</v>
      </c>
      <c r="J42" s="356"/>
      <c r="K42" s="374">
        <f>IF(ISERROR(+I42+'App.2-CI_MIFRS_DepExp_2014'!K42-J42), 0, +I42+'App.2-CI_MIFRS_DepExp_2014'!K42-J42)</f>
        <v>104334.51333333334</v>
      </c>
    </row>
    <row r="43" spans="1:11" x14ac:dyDescent="0.2">
      <c r="A43" s="1553">
        <v>1930</v>
      </c>
      <c r="B43" s="363" t="s">
        <v>379</v>
      </c>
      <c r="C43" s="356">
        <v>30000</v>
      </c>
      <c r="D43" s="459">
        <v>8</v>
      </c>
      <c r="E43" s="413">
        <f t="shared" ref="E43" si="5">IF(D43=0,0,1/D43)</f>
        <v>0.125</v>
      </c>
      <c r="F43" s="374">
        <f>IF(D43=0,'App.2-CI_MIFRS_DepExp_2014'!K43,+'App.2-CI_MIFRS_DepExp_2014'!K43+((C43*0.5)/D43))</f>
        <v>70356.903385416692</v>
      </c>
      <c r="G43" s="356">
        <v>70364</v>
      </c>
      <c r="H43" s="374">
        <f t="shared" ref="H43" si="6">IF(ISERROR(+F43-G43), 0, +F43-G43)</f>
        <v>-7.09661458330811</v>
      </c>
      <c r="I43" s="374">
        <f t="shared" ref="I43" si="7">IF(D43=0,0,+(C43)/D43)</f>
        <v>3750</v>
      </c>
      <c r="J43" s="356"/>
      <c r="K43" s="374">
        <f>IF(ISERROR(+I43+'App.2-CI_MIFRS_DepExp_2014'!K43-J43), 0, +I43+'App.2-CI_MIFRS_DepExp_2014'!K43-J43)</f>
        <v>72231.903385416692</v>
      </c>
    </row>
    <row r="44" spans="1:11" x14ac:dyDescent="0.2">
      <c r="A44" s="1477">
        <v>1935</v>
      </c>
      <c r="B44" s="363" t="s">
        <v>380</v>
      </c>
      <c r="C44" s="356">
        <f>+'App.2-BA_Fixed Asset Cont'!E475</f>
        <v>78146</v>
      </c>
      <c r="D44" s="459">
        <f>+'App.2-CI_MIFRS_DepExp_2014'!D44</f>
        <v>12</v>
      </c>
      <c r="E44" s="413">
        <f t="shared" si="2"/>
        <v>8.3333333333333329E-2</v>
      </c>
      <c r="F44" s="374">
        <f>IF(D44=0,'App.2-CI_MIFRS_DepExp_2014'!K44,+'App.2-CI_MIFRS_DepExp_2014'!K44+((C44*0.5)/D44))</f>
        <v>10624.546095238096</v>
      </c>
      <c r="G44" s="356">
        <f>-'App.2-BA_Fixed Asset Cont'!J475</f>
        <v>9324</v>
      </c>
      <c r="H44" s="374">
        <f t="shared" si="3"/>
        <v>1300.5460952380963</v>
      </c>
      <c r="I44" s="374">
        <f t="shared" si="4"/>
        <v>6512.166666666667</v>
      </c>
      <c r="J44" s="356"/>
      <c r="K44" s="374">
        <f>IF(ISERROR(+I44+'App.2-CI_MIFRS_DepExp_2014'!K44-J44), 0, +I44+'App.2-CI_MIFRS_DepExp_2014'!K44-J44)</f>
        <v>13880.629428571428</v>
      </c>
    </row>
    <row r="45" spans="1:11" x14ac:dyDescent="0.2">
      <c r="A45" s="1477">
        <v>1940</v>
      </c>
      <c r="B45" s="363" t="s">
        <v>381</v>
      </c>
      <c r="C45" s="356">
        <f>+'App.2-BA_Fixed Asset Cont'!E476</f>
        <v>28232</v>
      </c>
      <c r="D45" s="459">
        <f>+'App.2-CI_MIFRS_DepExp_2014'!D45</f>
        <v>10</v>
      </c>
      <c r="E45" s="413">
        <f t="shared" si="2"/>
        <v>0.1</v>
      </c>
      <c r="F45" s="374">
        <f>IF(D45=0,'App.2-CI_MIFRS_DepExp_2014'!K45,+'App.2-CI_MIFRS_DepExp_2014'!K45+((C45*0.5)/D45))</f>
        <v>10895.159493670875</v>
      </c>
      <c r="G45" s="356">
        <f>-'App.2-BA_Fixed Asset Cont'!J476</f>
        <v>6715</v>
      </c>
      <c r="H45" s="374">
        <f t="shared" si="3"/>
        <v>4180.1594936708752</v>
      </c>
      <c r="I45" s="374">
        <f t="shared" si="4"/>
        <v>2823.2</v>
      </c>
      <c r="J45" s="356"/>
      <c r="K45" s="374">
        <f>IF(ISERROR(+I45+'App.2-CI_MIFRS_DepExp_2014'!K45-J45), 0, +I45+'App.2-CI_MIFRS_DepExp_2014'!K45-J45)</f>
        <v>12306.759493670874</v>
      </c>
    </row>
    <row r="46" spans="1:11" x14ac:dyDescent="0.2">
      <c r="A46" s="1477">
        <v>1945</v>
      </c>
      <c r="B46" s="363" t="s">
        <v>382</v>
      </c>
      <c r="C46" s="356">
        <f>+'App.2-BA_Fixed Asset Cont'!E477</f>
        <v>0</v>
      </c>
      <c r="D46" s="459">
        <f>+'App.2-CI_MIFRS_DepExp_2014'!D46</f>
        <v>10</v>
      </c>
      <c r="E46" s="413">
        <f t="shared" si="2"/>
        <v>0.1</v>
      </c>
      <c r="F46" s="374">
        <f>IF(D46=0,'App.2-CI_MIFRS_DepExp_2014'!K46,+'App.2-CI_MIFRS_DepExp_2014'!K46+((C46*0.5)/D46))</f>
        <v>9473.8084780388162</v>
      </c>
      <c r="G46" s="356">
        <f>-'App.2-BA_Fixed Asset Cont'!J477</f>
        <v>9476</v>
      </c>
      <c r="H46" s="374">
        <f t="shared" si="3"/>
        <v>-2.1915219611837529</v>
      </c>
      <c r="I46" s="374">
        <f t="shared" si="4"/>
        <v>0</v>
      </c>
      <c r="J46" s="356"/>
      <c r="K46" s="374">
        <f>IF(ISERROR(+I46+'App.2-CI_MIFRS_DepExp_2014'!K46-J46), 0, +I46+'App.2-CI_MIFRS_DepExp_2014'!K46-J46)</f>
        <v>9473.8084780388162</v>
      </c>
    </row>
    <row r="47" spans="1:11" x14ac:dyDescent="0.2">
      <c r="A47" s="1477">
        <v>1950</v>
      </c>
      <c r="B47" s="363" t="s">
        <v>298</v>
      </c>
      <c r="C47" s="356">
        <f>+'App.2-BA_Fixed Asset Cont'!E478</f>
        <v>0</v>
      </c>
      <c r="D47" s="459">
        <f>+'App.2-CI_MIFRS_DepExp_2014'!D47</f>
        <v>0</v>
      </c>
      <c r="E47" s="413">
        <f t="shared" si="2"/>
        <v>0</v>
      </c>
      <c r="F47" s="374">
        <f>IF(D47=0,'App.2-CI_MIFRS_DepExp_2014'!K47,+'App.2-CI_MIFRS_DepExp_2014'!K47+((C47*0.5)/D47))</f>
        <v>0</v>
      </c>
      <c r="G47" s="356">
        <f>-'App.2-BA_Fixed Asset Cont'!J478</f>
        <v>0</v>
      </c>
      <c r="H47" s="374">
        <f t="shared" si="3"/>
        <v>0</v>
      </c>
      <c r="I47" s="374">
        <f t="shared" si="4"/>
        <v>0</v>
      </c>
      <c r="J47" s="356"/>
      <c r="K47" s="374">
        <f>IF(ISERROR(+I47+'App.2-CI_MIFRS_DepExp_2014'!K47-J47), 0, +I47+'App.2-CI_MIFRS_DepExp_2014'!K47-J47)</f>
        <v>0</v>
      </c>
    </row>
    <row r="48" spans="1:11" x14ac:dyDescent="0.2">
      <c r="A48" s="1477">
        <v>1955</v>
      </c>
      <c r="B48" s="363" t="s">
        <v>383</v>
      </c>
      <c r="C48" s="356">
        <f>+'App.2-BA_Fixed Asset Cont'!E479</f>
        <v>360000</v>
      </c>
      <c r="D48" s="459">
        <f>+'App.2-CI_MIFRS_DepExp_2014'!D48</f>
        <v>10</v>
      </c>
      <c r="E48" s="413">
        <f t="shared" si="2"/>
        <v>0.1</v>
      </c>
      <c r="F48" s="374">
        <f>IF(D48=0,'App.2-CI_MIFRS_DepExp_2014'!K48,+'App.2-CI_MIFRS_DepExp_2014'!K48+((C48*0.5)/D48))</f>
        <v>31644.724057450629</v>
      </c>
      <c r="G48" s="356">
        <f>-'App.2-BA_Fixed Asset Cont'!J479</f>
        <v>45247</v>
      </c>
      <c r="H48" s="374">
        <f t="shared" si="3"/>
        <v>-13602.275942549371</v>
      </c>
      <c r="I48" s="374">
        <f t="shared" si="4"/>
        <v>36000</v>
      </c>
      <c r="J48" s="356">
        <v>1788</v>
      </c>
      <c r="K48" s="374">
        <f>IF(ISERROR(+I48+'App.2-CI_MIFRS_DepExp_2014'!K48-J48), 0, +I48+'App.2-CI_MIFRS_DepExp_2014'!K48-J48)</f>
        <v>47856.724057450629</v>
      </c>
    </row>
    <row r="49" spans="1:11" x14ac:dyDescent="0.2">
      <c r="A49" s="416">
        <v>1955</v>
      </c>
      <c r="B49" s="367" t="s">
        <v>299</v>
      </c>
      <c r="C49" s="356">
        <f>+'App.2-BA_Fixed Asset Cont'!E480</f>
        <v>0</v>
      </c>
      <c r="D49" s="459">
        <f>+'App.2-CI_MIFRS_DepExp_2014'!D49</f>
        <v>0</v>
      </c>
      <c r="E49" s="413">
        <f t="shared" si="2"/>
        <v>0</v>
      </c>
      <c r="F49" s="374">
        <f>IF(D49=0,'App.2-CI_MIFRS_DepExp_2014'!K49,+'App.2-CI_MIFRS_DepExp_2014'!K49+((C49*0.5)/D49))</f>
        <v>0</v>
      </c>
      <c r="G49" s="356">
        <f>-'App.2-BA_Fixed Asset Cont'!J480</f>
        <v>0</v>
      </c>
      <c r="H49" s="374">
        <f t="shared" si="3"/>
        <v>0</v>
      </c>
      <c r="I49" s="374">
        <f t="shared" si="4"/>
        <v>0</v>
      </c>
      <c r="J49" s="356"/>
      <c r="K49" s="374">
        <f>IF(ISERROR(+I49+'App.2-CI_MIFRS_DepExp_2014'!K49-J49), 0, +I49+'App.2-CI_MIFRS_DepExp_2014'!K49-J49)</f>
        <v>0</v>
      </c>
    </row>
    <row r="50" spans="1:11" x14ac:dyDescent="0.2">
      <c r="A50" s="415">
        <v>1960</v>
      </c>
      <c r="B50" s="355" t="s">
        <v>300</v>
      </c>
      <c r="C50" s="356">
        <f>+'App.2-BA_Fixed Asset Cont'!E481</f>
        <v>0</v>
      </c>
      <c r="D50" s="459">
        <f>+'App.2-CI_MIFRS_DepExp_2014'!D50</f>
        <v>0</v>
      </c>
      <c r="E50" s="413">
        <f t="shared" si="2"/>
        <v>0</v>
      </c>
      <c r="F50" s="374">
        <f>IF(D50=0,'App.2-CI_MIFRS_DepExp_2014'!K50,+'App.2-CI_MIFRS_DepExp_2014'!K50+((C50*0.5)/D50))</f>
        <v>0</v>
      </c>
      <c r="G50" s="356">
        <f>-'App.2-BA_Fixed Asset Cont'!J481</f>
        <v>0</v>
      </c>
      <c r="H50" s="374">
        <f t="shared" si="3"/>
        <v>0</v>
      </c>
      <c r="I50" s="374">
        <f t="shared" si="4"/>
        <v>0</v>
      </c>
      <c r="J50" s="356"/>
      <c r="K50" s="374">
        <f>IF(ISERROR(+I50+'App.2-CI_MIFRS_DepExp_2014'!K50-J50), 0, +I50+'App.2-CI_MIFRS_DepExp_2014'!K50-J50)</f>
        <v>0</v>
      </c>
    </row>
    <row r="51" spans="1:11" x14ac:dyDescent="0.2">
      <c r="A51" s="415">
        <v>1970</v>
      </c>
      <c r="B51" s="1474" t="s">
        <v>712</v>
      </c>
      <c r="C51" s="356">
        <f>+'App.2-BA_Fixed Asset Cont'!E482</f>
        <v>0</v>
      </c>
      <c r="D51" s="459">
        <f>+'App.2-CI_MIFRS_DepExp_2014'!D51</f>
        <v>0</v>
      </c>
      <c r="E51" s="413">
        <f t="shared" si="2"/>
        <v>0</v>
      </c>
      <c r="F51" s="374">
        <f>IF(D51=0,'App.2-CI_MIFRS_DepExp_2014'!K51,+'App.2-CI_MIFRS_DepExp_2014'!K51+((C51*0.5)/D51))</f>
        <v>0</v>
      </c>
      <c r="G51" s="356">
        <f>-'App.2-BA_Fixed Asset Cont'!J482</f>
        <v>0</v>
      </c>
      <c r="H51" s="374">
        <f t="shared" si="3"/>
        <v>0</v>
      </c>
      <c r="I51" s="374">
        <f t="shared" si="4"/>
        <v>0</v>
      </c>
      <c r="J51" s="356"/>
      <c r="K51" s="374">
        <f>IF(ISERROR(+I51+'App.2-CI_MIFRS_DepExp_2014'!K51-J51), 0, +I51+'App.2-CI_MIFRS_DepExp_2014'!K51-J51)</f>
        <v>0</v>
      </c>
    </row>
    <row r="52" spans="1:11" x14ac:dyDescent="0.2">
      <c r="A52" s="1477">
        <v>1975</v>
      </c>
      <c r="B52" s="363" t="s">
        <v>384</v>
      </c>
      <c r="C52" s="356">
        <f>+'App.2-BA_Fixed Asset Cont'!E483</f>
        <v>0</v>
      </c>
      <c r="D52" s="459">
        <f>+'App.2-CI_MIFRS_DepExp_2014'!D52</f>
        <v>0</v>
      </c>
      <c r="E52" s="413">
        <f t="shared" si="2"/>
        <v>0</v>
      </c>
      <c r="F52" s="374">
        <f>IF(D52=0,'App.2-CI_MIFRS_DepExp_2014'!K52,+'App.2-CI_MIFRS_DepExp_2014'!K52+((C52*0.5)/D52))</f>
        <v>0</v>
      </c>
      <c r="G52" s="356">
        <f>-'App.2-BA_Fixed Asset Cont'!J483</f>
        <v>0</v>
      </c>
      <c r="H52" s="374">
        <f t="shared" si="3"/>
        <v>0</v>
      </c>
      <c r="I52" s="374">
        <f t="shared" si="4"/>
        <v>0</v>
      </c>
      <c r="J52" s="356"/>
      <c r="K52" s="374">
        <f>IF(ISERROR(+I52+'App.2-CI_MIFRS_DepExp_2014'!K52-J52), 0, +I52+'App.2-CI_MIFRS_DepExp_2014'!K52-J52)</f>
        <v>0</v>
      </c>
    </row>
    <row r="53" spans="1:11" x14ac:dyDescent="0.2">
      <c r="A53" s="1477">
        <v>1980</v>
      </c>
      <c r="B53" s="363" t="s">
        <v>385</v>
      </c>
      <c r="C53" s="356">
        <f>+'App.2-BA_Fixed Asset Cont'!E484</f>
        <v>0</v>
      </c>
      <c r="D53" s="459">
        <f>+'App.2-CI_MIFRS_DepExp_2014'!D53</f>
        <v>15</v>
      </c>
      <c r="E53" s="413">
        <f t="shared" si="2"/>
        <v>6.6666666666666666E-2</v>
      </c>
      <c r="F53" s="374">
        <f>IF(D53=0,'App.2-CI_MIFRS_DepExp_2014'!K53,+'App.2-CI_MIFRS_DepExp_2014'!K53+((C53*0.5)/D53))</f>
        <v>5375.1333333333332</v>
      </c>
      <c r="G53" s="356">
        <f>-'App.2-BA_Fixed Asset Cont'!J484</f>
        <v>5375</v>
      </c>
      <c r="H53" s="374">
        <f t="shared" si="3"/>
        <v>0.13333333333321207</v>
      </c>
      <c r="I53" s="374">
        <f t="shared" si="4"/>
        <v>0</v>
      </c>
      <c r="J53" s="356"/>
      <c r="K53" s="374">
        <f>IF(ISERROR(+I53+'App.2-CI_MIFRS_DepExp_2014'!K53-J53), 0, +I53+'App.2-CI_MIFRS_DepExp_2014'!K53-J53)</f>
        <v>5375.1333333333332</v>
      </c>
    </row>
    <row r="54" spans="1:11" x14ac:dyDescent="0.2">
      <c r="A54" s="1477">
        <v>1985</v>
      </c>
      <c r="B54" s="363" t="s">
        <v>386</v>
      </c>
      <c r="C54" s="356">
        <f>+'App.2-BA_Fixed Asset Cont'!E485</f>
        <v>0</v>
      </c>
      <c r="D54" s="459">
        <f>+'App.2-CI_MIFRS_DepExp_2014'!D54</f>
        <v>0</v>
      </c>
      <c r="E54" s="413">
        <f t="shared" si="2"/>
        <v>0</v>
      </c>
      <c r="F54" s="374">
        <f>IF(D54=0,'App.2-CI_MIFRS_DepExp_2014'!K54,+'App.2-CI_MIFRS_DepExp_2014'!K54+((C54*0.5)/D54))</f>
        <v>0</v>
      </c>
      <c r="G54" s="356">
        <f>-'App.2-BA_Fixed Asset Cont'!J485</f>
        <v>0</v>
      </c>
      <c r="H54" s="374">
        <f t="shared" si="3"/>
        <v>0</v>
      </c>
      <c r="I54" s="374">
        <f t="shared" si="4"/>
        <v>0</v>
      </c>
      <c r="J54" s="356"/>
      <c r="K54" s="374">
        <f>IF(ISERROR(+I54+'App.2-CI_MIFRS_DepExp_2014'!K54-J54), 0, +I54+'App.2-CI_MIFRS_DepExp_2014'!K54-J54)</f>
        <v>0</v>
      </c>
    </row>
    <row r="55" spans="1:11" x14ac:dyDescent="0.2">
      <c r="A55" s="1477">
        <v>1990</v>
      </c>
      <c r="B55" s="1475" t="s">
        <v>650</v>
      </c>
      <c r="C55" s="356">
        <f>+'App.2-BA_Fixed Asset Cont'!E486</f>
        <v>0</v>
      </c>
      <c r="D55" s="459">
        <f>+'App.2-CI_MIFRS_DepExp_2014'!D55</f>
        <v>10</v>
      </c>
      <c r="E55" s="413">
        <f t="shared" si="2"/>
        <v>0.1</v>
      </c>
      <c r="F55" s="374">
        <f>IF(D55=0,'App.2-CI_MIFRS_DepExp_2014'!K55,+'App.2-CI_MIFRS_DepExp_2014'!K55+((C55*0.5)/D55))</f>
        <v>13293.991735537187</v>
      </c>
      <c r="G55" s="356">
        <f>-'App.2-BA_Fixed Asset Cont'!J486</f>
        <v>13301</v>
      </c>
      <c r="H55" s="374">
        <f t="shared" si="3"/>
        <v>-7.0082644628128037</v>
      </c>
      <c r="I55" s="374">
        <f t="shared" si="4"/>
        <v>0</v>
      </c>
      <c r="J55" s="356"/>
      <c r="K55" s="374">
        <f>IF(ISERROR(+I55+'App.2-CI_MIFRS_DepExp_2014'!K55-J55), 0, +I55+'App.2-CI_MIFRS_DepExp_2014'!K55-J55)</f>
        <v>13293.991735537187</v>
      </c>
    </row>
    <row r="56" spans="1:11" ht="13.5" thickBot="1" x14ac:dyDescent="0.25">
      <c r="A56" s="1477">
        <v>2440</v>
      </c>
      <c r="B56" s="363" t="s">
        <v>2178</v>
      </c>
      <c r="C56" s="356">
        <f>+'App.2-BA_Fixed Asset Cont'!E488</f>
        <v>-1179035</v>
      </c>
      <c r="D56" s="459">
        <f>+'App.2-CI_MIFRS_DepExp_2014'!D56</f>
        <v>42.5</v>
      </c>
      <c r="E56" s="421">
        <f t="shared" si="2"/>
        <v>2.3529411764705882E-2</v>
      </c>
      <c r="F56" s="374">
        <f>IF(D56=0,'App.2-CI_MIFRS_DepExp_2014'!K56,+'App.2-CI_MIFRS_DepExp_2014'!K56+((C56*0.5)/D56))</f>
        <v>-1094889.2116359188</v>
      </c>
      <c r="G56" s="356">
        <f>-'App.2-BA_Fixed Asset Cont'!J488</f>
        <v>-1101657</v>
      </c>
      <c r="H56" s="446">
        <f t="shared" si="3"/>
        <v>6767.7883640811779</v>
      </c>
      <c r="I56" s="446">
        <f t="shared" si="4"/>
        <v>-27742</v>
      </c>
      <c r="J56" s="418"/>
      <c r="K56" s="446">
        <f>IF(ISERROR(+I56+'App.2-CI_MIFRS_DepExp_2014'!K56-J56), 0, +I56+'App.2-CI_MIFRS_DepExp_2014'!K56-J56)</f>
        <v>-1108760.2116359188</v>
      </c>
    </row>
    <row r="57" spans="1:11" ht="14.25" thickTop="1" thickBot="1" x14ac:dyDescent="0.25">
      <c r="A57" s="422"/>
      <c r="B57" s="423" t="s">
        <v>388</v>
      </c>
      <c r="C57" s="447">
        <f>SUM(C17:C56)</f>
        <v>14918350</v>
      </c>
      <c r="D57" s="448"/>
      <c r="E57" s="487"/>
      <c r="F57" s="447">
        <f t="shared" ref="F57:K57" si="8">SUM(F17:F56)</f>
        <v>3009765.5715771178</v>
      </c>
      <c r="G57" s="447">
        <f t="shared" si="8"/>
        <v>2956295.48</v>
      </c>
      <c r="H57" s="447">
        <f t="shared" si="8"/>
        <v>53470.091577118408</v>
      </c>
      <c r="I57" s="447">
        <f t="shared" si="8"/>
        <v>498591.80444444437</v>
      </c>
      <c r="J57" s="447">
        <f t="shared" si="8"/>
        <v>33905</v>
      </c>
      <c r="K57" s="447">
        <f t="shared" si="8"/>
        <v>3225156.4737993409</v>
      </c>
    </row>
    <row r="58" spans="1:11" x14ac:dyDescent="0.2">
      <c r="A58" s="450"/>
      <c r="B58" s="472" t="s">
        <v>654</v>
      </c>
      <c r="C58" s="473"/>
      <c r="D58" s="473"/>
      <c r="E58" s="473"/>
      <c r="F58" s="494"/>
      <c r="G58" s="452">
        <f>+'App.2-BA_Fixed Asset Cont'!J493</f>
        <v>-2956295.98</v>
      </c>
      <c r="H58" s="452"/>
    </row>
    <row r="59" spans="1:11" ht="27" customHeight="1" x14ac:dyDescent="0.2">
      <c r="B59" s="2069" t="s">
        <v>493</v>
      </c>
      <c r="C59" s="2069"/>
      <c r="D59" s="2069"/>
      <c r="E59" s="2084"/>
      <c r="F59" s="374">
        <f>SUM(F57:F58)</f>
        <v>3009765.5715771178</v>
      </c>
    </row>
    <row r="60" spans="1:11" x14ac:dyDescent="0.2">
      <c r="A60" s="334" t="s">
        <v>13</v>
      </c>
      <c r="B60" s="158"/>
      <c r="C60" s="158"/>
      <c r="D60" s="158"/>
      <c r="E60" s="158"/>
      <c r="F60" s="158"/>
      <c r="G60" s="158"/>
      <c r="H60" s="158"/>
    </row>
    <row r="61" spans="1:11" ht="27" customHeight="1" x14ac:dyDescent="0.2">
      <c r="A61" s="466">
        <v>1</v>
      </c>
      <c r="B61" s="2001" t="s">
        <v>524</v>
      </c>
      <c r="C61" s="2001"/>
      <c r="D61" s="2001"/>
      <c r="E61" s="2001"/>
      <c r="F61" s="2001"/>
      <c r="G61" s="2001"/>
      <c r="H61" s="2001"/>
      <c r="I61" s="1478"/>
    </row>
    <row r="62" spans="1:11" ht="12.75" customHeight="1" x14ac:dyDescent="0.2">
      <c r="A62" s="455">
        <v>2</v>
      </c>
      <c r="B62" s="2001" t="s">
        <v>1498</v>
      </c>
      <c r="C62" s="2001"/>
      <c r="D62" s="2001"/>
      <c r="E62" s="2001"/>
      <c r="F62" s="2001"/>
      <c r="G62" s="2001"/>
      <c r="H62" s="2001"/>
      <c r="I62" s="2001"/>
    </row>
    <row r="63" spans="1:11" ht="28.5" customHeight="1" x14ac:dyDescent="0.2">
      <c r="A63" s="431">
        <v>3</v>
      </c>
      <c r="B63" s="2001" t="s">
        <v>614</v>
      </c>
      <c r="C63" s="2001"/>
      <c r="D63" s="2001"/>
      <c r="E63" s="2001"/>
      <c r="F63" s="2001"/>
      <c r="G63" s="2001"/>
      <c r="H63" s="2001"/>
      <c r="I63" s="2001"/>
      <c r="J63" s="2001"/>
      <c r="K63" s="2001"/>
    </row>
    <row r="64" spans="1:11" x14ac:dyDescent="0.2">
      <c r="A64" s="431"/>
      <c r="B64" s="1472"/>
      <c r="C64" s="1472"/>
      <c r="D64" s="1472"/>
      <c r="E64" s="1472"/>
      <c r="F64" s="1472"/>
      <c r="G64" s="1472"/>
      <c r="H64" s="1472"/>
      <c r="I64" s="1472"/>
      <c r="J64" s="1472"/>
      <c r="K64" s="1472"/>
    </row>
    <row r="65" spans="1:11" x14ac:dyDescent="0.2">
      <c r="A65" s="431"/>
      <c r="B65" s="1472"/>
      <c r="C65" s="1472"/>
      <c r="D65" s="1472"/>
      <c r="E65" s="1472"/>
      <c r="F65" s="1472"/>
      <c r="G65" s="1472"/>
      <c r="H65" s="1472"/>
      <c r="I65" s="1472"/>
      <c r="J65" s="1472"/>
      <c r="K65" s="1472"/>
    </row>
    <row r="66" spans="1:11" ht="12.75" customHeight="1" x14ac:dyDescent="0.2">
      <c r="A66" s="334" t="s">
        <v>306</v>
      </c>
      <c r="B66" s="2069" t="s">
        <v>257</v>
      </c>
      <c r="C66" s="2069"/>
      <c r="D66" s="2069"/>
      <c r="E66" s="2069"/>
      <c r="F66" s="2069"/>
      <c r="G66" s="2069"/>
      <c r="H66" s="2069"/>
      <c r="I66" s="432"/>
    </row>
    <row r="67" spans="1:11" ht="27" customHeight="1" x14ac:dyDescent="0.2">
      <c r="A67" s="158"/>
      <c r="B67" s="2069"/>
      <c r="C67" s="2069"/>
      <c r="D67" s="2069"/>
      <c r="E67" s="2069"/>
      <c r="F67" s="2069"/>
      <c r="G67" s="2069"/>
      <c r="H67" s="2069"/>
      <c r="I67" s="432"/>
    </row>
    <row r="68" spans="1:11" ht="27" customHeight="1" x14ac:dyDescent="0.2">
      <c r="A68" s="158"/>
      <c r="I68" s="432"/>
    </row>
    <row r="69" spans="1:11" x14ac:dyDescent="0.2">
      <c r="J69" s="483"/>
      <c r="K69" s="483"/>
    </row>
    <row r="70" spans="1:11" ht="23.25" customHeight="1" x14ac:dyDescent="0.2">
      <c r="J70" s="483"/>
      <c r="K70" s="483"/>
    </row>
    <row r="71" spans="1:11" x14ac:dyDescent="0.2">
      <c r="A71" s="158"/>
      <c r="I71" s="483"/>
      <c r="J71" s="483"/>
      <c r="K71" s="483"/>
    </row>
    <row r="72" spans="1:11" x14ac:dyDescent="0.2">
      <c r="A72" s="1478"/>
      <c r="B72" s="1478"/>
      <c r="C72" s="1478"/>
      <c r="D72" s="1478"/>
      <c r="E72" s="1478"/>
      <c r="F72" s="158"/>
      <c r="G72" s="158"/>
      <c r="H72" s="158"/>
    </row>
  </sheetData>
  <mergeCells count="11">
    <mergeCell ref="A9:H9"/>
    <mergeCell ref="B66:H67"/>
    <mergeCell ref="B61:H61"/>
    <mergeCell ref="B62:I62"/>
    <mergeCell ref="B59:E59"/>
    <mergeCell ref="B63:K63"/>
    <mergeCell ref="J15:J16"/>
    <mergeCell ref="A11:H11"/>
    <mergeCell ref="A10:I10"/>
    <mergeCell ref="B15:B16"/>
    <mergeCell ref="G15:G16"/>
  </mergeCells>
  <dataValidations disablePrompts="1" count="1">
    <dataValidation allowBlank="1" showInputMessage="1" showErrorMessage="1" promptTitle="Date Format" prompt="E.g:  &quot;August 1, 2011&quot;" sqref="WVO983054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H65550 JC65550 SY65550 ACU65550 AMQ65550 AWM65550 BGI65550 BQE65550 CAA65550 CJW65550 CTS65550 DDO65550 DNK65550 DXG65550 EHC65550 EQY65550 FAU65550 FKQ65550 FUM65550 GEI65550 GOE65550 GYA65550 HHW65550 HRS65550 IBO65550 ILK65550 IVG65550 JFC65550 JOY65550 JYU65550 KIQ65550 KSM65550 LCI65550 LME65550 LWA65550 MFW65550 MPS65550 MZO65550 NJK65550 NTG65550 ODC65550 OMY65550 OWU65550 PGQ65550 PQM65550 QAI65550 QKE65550 QUA65550 RDW65550 RNS65550 RXO65550 SHK65550 SRG65550 TBC65550 TKY65550 TUU65550 UEQ65550 UOM65550 UYI65550 VIE65550 VSA65550 WBW65550 WLS65550 WVO65550 H131086 JC131086 SY131086 ACU131086 AMQ131086 AWM131086 BGI131086 BQE131086 CAA131086 CJW131086 CTS131086 DDO131086 DNK131086 DXG131086 EHC131086 EQY131086 FAU131086 FKQ131086 FUM131086 GEI131086 GOE131086 GYA131086 HHW131086 HRS131086 IBO131086 ILK131086 IVG131086 JFC131086 JOY131086 JYU131086 KIQ131086 KSM131086 LCI131086 LME131086 LWA131086 MFW131086 MPS131086 MZO131086 NJK131086 NTG131086 ODC131086 OMY131086 OWU131086 PGQ131086 PQM131086 QAI131086 QKE131086 QUA131086 RDW131086 RNS131086 RXO131086 SHK131086 SRG131086 TBC131086 TKY131086 TUU131086 UEQ131086 UOM131086 UYI131086 VIE131086 VSA131086 WBW131086 WLS131086 WVO131086 H196622 JC196622 SY196622 ACU196622 AMQ196622 AWM196622 BGI196622 BQE196622 CAA196622 CJW196622 CTS196622 DDO196622 DNK196622 DXG196622 EHC196622 EQY196622 FAU196622 FKQ196622 FUM196622 GEI196622 GOE196622 GYA196622 HHW196622 HRS196622 IBO196622 ILK196622 IVG196622 JFC196622 JOY196622 JYU196622 KIQ196622 KSM196622 LCI196622 LME196622 LWA196622 MFW196622 MPS196622 MZO196622 NJK196622 NTG196622 ODC196622 OMY196622 OWU196622 PGQ196622 PQM196622 QAI196622 QKE196622 QUA196622 RDW196622 RNS196622 RXO196622 SHK196622 SRG196622 TBC196622 TKY196622 TUU196622 UEQ196622 UOM196622 UYI196622 VIE196622 VSA196622 WBW196622 WLS196622 WVO196622 H262158 JC262158 SY262158 ACU262158 AMQ262158 AWM262158 BGI262158 BQE262158 CAA262158 CJW262158 CTS262158 DDO262158 DNK262158 DXG262158 EHC262158 EQY262158 FAU262158 FKQ262158 FUM262158 GEI262158 GOE262158 GYA262158 HHW262158 HRS262158 IBO262158 ILK262158 IVG262158 JFC262158 JOY262158 JYU262158 KIQ262158 KSM262158 LCI262158 LME262158 LWA262158 MFW262158 MPS262158 MZO262158 NJK262158 NTG262158 ODC262158 OMY262158 OWU262158 PGQ262158 PQM262158 QAI262158 QKE262158 QUA262158 RDW262158 RNS262158 RXO262158 SHK262158 SRG262158 TBC262158 TKY262158 TUU262158 UEQ262158 UOM262158 UYI262158 VIE262158 VSA262158 WBW262158 WLS262158 WVO262158 H327694 JC327694 SY327694 ACU327694 AMQ327694 AWM327694 BGI327694 BQE327694 CAA327694 CJW327694 CTS327694 DDO327694 DNK327694 DXG327694 EHC327694 EQY327694 FAU327694 FKQ327694 FUM327694 GEI327694 GOE327694 GYA327694 HHW327694 HRS327694 IBO327694 ILK327694 IVG327694 JFC327694 JOY327694 JYU327694 KIQ327694 KSM327694 LCI327694 LME327694 LWA327694 MFW327694 MPS327694 MZO327694 NJK327694 NTG327694 ODC327694 OMY327694 OWU327694 PGQ327694 PQM327694 QAI327694 QKE327694 QUA327694 RDW327694 RNS327694 RXO327694 SHK327694 SRG327694 TBC327694 TKY327694 TUU327694 UEQ327694 UOM327694 UYI327694 VIE327694 VSA327694 WBW327694 WLS327694 WVO327694 H393230 JC393230 SY393230 ACU393230 AMQ393230 AWM393230 BGI393230 BQE393230 CAA393230 CJW393230 CTS393230 DDO393230 DNK393230 DXG393230 EHC393230 EQY393230 FAU393230 FKQ393230 FUM393230 GEI393230 GOE393230 GYA393230 HHW393230 HRS393230 IBO393230 ILK393230 IVG393230 JFC393230 JOY393230 JYU393230 KIQ393230 KSM393230 LCI393230 LME393230 LWA393230 MFW393230 MPS393230 MZO393230 NJK393230 NTG393230 ODC393230 OMY393230 OWU393230 PGQ393230 PQM393230 QAI393230 QKE393230 QUA393230 RDW393230 RNS393230 RXO393230 SHK393230 SRG393230 TBC393230 TKY393230 TUU393230 UEQ393230 UOM393230 UYI393230 VIE393230 VSA393230 WBW393230 WLS393230 WVO393230 H458766 JC458766 SY458766 ACU458766 AMQ458766 AWM458766 BGI458766 BQE458766 CAA458766 CJW458766 CTS458766 DDO458766 DNK458766 DXG458766 EHC458766 EQY458766 FAU458766 FKQ458766 FUM458766 GEI458766 GOE458766 GYA458766 HHW458766 HRS458766 IBO458766 ILK458766 IVG458766 JFC458766 JOY458766 JYU458766 KIQ458766 KSM458766 LCI458766 LME458766 LWA458766 MFW458766 MPS458766 MZO458766 NJK458766 NTG458766 ODC458766 OMY458766 OWU458766 PGQ458766 PQM458766 QAI458766 QKE458766 QUA458766 RDW458766 RNS458766 RXO458766 SHK458766 SRG458766 TBC458766 TKY458766 TUU458766 UEQ458766 UOM458766 UYI458766 VIE458766 VSA458766 WBW458766 WLS458766 WVO458766 H524302 JC524302 SY524302 ACU524302 AMQ524302 AWM524302 BGI524302 BQE524302 CAA524302 CJW524302 CTS524302 DDO524302 DNK524302 DXG524302 EHC524302 EQY524302 FAU524302 FKQ524302 FUM524302 GEI524302 GOE524302 GYA524302 HHW524302 HRS524302 IBO524302 ILK524302 IVG524302 JFC524302 JOY524302 JYU524302 KIQ524302 KSM524302 LCI524302 LME524302 LWA524302 MFW524302 MPS524302 MZO524302 NJK524302 NTG524302 ODC524302 OMY524302 OWU524302 PGQ524302 PQM524302 QAI524302 QKE524302 QUA524302 RDW524302 RNS524302 RXO524302 SHK524302 SRG524302 TBC524302 TKY524302 TUU524302 UEQ524302 UOM524302 UYI524302 VIE524302 VSA524302 WBW524302 WLS524302 WVO524302 H589838 JC589838 SY589838 ACU589838 AMQ589838 AWM589838 BGI589838 BQE589838 CAA589838 CJW589838 CTS589838 DDO589838 DNK589838 DXG589838 EHC589838 EQY589838 FAU589838 FKQ589838 FUM589838 GEI589838 GOE589838 GYA589838 HHW589838 HRS589838 IBO589838 ILK589838 IVG589838 JFC589838 JOY589838 JYU589838 KIQ589838 KSM589838 LCI589838 LME589838 LWA589838 MFW589838 MPS589838 MZO589838 NJK589838 NTG589838 ODC589838 OMY589838 OWU589838 PGQ589838 PQM589838 QAI589838 QKE589838 QUA589838 RDW589838 RNS589838 RXO589838 SHK589838 SRG589838 TBC589838 TKY589838 TUU589838 UEQ589838 UOM589838 UYI589838 VIE589838 VSA589838 WBW589838 WLS589838 WVO589838 H655374 JC655374 SY655374 ACU655374 AMQ655374 AWM655374 BGI655374 BQE655374 CAA655374 CJW655374 CTS655374 DDO655374 DNK655374 DXG655374 EHC655374 EQY655374 FAU655374 FKQ655374 FUM655374 GEI655374 GOE655374 GYA655374 HHW655374 HRS655374 IBO655374 ILK655374 IVG655374 JFC655374 JOY655374 JYU655374 KIQ655374 KSM655374 LCI655374 LME655374 LWA655374 MFW655374 MPS655374 MZO655374 NJK655374 NTG655374 ODC655374 OMY655374 OWU655374 PGQ655374 PQM655374 QAI655374 QKE655374 QUA655374 RDW655374 RNS655374 RXO655374 SHK655374 SRG655374 TBC655374 TKY655374 TUU655374 UEQ655374 UOM655374 UYI655374 VIE655374 VSA655374 WBW655374 WLS655374 WVO655374 H720910 JC720910 SY720910 ACU720910 AMQ720910 AWM720910 BGI720910 BQE720910 CAA720910 CJW720910 CTS720910 DDO720910 DNK720910 DXG720910 EHC720910 EQY720910 FAU720910 FKQ720910 FUM720910 GEI720910 GOE720910 GYA720910 HHW720910 HRS720910 IBO720910 ILK720910 IVG720910 JFC720910 JOY720910 JYU720910 KIQ720910 KSM720910 LCI720910 LME720910 LWA720910 MFW720910 MPS720910 MZO720910 NJK720910 NTG720910 ODC720910 OMY720910 OWU720910 PGQ720910 PQM720910 QAI720910 QKE720910 QUA720910 RDW720910 RNS720910 RXO720910 SHK720910 SRG720910 TBC720910 TKY720910 TUU720910 UEQ720910 UOM720910 UYI720910 VIE720910 VSA720910 WBW720910 WLS720910 WVO720910 H786446 JC786446 SY786446 ACU786446 AMQ786446 AWM786446 BGI786446 BQE786446 CAA786446 CJW786446 CTS786446 DDO786446 DNK786446 DXG786446 EHC786446 EQY786446 FAU786446 FKQ786446 FUM786446 GEI786446 GOE786446 GYA786446 HHW786446 HRS786446 IBO786446 ILK786446 IVG786446 JFC786446 JOY786446 JYU786446 KIQ786446 KSM786446 LCI786446 LME786446 LWA786446 MFW786446 MPS786446 MZO786446 NJK786446 NTG786446 ODC786446 OMY786446 OWU786446 PGQ786446 PQM786446 QAI786446 QKE786446 QUA786446 RDW786446 RNS786446 RXO786446 SHK786446 SRG786446 TBC786446 TKY786446 TUU786446 UEQ786446 UOM786446 UYI786446 VIE786446 VSA786446 WBW786446 WLS786446 WVO786446 H851982 JC851982 SY851982 ACU851982 AMQ851982 AWM851982 BGI851982 BQE851982 CAA851982 CJW851982 CTS851982 DDO851982 DNK851982 DXG851982 EHC851982 EQY851982 FAU851982 FKQ851982 FUM851982 GEI851982 GOE851982 GYA851982 HHW851982 HRS851982 IBO851982 ILK851982 IVG851982 JFC851982 JOY851982 JYU851982 KIQ851982 KSM851982 LCI851982 LME851982 LWA851982 MFW851982 MPS851982 MZO851982 NJK851982 NTG851982 ODC851982 OMY851982 OWU851982 PGQ851982 PQM851982 QAI851982 QKE851982 QUA851982 RDW851982 RNS851982 RXO851982 SHK851982 SRG851982 TBC851982 TKY851982 TUU851982 UEQ851982 UOM851982 UYI851982 VIE851982 VSA851982 WBW851982 WLS851982 WVO851982 H917518 JC917518 SY917518 ACU917518 AMQ917518 AWM917518 BGI917518 BQE917518 CAA917518 CJW917518 CTS917518 DDO917518 DNK917518 DXG917518 EHC917518 EQY917518 FAU917518 FKQ917518 FUM917518 GEI917518 GOE917518 GYA917518 HHW917518 HRS917518 IBO917518 ILK917518 IVG917518 JFC917518 JOY917518 JYU917518 KIQ917518 KSM917518 LCI917518 LME917518 LWA917518 MFW917518 MPS917518 MZO917518 NJK917518 NTG917518 ODC917518 OMY917518 OWU917518 PGQ917518 PQM917518 QAI917518 QKE917518 QUA917518 RDW917518 RNS917518 RXO917518 SHK917518 SRG917518 TBC917518 TKY917518 TUU917518 UEQ917518 UOM917518 UYI917518 VIE917518 VSA917518 WBW917518 WLS917518 WVO917518 H983054 JC983054 SY983054 ACU983054 AMQ983054 AWM983054 BGI983054 BQE983054 CAA983054 CJW983054 CTS983054 DDO983054 DNK983054 DXG983054 EHC983054 EQY983054 FAU983054 FKQ983054 FUM983054 GEI983054 GOE983054 GYA983054 HHW983054 HRS983054 IBO983054 ILK983054 IVG983054 JFC983054 JOY983054 JYU983054 KIQ983054 KSM983054 LCI983054 LME983054 LWA983054 MFW983054 MPS983054 MZO983054 NJK983054 NTG983054 ODC983054 OMY983054 OWU983054 PGQ983054 PQM983054 QAI983054 QKE983054 QUA983054 RDW983054 RNS983054 RXO983054 SHK983054 SRG983054 TBC983054 TKY983054 TUU983054 UEQ983054 UOM983054 UYI983054 VIE983054 VSA983054 WBW983054 WLS983054"/>
  </dataValidations>
  <printOptions horizontalCentered="1"/>
  <pageMargins left="0.74803149606299213" right="0.74803149606299213" top="0.70866141732283472" bottom="0.39370078740157483" header="0.39370078740157483" footer="0.27559055118110237"/>
  <pageSetup scale="53"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K70"/>
  <sheetViews>
    <sheetView showGridLines="0" zoomScaleNormal="100" workbookViewId="0"/>
  </sheetViews>
  <sheetFormatPr defaultRowHeight="12.75" x14ac:dyDescent="0.2"/>
  <cols>
    <col min="1" max="1" width="9.140625" style="140"/>
    <col min="2" max="2" width="41.140625" style="140" customWidth="1"/>
    <col min="3" max="3" width="11.28515625" style="140" bestFit="1" customWidth="1"/>
    <col min="4" max="4" width="10.140625" style="140" customWidth="1"/>
    <col min="5" max="5" width="12.28515625" style="140" customWidth="1"/>
    <col min="6" max="6" width="15.7109375" style="140" customWidth="1"/>
    <col min="7" max="7" width="17.7109375" style="140" customWidth="1"/>
    <col min="8" max="8" width="17.140625" style="140" customWidth="1"/>
    <col min="9" max="9" width="14.42578125" style="140" customWidth="1"/>
    <col min="10" max="254" width="9.140625" style="140"/>
    <col min="255" max="255" width="2.7109375" style="140" customWidth="1"/>
    <col min="256" max="256" width="9.140625" style="140"/>
    <col min="257" max="257" width="40.28515625" style="140" bestFit="1" customWidth="1"/>
    <col min="258" max="258" width="10" style="140" customWidth="1"/>
    <col min="259" max="259" width="10.140625" style="140" customWidth="1"/>
    <col min="260" max="260" width="12.28515625" style="140" customWidth="1"/>
    <col min="261" max="261" width="15.7109375" style="140" customWidth="1"/>
    <col min="262" max="262" width="12.85546875" style="140" customWidth="1"/>
    <col min="263" max="263" width="12.7109375" style="140" customWidth="1"/>
    <col min="264" max="264" width="12.85546875" style="140" customWidth="1"/>
    <col min="265" max="265" width="14.42578125" style="140" customWidth="1"/>
    <col min="266" max="510" width="9.140625" style="140"/>
    <col min="511" max="511" width="2.7109375" style="140" customWidth="1"/>
    <col min="512" max="512" width="9.140625" style="140"/>
    <col min="513" max="513" width="40.28515625" style="140" bestFit="1" customWidth="1"/>
    <col min="514" max="514" width="10" style="140" customWidth="1"/>
    <col min="515" max="515" width="10.140625" style="140" customWidth="1"/>
    <col min="516" max="516" width="12.28515625" style="140" customWidth="1"/>
    <col min="517" max="517" width="15.7109375" style="140" customWidth="1"/>
    <col min="518" max="518" width="12.85546875" style="140" customWidth="1"/>
    <col min="519" max="519" width="12.7109375" style="140" customWidth="1"/>
    <col min="520" max="520" width="12.85546875" style="140" customWidth="1"/>
    <col min="521" max="521" width="14.42578125" style="140" customWidth="1"/>
    <col min="522" max="766" width="9.140625" style="140"/>
    <col min="767" max="767" width="2.7109375" style="140" customWidth="1"/>
    <col min="768" max="768" width="9.140625" style="140"/>
    <col min="769" max="769" width="40.28515625" style="140" bestFit="1" customWidth="1"/>
    <col min="770" max="770" width="10" style="140" customWidth="1"/>
    <col min="771" max="771" width="10.140625" style="140" customWidth="1"/>
    <col min="772" max="772" width="12.28515625" style="140" customWidth="1"/>
    <col min="773" max="773" width="15.7109375" style="140" customWidth="1"/>
    <col min="774" max="774" width="12.85546875" style="140" customWidth="1"/>
    <col min="775" max="775" width="12.7109375" style="140" customWidth="1"/>
    <col min="776" max="776" width="12.85546875" style="140" customWidth="1"/>
    <col min="777" max="777" width="14.42578125" style="140" customWidth="1"/>
    <col min="778" max="1022" width="9.140625" style="140"/>
    <col min="1023" max="1023" width="2.7109375" style="140" customWidth="1"/>
    <col min="1024" max="1024" width="9.140625" style="140"/>
    <col min="1025" max="1025" width="40.28515625" style="140" bestFit="1" customWidth="1"/>
    <col min="1026" max="1026" width="10" style="140" customWidth="1"/>
    <col min="1027" max="1027" width="10.140625" style="140" customWidth="1"/>
    <col min="1028" max="1028" width="12.28515625" style="140" customWidth="1"/>
    <col min="1029" max="1029" width="15.7109375" style="140" customWidth="1"/>
    <col min="1030" max="1030" width="12.85546875" style="140" customWidth="1"/>
    <col min="1031" max="1031" width="12.7109375" style="140" customWidth="1"/>
    <col min="1032" max="1032" width="12.85546875" style="140" customWidth="1"/>
    <col min="1033" max="1033" width="14.42578125" style="140" customWidth="1"/>
    <col min="1034" max="1278" width="9.140625" style="140"/>
    <col min="1279" max="1279" width="2.7109375" style="140" customWidth="1"/>
    <col min="1280" max="1280" width="9.140625" style="140"/>
    <col min="1281" max="1281" width="40.28515625" style="140" bestFit="1" customWidth="1"/>
    <col min="1282" max="1282" width="10" style="140" customWidth="1"/>
    <col min="1283" max="1283" width="10.140625" style="140" customWidth="1"/>
    <col min="1284" max="1284" width="12.28515625" style="140" customWidth="1"/>
    <col min="1285" max="1285" width="15.7109375" style="140" customWidth="1"/>
    <col min="1286" max="1286" width="12.85546875" style="140" customWidth="1"/>
    <col min="1287" max="1287" width="12.7109375" style="140" customWidth="1"/>
    <col min="1288" max="1288" width="12.85546875" style="140" customWidth="1"/>
    <col min="1289" max="1289" width="14.42578125" style="140" customWidth="1"/>
    <col min="1290" max="1534" width="9.140625" style="140"/>
    <col min="1535" max="1535" width="2.7109375" style="140" customWidth="1"/>
    <col min="1536" max="1536" width="9.140625" style="140"/>
    <col min="1537" max="1537" width="40.28515625" style="140" bestFit="1" customWidth="1"/>
    <col min="1538" max="1538" width="10" style="140" customWidth="1"/>
    <col min="1539" max="1539" width="10.140625" style="140" customWidth="1"/>
    <col min="1540" max="1540" width="12.28515625" style="140" customWidth="1"/>
    <col min="1541" max="1541" width="15.7109375" style="140" customWidth="1"/>
    <col min="1542" max="1542" width="12.85546875" style="140" customWidth="1"/>
    <col min="1543" max="1543" width="12.7109375" style="140" customWidth="1"/>
    <col min="1544" max="1544" width="12.85546875" style="140" customWidth="1"/>
    <col min="1545" max="1545" width="14.42578125" style="140" customWidth="1"/>
    <col min="1546" max="1790" width="9.140625" style="140"/>
    <col min="1791" max="1791" width="2.7109375" style="140" customWidth="1"/>
    <col min="1792" max="1792" width="9.140625" style="140"/>
    <col min="1793" max="1793" width="40.28515625" style="140" bestFit="1" customWidth="1"/>
    <col min="1794" max="1794" width="10" style="140" customWidth="1"/>
    <col min="1795" max="1795" width="10.140625" style="140" customWidth="1"/>
    <col min="1796" max="1796" width="12.28515625" style="140" customWidth="1"/>
    <col min="1797" max="1797" width="15.7109375" style="140" customWidth="1"/>
    <col min="1798" max="1798" width="12.85546875" style="140" customWidth="1"/>
    <col min="1799" max="1799" width="12.7109375" style="140" customWidth="1"/>
    <col min="1800" max="1800" width="12.85546875" style="140" customWidth="1"/>
    <col min="1801" max="1801" width="14.42578125" style="140" customWidth="1"/>
    <col min="1802" max="2046" width="9.140625" style="140"/>
    <col min="2047" max="2047" width="2.7109375" style="140" customWidth="1"/>
    <col min="2048" max="2048" width="9.140625" style="140"/>
    <col min="2049" max="2049" width="40.28515625" style="140" bestFit="1" customWidth="1"/>
    <col min="2050" max="2050" width="10" style="140" customWidth="1"/>
    <col min="2051" max="2051" width="10.140625" style="140" customWidth="1"/>
    <col min="2052" max="2052" width="12.28515625" style="140" customWidth="1"/>
    <col min="2053" max="2053" width="15.7109375" style="140" customWidth="1"/>
    <col min="2054" max="2054" width="12.85546875" style="140" customWidth="1"/>
    <col min="2055" max="2055" width="12.7109375" style="140" customWidth="1"/>
    <col min="2056" max="2056" width="12.85546875" style="140" customWidth="1"/>
    <col min="2057" max="2057" width="14.42578125" style="140" customWidth="1"/>
    <col min="2058" max="2302" width="9.140625" style="140"/>
    <col min="2303" max="2303" width="2.7109375" style="140" customWidth="1"/>
    <col min="2304" max="2304" width="9.140625" style="140"/>
    <col min="2305" max="2305" width="40.28515625" style="140" bestFit="1" customWidth="1"/>
    <col min="2306" max="2306" width="10" style="140" customWidth="1"/>
    <col min="2307" max="2307" width="10.140625" style="140" customWidth="1"/>
    <col min="2308" max="2308" width="12.28515625" style="140" customWidth="1"/>
    <col min="2309" max="2309" width="15.7109375" style="140" customWidth="1"/>
    <col min="2310" max="2310" width="12.85546875" style="140" customWidth="1"/>
    <col min="2311" max="2311" width="12.7109375" style="140" customWidth="1"/>
    <col min="2312" max="2312" width="12.85546875" style="140" customWidth="1"/>
    <col min="2313" max="2313" width="14.42578125" style="140" customWidth="1"/>
    <col min="2314" max="2558" width="9.140625" style="140"/>
    <col min="2559" max="2559" width="2.7109375" style="140" customWidth="1"/>
    <col min="2560" max="2560" width="9.140625" style="140"/>
    <col min="2561" max="2561" width="40.28515625" style="140" bestFit="1" customWidth="1"/>
    <col min="2562" max="2562" width="10" style="140" customWidth="1"/>
    <col min="2563" max="2563" width="10.140625" style="140" customWidth="1"/>
    <col min="2564" max="2564" width="12.28515625" style="140" customWidth="1"/>
    <col min="2565" max="2565" width="15.7109375" style="140" customWidth="1"/>
    <col min="2566" max="2566" width="12.85546875" style="140" customWidth="1"/>
    <col min="2567" max="2567" width="12.7109375" style="140" customWidth="1"/>
    <col min="2568" max="2568" width="12.85546875" style="140" customWidth="1"/>
    <col min="2569" max="2569" width="14.42578125" style="140" customWidth="1"/>
    <col min="2570" max="2814" width="9.140625" style="140"/>
    <col min="2815" max="2815" width="2.7109375" style="140" customWidth="1"/>
    <col min="2816" max="2816" width="9.140625" style="140"/>
    <col min="2817" max="2817" width="40.28515625" style="140" bestFit="1" customWidth="1"/>
    <col min="2818" max="2818" width="10" style="140" customWidth="1"/>
    <col min="2819" max="2819" width="10.140625" style="140" customWidth="1"/>
    <col min="2820" max="2820" width="12.28515625" style="140" customWidth="1"/>
    <col min="2821" max="2821" width="15.7109375" style="140" customWidth="1"/>
    <col min="2822" max="2822" width="12.85546875" style="140" customWidth="1"/>
    <col min="2823" max="2823" width="12.7109375" style="140" customWidth="1"/>
    <col min="2824" max="2824" width="12.85546875" style="140" customWidth="1"/>
    <col min="2825" max="2825" width="14.42578125" style="140" customWidth="1"/>
    <col min="2826" max="3070" width="9.140625" style="140"/>
    <col min="3071" max="3071" width="2.7109375" style="140" customWidth="1"/>
    <col min="3072" max="3072" width="9.140625" style="140"/>
    <col min="3073" max="3073" width="40.28515625" style="140" bestFit="1" customWidth="1"/>
    <col min="3074" max="3074" width="10" style="140" customWidth="1"/>
    <col min="3075" max="3075" width="10.140625" style="140" customWidth="1"/>
    <col min="3076" max="3076" width="12.28515625" style="140" customWidth="1"/>
    <col min="3077" max="3077" width="15.7109375" style="140" customWidth="1"/>
    <col min="3078" max="3078" width="12.85546875" style="140" customWidth="1"/>
    <col min="3079" max="3079" width="12.7109375" style="140" customWidth="1"/>
    <col min="3080" max="3080" width="12.85546875" style="140" customWidth="1"/>
    <col min="3081" max="3081" width="14.42578125" style="140" customWidth="1"/>
    <col min="3082" max="3326" width="9.140625" style="140"/>
    <col min="3327" max="3327" width="2.7109375" style="140" customWidth="1"/>
    <col min="3328" max="3328" width="9.140625" style="140"/>
    <col min="3329" max="3329" width="40.28515625" style="140" bestFit="1" customWidth="1"/>
    <col min="3330" max="3330" width="10" style="140" customWidth="1"/>
    <col min="3331" max="3331" width="10.140625" style="140" customWidth="1"/>
    <col min="3332" max="3332" width="12.28515625" style="140" customWidth="1"/>
    <col min="3333" max="3333" width="15.7109375" style="140" customWidth="1"/>
    <col min="3334" max="3334" width="12.85546875" style="140" customWidth="1"/>
    <col min="3335" max="3335" width="12.7109375" style="140" customWidth="1"/>
    <col min="3336" max="3336" width="12.85546875" style="140" customWidth="1"/>
    <col min="3337" max="3337" width="14.42578125" style="140" customWidth="1"/>
    <col min="3338" max="3582" width="9.140625" style="140"/>
    <col min="3583" max="3583" width="2.7109375" style="140" customWidth="1"/>
    <col min="3584" max="3584" width="9.140625" style="140"/>
    <col min="3585" max="3585" width="40.28515625" style="140" bestFit="1" customWidth="1"/>
    <col min="3586" max="3586" width="10" style="140" customWidth="1"/>
    <col min="3587" max="3587" width="10.140625" style="140" customWidth="1"/>
    <col min="3588" max="3588" width="12.28515625" style="140" customWidth="1"/>
    <col min="3589" max="3589" width="15.7109375" style="140" customWidth="1"/>
    <col min="3590" max="3590" width="12.85546875" style="140" customWidth="1"/>
    <col min="3591" max="3591" width="12.7109375" style="140" customWidth="1"/>
    <col min="3592" max="3592" width="12.85546875" style="140" customWidth="1"/>
    <col min="3593" max="3593" width="14.42578125" style="140" customWidth="1"/>
    <col min="3594" max="3838" width="9.140625" style="140"/>
    <col min="3839" max="3839" width="2.7109375" style="140" customWidth="1"/>
    <col min="3840" max="3840" width="9.140625" style="140"/>
    <col min="3841" max="3841" width="40.28515625" style="140" bestFit="1" customWidth="1"/>
    <col min="3842" max="3842" width="10" style="140" customWidth="1"/>
    <col min="3843" max="3843" width="10.140625" style="140" customWidth="1"/>
    <col min="3844" max="3844" width="12.28515625" style="140" customWidth="1"/>
    <col min="3845" max="3845" width="15.7109375" style="140" customWidth="1"/>
    <col min="3846" max="3846" width="12.85546875" style="140" customWidth="1"/>
    <col min="3847" max="3847" width="12.7109375" style="140" customWidth="1"/>
    <col min="3848" max="3848" width="12.85546875" style="140" customWidth="1"/>
    <col min="3849" max="3849" width="14.42578125" style="140" customWidth="1"/>
    <col min="3850" max="4094" width="9.140625" style="140"/>
    <col min="4095" max="4095" width="2.7109375" style="140" customWidth="1"/>
    <col min="4096" max="4096" width="9.140625" style="140"/>
    <col min="4097" max="4097" width="40.28515625" style="140" bestFit="1" customWidth="1"/>
    <col min="4098" max="4098" width="10" style="140" customWidth="1"/>
    <col min="4099" max="4099" width="10.140625" style="140" customWidth="1"/>
    <col min="4100" max="4100" width="12.28515625" style="140" customWidth="1"/>
    <col min="4101" max="4101" width="15.7109375" style="140" customWidth="1"/>
    <col min="4102" max="4102" width="12.85546875" style="140" customWidth="1"/>
    <col min="4103" max="4103" width="12.7109375" style="140" customWidth="1"/>
    <col min="4104" max="4104" width="12.85546875" style="140" customWidth="1"/>
    <col min="4105" max="4105" width="14.42578125" style="140" customWidth="1"/>
    <col min="4106" max="4350" width="9.140625" style="140"/>
    <col min="4351" max="4351" width="2.7109375" style="140" customWidth="1"/>
    <col min="4352" max="4352" width="9.140625" style="140"/>
    <col min="4353" max="4353" width="40.28515625" style="140" bestFit="1" customWidth="1"/>
    <col min="4354" max="4354" width="10" style="140" customWidth="1"/>
    <col min="4355" max="4355" width="10.140625" style="140" customWidth="1"/>
    <col min="4356" max="4356" width="12.28515625" style="140" customWidth="1"/>
    <col min="4357" max="4357" width="15.7109375" style="140" customWidth="1"/>
    <col min="4358" max="4358" width="12.85546875" style="140" customWidth="1"/>
    <col min="4359" max="4359" width="12.7109375" style="140" customWidth="1"/>
    <col min="4360" max="4360" width="12.85546875" style="140" customWidth="1"/>
    <col min="4361" max="4361" width="14.42578125" style="140" customWidth="1"/>
    <col min="4362" max="4606" width="9.140625" style="140"/>
    <col min="4607" max="4607" width="2.7109375" style="140" customWidth="1"/>
    <col min="4608" max="4608" width="9.140625" style="140"/>
    <col min="4609" max="4609" width="40.28515625" style="140" bestFit="1" customWidth="1"/>
    <col min="4610" max="4610" width="10" style="140" customWidth="1"/>
    <col min="4611" max="4611" width="10.140625" style="140" customWidth="1"/>
    <col min="4612" max="4612" width="12.28515625" style="140" customWidth="1"/>
    <col min="4613" max="4613" width="15.7109375" style="140" customWidth="1"/>
    <col min="4614" max="4614" width="12.85546875" style="140" customWidth="1"/>
    <col min="4615" max="4615" width="12.7109375" style="140" customWidth="1"/>
    <col min="4616" max="4616" width="12.85546875" style="140" customWidth="1"/>
    <col min="4617" max="4617" width="14.42578125" style="140" customWidth="1"/>
    <col min="4618" max="4862" width="9.140625" style="140"/>
    <col min="4863" max="4863" width="2.7109375" style="140" customWidth="1"/>
    <col min="4864" max="4864" width="9.140625" style="140"/>
    <col min="4865" max="4865" width="40.28515625" style="140" bestFit="1" customWidth="1"/>
    <col min="4866" max="4866" width="10" style="140" customWidth="1"/>
    <col min="4867" max="4867" width="10.140625" style="140" customWidth="1"/>
    <col min="4868" max="4868" width="12.28515625" style="140" customWidth="1"/>
    <col min="4869" max="4869" width="15.7109375" style="140" customWidth="1"/>
    <col min="4870" max="4870" width="12.85546875" style="140" customWidth="1"/>
    <col min="4871" max="4871" width="12.7109375" style="140" customWidth="1"/>
    <col min="4872" max="4872" width="12.85546875" style="140" customWidth="1"/>
    <col min="4873" max="4873" width="14.42578125" style="140" customWidth="1"/>
    <col min="4874" max="5118" width="9.140625" style="140"/>
    <col min="5119" max="5119" width="2.7109375" style="140" customWidth="1"/>
    <col min="5120" max="5120" width="9.140625" style="140"/>
    <col min="5121" max="5121" width="40.28515625" style="140" bestFit="1" customWidth="1"/>
    <col min="5122" max="5122" width="10" style="140" customWidth="1"/>
    <col min="5123" max="5123" width="10.140625" style="140" customWidth="1"/>
    <col min="5124" max="5124" width="12.28515625" style="140" customWidth="1"/>
    <col min="5125" max="5125" width="15.7109375" style="140" customWidth="1"/>
    <col min="5126" max="5126" width="12.85546875" style="140" customWidth="1"/>
    <col min="5127" max="5127" width="12.7109375" style="140" customWidth="1"/>
    <col min="5128" max="5128" width="12.85546875" style="140" customWidth="1"/>
    <col min="5129" max="5129" width="14.42578125" style="140" customWidth="1"/>
    <col min="5130" max="5374" width="9.140625" style="140"/>
    <col min="5375" max="5375" width="2.7109375" style="140" customWidth="1"/>
    <col min="5376" max="5376" width="9.140625" style="140"/>
    <col min="5377" max="5377" width="40.28515625" style="140" bestFit="1" customWidth="1"/>
    <col min="5378" max="5378" width="10" style="140" customWidth="1"/>
    <col min="5379" max="5379" width="10.140625" style="140" customWidth="1"/>
    <col min="5380" max="5380" width="12.28515625" style="140" customWidth="1"/>
    <col min="5381" max="5381" width="15.7109375" style="140" customWidth="1"/>
    <col min="5382" max="5382" width="12.85546875" style="140" customWidth="1"/>
    <col min="5383" max="5383" width="12.7109375" style="140" customWidth="1"/>
    <col min="5384" max="5384" width="12.85546875" style="140" customWidth="1"/>
    <col min="5385" max="5385" width="14.42578125" style="140" customWidth="1"/>
    <col min="5386" max="5630" width="9.140625" style="140"/>
    <col min="5631" max="5631" width="2.7109375" style="140" customWidth="1"/>
    <col min="5632" max="5632" width="9.140625" style="140"/>
    <col min="5633" max="5633" width="40.28515625" style="140" bestFit="1" customWidth="1"/>
    <col min="5634" max="5634" width="10" style="140" customWidth="1"/>
    <col min="5635" max="5635" width="10.140625" style="140" customWidth="1"/>
    <col min="5636" max="5636" width="12.28515625" style="140" customWidth="1"/>
    <col min="5637" max="5637" width="15.7109375" style="140" customWidth="1"/>
    <col min="5638" max="5638" width="12.85546875" style="140" customWidth="1"/>
    <col min="5639" max="5639" width="12.7109375" style="140" customWidth="1"/>
    <col min="5640" max="5640" width="12.85546875" style="140" customWidth="1"/>
    <col min="5641" max="5641" width="14.42578125" style="140" customWidth="1"/>
    <col min="5642" max="5886" width="9.140625" style="140"/>
    <col min="5887" max="5887" width="2.7109375" style="140" customWidth="1"/>
    <col min="5888" max="5888" width="9.140625" style="140"/>
    <col min="5889" max="5889" width="40.28515625" style="140" bestFit="1" customWidth="1"/>
    <col min="5890" max="5890" width="10" style="140" customWidth="1"/>
    <col min="5891" max="5891" width="10.140625" style="140" customWidth="1"/>
    <col min="5892" max="5892" width="12.28515625" style="140" customWidth="1"/>
    <col min="5893" max="5893" width="15.7109375" style="140" customWidth="1"/>
    <col min="5894" max="5894" width="12.85546875" style="140" customWidth="1"/>
    <col min="5895" max="5895" width="12.7109375" style="140" customWidth="1"/>
    <col min="5896" max="5896" width="12.85546875" style="140" customWidth="1"/>
    <col min="5897" max="5897" width="14.42578125" style="140" customWidth="1"/>
    <col min="5898" max="6142" width="9.140625" style="140"/>
    <col min="6143" max="6143" width="2.7109375" style="140" customWidth="1"/>
    <col min="6144" max="6144" width="9.140625" style="140"/>
    <col min="6145" max="6145" width="40.28515625" style="140" bestFit="1" customWidth="1"/>
    <col min="6146" max="6146" width="10" style="140" customWidth="1"/>
    <col min="6147" max="6147" width="10.140625" style="140" customWidth="1"/>
    <col min="6148" max="6148" width="12.28515625" style="140" customWidth="1"/>
    <col min="6149" max="6149" width="15.7109375" style="140" customWidth="1"/>
    <col min="6150" max="6150" width="12.85546875" style="140" customWidth="1"/>
    <col min="6151" max="6151" width="12.7109375" style="140" customWidth="1"/>
    <col min="6152" max="6152" width="12.85546875" style="140" customWidth="1"/>
    <col min="6153" max="6153" width="14.42578125" style="140" customWidth="1"/>
    <col min="6154" max="6398" width="9.140625" style="140"/>
    <col min="6399" max="6399" width="2.7109375" style="140" customWidth="1"/>
    <col min="6400" max="6400" width="9.140625" style="140"/>
    <col min="6401" max="6401" width="40.28515625" style="140" bestFit="1" customWidth="1"/>
    <col min="6402" max="6402" width="10" style="140" customWidth="1"/>
    <col min="6403" max="6403" width="10.140625" style="140" customWidth="1"/>
    <col min="6404" max="6404" width="12.28515625" style="140" customWidth="1"/>
    <col min="6405" max="6405" width="15.7109375" style="140" customWidth="1"/>
    <col min="6406" max="6406" width="12.85546875" style="140" customWidth="1"/>
    <col min="6407" max="6407" width="12.7109375" style="140" customWidth="1"/>
    <col min="6408" max="6408" width="12.85546875" style="140" customWidth="1"/>
    <col min="6409" max="6409" width="14.42578125" style="140" customWidth="1"/>
    <col min="6410" max="6654" width="9.140625" style="140"/>
    <col min="6655" max="6655" width="2.7109375" style="140" customWidth="1"/>
    <col min="6656" max="6656" width="9.140625" style="140"/>
    <col min="6657" max="6657" width="40.28515625" style="140" bestFit="1" customWidth="1"/>
    <col min="6658" max="6658" width="10" style="140" customWidth="1"/>
    <col min="6659" max="6659" width="10.140625" style="140" customWidth="1"/>
    <col min="6660" max="6660" width="12.28515625" style="140" customWidth="1"/>
    <col min="6661" max="6661" width="15.7109375" style="140" customWidth="1"/>
    <col min="6662" max="6662" width="12.85546875" style="140" customWidth="1"/>
    <col min="6663" max="6663" width="12.7109375" style="140" customWidth="1"/>
    <col min="6664" max="6664" width="12.85546875" style="140" customWidth="1"/>
    <col min="6665" max="6665" width="14.42578125" style="140" customWidth="1"/>
    <col min="6666" max="6910" width="9.140625" style="140"/>
    <col min="6911" max="6911" width="2.7109375" style="140" customWidth="1"/>
    <col min="6912" max="6912" width="9.140625" style="140"/>
    <col min="6913" max="6913" width="40.28515625" style="140" bestFit="1" customWidth="1"/>
    <col min="6914" max="6914" width="10" style="140" customWidth="1"/>
    <col min="6915" max="6915" width="10.140625" style="140" customWidth="1"/>
    <col min="6916" max="6916" width="12.28515625" style="140" customWidth="1"/>
    <col min="6917" max="6917" width="15.7109375" style="140" customWidth="1"/>
    <col min="6918" max="6918" width="12.85546875" style="140" customWidth="1"/>
    <col min="6919" max="6919" width="12.7109375" style="140" customWidth="1"/>
    <col min="6920" max="6920" width="12.85546875" style="140" customWidth="1"/>
    <col min="6921" max="6921" width="14.42578125" style="140" customWidth="1"/>
    <col min="6922" max="7166" width="9.140625" style="140"/>
    <col min="7167" max="7167" width="2.7109375" style="140" customWidth="1"/>
    <col min="7168" max="7168" width="9.140625" style="140"/>
    <col min="7169" max="7169" width="40.28515625" style="140" bestFit="1" customWidth="1"/>
    <col min="7170" max="7170" width="10" style="140" customWidth="1"/>
    <col min="7171" max="7171" width="10.140625" style="140" customWidth="1"/>
    <col min="7172" max="7172" width="12.28515625" style="140" customWidth="1"/>
    <col min="7173" max="7173" width="15.7109375" style="140" customWidth="1"/>
    <col min="7174" max="7174" width="12.85546875" style="140" customWidth="1"/>
    <col min="7175" max="7175" width="12.7109375" style="140" customWidth="1"/>
    <col min="7176" max="7176" width="12.85546875" style="140" customWidth="1"/>
    <col min="7177" max="7177" width="14.42578125" style="140" customWidth="1"/>
    <col min="7178" max="7422" width="9.140625" style="140"/>
    <col min="7423" max="7423" width="2.7109375" style="140" customWidth="1"/>
    <col min="7424" max="7424" width="9.140625" style="140"/>
    <col min="7425" max="7425" width="40.28515625" style="140" bestFit="1" customWidth="1"/>
    <col min="7426" max="7426" width="10" style="140" customWidth="1"/>
    <col min="7427" max="7427" width="10.140625" style="140" customWidth="1"/>
    <col min="7428" max="7428" width="12.28515625" style="140" customWidth="1"/>
    <col min="7429" max="7429" width="15.7109375" style="140" customWidth="1"/>
    <col min="7430" max="7430" width="12.85546875" style="140" customWidth="1"/>
    <col min="7431" max="7431" width="12.7109375" style="140" customWidth="1"/>
    <col min="7432" max="7432" width="12.85546875" style="140" customWidth="1"/>
    <col min="7433" max="7433" width="14.42578125" style="140" customWidth="1"/>
    <col min="7434" max="7678" width="9.140625" style="140"/>
    <col min="7679" max="7679" width="2.7109375" style="140" customWidth="1"/>
    <col min="7680" max="7680" width="9.140625" style="140"/>
    <col min="7681" max="7681" width="40.28515625" style="140" bestFit="1" customWidth="1"/>
    <col min="7682" max="7682" width="10" style="140" customWidth="1"/>
    <col min="7683" max="7683" width="10.140625" style="140" customWidth="1"/>
    <col min="7684" max="7684" width="12.28515625" style="140" customWidth="1"/>
    <col min="7685" max="7685" width="15.7109375" style="140" customWidth="1"/>
    <col min="7686" max="7686" width="12.85546875" style="140" customWidth="1"/>
    <col min="7687" max="7687" width="12.7109375" style="140" customWidth="1"/>
    <col min="7688" max="7688" width="12.85546875" style="140" customWidth="1"/>
    <col min="7689" max="7689" width="14.42578125" style="140" customWidth="1"/>
    <col min="7690" max="7934" width="9.140625" style="140"/>
    <col min="7935" max="7935" width="2.7109375" style="140" customWidth="1"/>
    <col min="7936" max="7936" width="9.140625" style="140"/>
    <col min="7937" max="7937" width="40.28515625" style="140" bestFit="1" customWidth="1"/>
    <col min="7938" max="7938" width="10" style="140" customWidth="1"/>
    <col min="7939" max="7939" width="10.140625" style="140" customWidth="1"/>
    <col min="7940" max="7940" width="12.28515625" style="140" customWidth="1"/>
    <col min="7941" max="7941" width="15.7109375" style="140" customWidth="1"/>
    <col min="7942" max="7942" width="12.85546875" style="140" customWidth="1"/>
    <col min="7943" max="7943" width="12.7109375" style="140" customWidth="1"/>
    <col min="7944" max="7944" width="12.85546875" style="140" customWidth="1"/>
    <col min="7945" max="7945" width="14.42578125" style="140" customWidth="1"/>
    <col min="7946" max="8190" width="9.140625" style="140"/>
    <col min="8191" max="8191" width="2.7109375" style="140" customWidth="1"/>
    <col min="8192" max="8192" width="9.140625" style="140"/>
    <col min="8193" max="8193" width="40.28515625" style="140" bestFit="1" customWidth="1"/>
    <col min="8194" max="8194" width="10" style="140" customWidth="1"/>
    <col min="8195" max="8195" width="10.140625" style="140" customWidth="1"/>
    <col min="8196" max="8196" width="12.28515625" style="140" customWidth="1"/>
    <col min="8197" max="8197" width="15.7109375" style="140" customWidth="1"/>
    <col min="8198" max="8198" width="12.85546875" style="140" customWidth="1"/>
    <col min="8199" max="8199" width="12.7109375" style="140" customWidth="1"/>
    <col min="8200" max="8200" width="12.85546875" style="140" customWidth="1"/>
    <col min="8201" max="8201" width="14.42578125" style="140" customWidth="1"/>
    <col min="8202" max="8446" width="9.140625" style="140"/>
    <col min="8447" max="8447" width="2.7109375" style="140" customWidth="1"/>
    <col min="8448" max="8448" width="9.140625" style="140"/>
    <col min="8449" max="8449" width="40.28515625" style="140" bestFit="1" customWidth="1"/>
    <col min="8450" max="8450" width="10" style="140" customWidth="1"/>
    <col min="8451" max="8451" width="10.140625" style="140" customWidth="1"/>
    <col min="8452" max="8452" width="12.28515625" style="140" customWidth="1"/>
    <col min="8453" max="8453" width="15.7109375" style="140" customWidth="1"/>
    <col min="8454" max="8454" width="12.85546875" style="140" customWidth="1"/>
    <col min="8455" max="8455" width="12.7109375" style="140" customWidth="1"/>
    <col min="8456" max="8456" width="12.85546875" style="140" customWidth="1"/>
    <col min="8457" max="8457" width="14.42578125" style="140" customWidth="1"/>
    <col min="8458" max="8702" width="9.140625" style="140"/>
    <col min="8703" max="8703" width="2.7109375" style="140" customWidth="1"/>
    <col min="8704" max="8704" width="9.140625" style="140"/>
    <col min="8705" max="8705" width="40.28515625" style="140" bestFit="1" customWidth="1"/>
    <col min="8706" max="8706" width="10" style="140" customWidth="1"/>
    <col min="8707" max="8707" width="10.140625" style="140" customWidth="1"/>
    <col min="8708" max="8708" width="12.28515625" style="140" customWidth="1"/>
    <col min="8709" max="8709" width="15.7109375" style="140" customWidth="1"/>
    <col min="8710" max="8710" width="12.85546875" style="140" customWidth="1"/>
    <col min="8711" max="8711" width="12.7109375" style="140" customWidth="1"/>
    <col min="8712" max="8712" width="12.85546875" style="140" customWidth="1"/>
    <col min="8713" max="8713" width="14.42578125" style="140" customWidth="1"/>
    <col min="8714" max="8958" width="9.140625" style="140"/>
    <col min="8959" max="8959" width="2.7109375" style="140" customWidth="1"/>
    <col min="8960" max="8960" width="9.140625" style="140"/>
    <col min="8961" max="8961" width="40.28515625" style="140" bestFit="1" customWidth="1"/>
    <col min="8962" max="8962" width="10" style="140" customWidth="1"/>
    <col min="8963" max="8963" width="10.140625" style="140" customWidth="1"/>
    <col min="8964" max="8964" width="12.28515625" style="140" customWidth="1"/>
    <col min="8965" max="8965" width="15.7109375" style="140" customWidth="1"/>
    <col min="8966" max="8966" width="12.85546875" style="140" customWidth="1"/>
    <col min="8967" max="8967" width="12.7109375" style="140" customWidth="1"/>
    <col min="8968" max="8968" width="12.85546875" style="140" customWidth="1"/>
    <col min="8969" max="8969" width="14.42578125" style="140" customWidth="1"/>
    <col min="8970" max="9214" width="9.140625" style="140"/>
    <col min="9215" max="9215" width="2.7109375" style="140" customWidth="1"/>
    <col min="9216" max="9216" width="9.140625" style="140"/>
    <col min="9217" max="9217" width="40.28515625" style="140" bestFit="1" customWidth="1"/>
    <col min="9218" max="9218" width="10" style="140" customWidth="1"/>
    <col min="9219" max="9219" width="10.140625" style="140" customWidth="1"/>
    <col min="9220" max="9220" width="12.28515625" style="140" customWidth="1"/>
    <col min="9221" max="9221" width="15.7109375" style="140" customWidth="1"/>
    <col min="9222" max="9222" width="12.85546875" style="140" customWidth="1"/>
    <col min="9223" max="9223" width="12.7109375" style="140" customWidth="1"/>
    <col min="9224" max="9224" width="12.85546875" style="140" customWidth="1"/>
    <col min="9225" max="9225" width="14.42578125" style="140" customWidth="1"/>
    <col min="9226" max="9470" width="9.140625" style="140"/>
    <col min="9471" max="9471" width="2.7109375" style="140" customWidth="1"/>
    <col min="9472" max="9472" width="9.140625" style="140"/>
    <col min="9473" max="9473" width="40.28515625" style="140" bestFit="1" customWidth="1"/>
    <col min="9474" max="9474" width="10" style="140" customWidth="1"/>
    <col min="9475" max="9475" width="10.140625" style="140" customWidth="1"/>
    <col min="9476" max="9476" width="12.28515625" style="140" customWidth="1"/>
    <col min="9477" max="9477" width="15.7109375" style="140" customWidth="1"/>
    <col min="9478" max="9478" width="12.85546875" style="140" customWidth="1"/>
    <col min="9479" max="9479" width="12.7109375" style="140" customWidth="1"/>
    <col min="9480" max="9480" width="12.85546875" style="140" customWidth="1"/>
    <col min="9481" max="9481" width="14.42578125" style="140" customWidth="1"/>
    <col min="9482" max="9726" width="9.140625" style="140"/>
    <col min="9727" max="9727" width="2.7109375" style="140" customWidth="1"/>
    <col min="9728" max="9728" width="9.140625" style="140"/>
    <col min="9729" max="9729" width="40.28515625" style="140" bestFit="1" customWidth="1"/>
    <col min="9730" max="9730" width="10" style="140" customWidth="1"/>
    <col min="9731" max="9731" width="10.140625" style="140" customWidth="1"/>
    <col min="9732" max="9732" width="12.28515625" style="140" customWidth="1"/>
    <col min="9733" max="9733" width="15.7109375" style="140" customWidth="1"/>
    <col min="9734" max="9734" width="12.85546875" style="140" customWidth="1"/>
    <col min="9735" max="9735" width="12.7109375" style="140" customWidth="1"/>
    <col min="9736" max="9736" width="12.85546875" style="140" customWidth="1"/>
    <col min="9737" max="9737" width="14.42578125" style="140" customWidth="1"/>
    <col min="9738" max="9982" width="9.140625" style="140"/>
    <col min="9983" max="9983" width="2.7109375" style="140" customWidth="1"/>
    <col min="9984" max="9984" width="9.140625" style="140"/>
    <col min="9985" max="9985" width="40.28515625" style="140" bestFit="1" customWidth="1"/>
    <col min="9986" max="9986" width="10" style="140" customWidth="1"/>
    <col min="9987" max="9987" width="10.140625" style="140" customWidth="1"/>
    <col min="9988" max="9988" width="12.28515625" style="140" customWidth="1"/>
    <col min="9989" max="9989" width="15.7109375" style="140" customWidth="1"/>
    <col min="9990" max="9990" width="12.85546875" style="140" customWidth="1"/>
    <col min="9991" max="9991" width="12.7109375" style="140" customWidth="1"/>
    <col min="9992" max="9992" width="12.85546875" style="140" customWidth="1"/>
    <col min="9993" max="9993" width="14.42578125" style="140" customWidth="1"/>
    <col min="9994" max="10238" width="9.140625" style="140"/>
    <col min="10239" max="10239" width="2.7109375" style="140" customWidth="1"/>
    <col min="10240" max="10240" width="9.140625" style="140"/>
    <col min="10241" max="10241" width="40.28515625" style="140" bestFit="1" customWidth="1"/>
    <col min="10242" max="10242" width="10" style="140" customWidth="1"/>
    <col min="10243" max="10243" width="10.140625" style="140" customWidth="1"/>
    <col min="10244" max="10244" width="12.28515625" style="140" customWidth="1"/>
    <col min="10245" max="10245" width="15.7109375" style="140" customWidth="1"/>
    <col min="10246" max="10246" width="12.85546875" style="140" customWidth="1"/>
    <col min="10247" max="10247" width="12.7109375" style="140" customWidth="1"/>
    <col min="10248" max="10248" width="12.85546875" style="140" customWidth="1"/>
    <col min="10249" max="10249" width="14.42578125" style="140" customWidth="1"/>
    <col min="10250" max="10494" width="9.140625" style="140"/>
    <col min="10495" max="10495" width="2.7109375" style="140" customWidth="1"/>
    <col min="10496" max="10496" width="9.140625" style="140"/>
    <col min="10497" max="10497" width="40.28515625" style="140" bestFit="1" customWidth="1"/>
    <col min="10498" max="10498" width="10" style="140" customWidth="1"/>
    <col min="10499" max="10499" width="10.140625" style="140" customWidth="1"/>
    <col min="10500" max="10500" width="12.28515625" style="140" customWidth="1"/>
    <col min="10501" max="10501" width="15.7109375" style="140" customWidth="1"/>
    <col min="10502" max="10502" width="12.85546875" style="140" customWidth="1"/>
    <col min="10503" max="10503" width="12.7109375" style="140" customWidth="1"/>
    <col min="10504" max="10504" width="12.85546875" style="140" customWidth="1"/>
    <col min="10505" max="10505" width="14.42578125" style="140" customWidth="1"/>
    <col min="10506" max="10750" width="9.140625" style="140"/>
    <col min="10751" max="10751" width="2.7109375" style="140" customWidth="1"/>
    <col min="10752" max="10752" width="9.140625" style="140"/>
    <col min="10753" max="10753" width="40.28515625" style="140" bestFit="1" customWidth="1"/>
    <col min="10754" max="10754" width="10" style="140" customWidth="1"/>
    <col min="10755" max="10755" width="10.140625" style="140" customWidth="1"/>
    <col min="10756" max="10756" width="12.28515625" style="140" customWidth="1"/>
    <col min="10757" max="10757" width="15.7109375" style="140" customWidth="1"/>
    <col min="10758" max="10758" width="12.85546875" style="140" customWidth="1"/>
    <col min="10759" max="10759" width="12.7109375" style="140" customWidth="1"/>
    <col min="10760" max="10760" width="12.85546875" style="140" customWidth="1"/>
    <col min="10761" max="10761" width="14.42578125" style="140" customWidth="1"/>
    <col min="10762" max="11006" width="9.140625" style="140"/>
    <col min="11007" max="11007" width="2.7109375" style="140" customWidth="1"/>
    <col min="11008" max="11008" width="9.140625" style="140"/>
    <col min="11009" max="11009" width="40.28515625" style="140" bestFit="1" customWidth="1"/>
    <col min="11010" max="11010" width="10" style="140" customWidth="1"/>
    <col min="11011" max="11011" width="10.140625" style="140" customWidth="1"/>
    <col min="11012" max="11012" width="12.28515625" style="140" customWidth="1"/>
    <col min="11013" max="11013" width="15.7109375" style="140" customWidth="1"/>
    <col min="11014" max="11014" width="12.85546875" style="140" customWidth="1"/>
    <col min="11015" max="11015" width="12.7109375" style="140" customWidth="1"/>
    <col min="11016" max="11016" width="12.85546875" style="140" customWidth="1"/>
    <col min="11017" max="11017" width="14.42578125" style="140" customWidth="1"/>
    <col min="11018" max="11262" width="9.140625" style="140"/>
    <col min="11263" max="11263" width="2.7109375" style="140" customWidth="1"/>
    <col min="11264" max="11264" width="9.140625" style="140"/>
    <col min="11265" max="11265" width="40.28515625" style="140" bestFit="1" customWidth="1"/>
    <col min="11266" max="11266" width="10" style="140" customWidth="1"/>
    <col min="11267" max="11267" width="10.140625" style="140" customWidth="1"/>
    <col min="11268" max="11268" width="12.28515625" style="140" customWidth="1"/>
    <col min="11269" max="11269" width="15.7109375" style="140" customWidth="1"/>
    <col min="11270" max="11270" width="12.85546875" style="140" customWidth="1"/>
    <col min="11271" max="11271" width="12.7109375" style="140" customWidth="1"/>
    <col min="11272" max="11272" width="12.85546875" style="140" customWidth="1"/>
    <col min="11273" max="11273" width="14.42578125" style="140" customWidth="1"/>
    <col min="11274" max="11518" width="9.140625" style="140"/>
    <col min="11519" max="11519" width="2.7109375" style="140" customWidth="1"/>
    <col min="11520" max="11520" width="9.140625" style="140"/>
    <col min="11521" max="11521" width="40.28515625" style="140" bestFit="1" customWidth="1"/>
    <col min="11522" max="11522" width="10" style="140" customWidth="1"/>
    <col min="11523" max="11523" width="10.140625" style="140" customWidth="1"/>
    <col min="11524" max="11524" width="12.28515625" style="140" customWidth="1"/>
    <col min="11525" max="11525" width="15.7109375" style="140" customWidth="1"/>
    <col min="11526" max="11526" width="12.85546875" style="140" customWidth="1"/>
    <col min="11527" max="11527" width="12.7109375" style="140" customWidth="1"/>
    <col min="11528" max="11528" width="12.85546875" style="140" customWidth="1"/>
    <col min="11529" max="11529" width="14.42578125" style="140" customWidth="1"/>
    <col min="11530" max="11774" width="9.140625" style="140"/>
    <col min="11775" max="11775" width="2.7109375" style="140" customWidth="1"/>
    <col min="11776" max="11776" width="9.140625" style="140"/>
    <col min="11777" max="11777" width="40.28515625" style="140" bestFit="1" customWidth="1"/>
    <col min="11778" max="11778" width="10" style="140" customWidth="1"/>
    <col min="11779" max="11779" width="10.140625" style="140" customWidth="1"/>
    <col min="11780" max="11780" width="12.28515625" style="140" customWidth="1"/>
    <col min="11781" max="11781" width="15.7109375" style="140" customWidth="1"/>
    <col min="11782" max="11782" width="12.85546875" style="140" customWidth="1"/>
    <col min="11783" max="11783" width="12.7109375" style="140" customWidth="1"/>
    <col min="11784" max="11784" width="12.85546875" style="140" customWidth="1"/>
    <col min="11785" max="11785" width="14.42578125" style="140" customWidth="1"/>
    <col min="11786" max="12030" width="9.140625" style="140"/>
    <col min="12031" max="12031" width="2.7109375" style="140" customWidth="1"/>
    <col min="12032" max="12032" width="9.140625" style="140"/>
    <col min="12033" max="12033" width="40.28515625" style="140" bestFit="1" customWidth="1"/>
    <col min="12034" max="12034" width="10" style="140" customWidth="1"/>
    <col min="12035" max="12035" width="10.140625" style="140" customWidth="1"/>
    <col min="12036" max="12036" width="12.28515625" style="140" customWidth="1"/>
    <col min="12037" max="12037" width="15.7109375" style="140" customWidth="1"/>
    <col min="12038" max="12038" width="12.85546875" style="140" customWidth="1"/>
    <col min="12039" max="12039" width="12.7109375" style="140" customWidth="1"/>
    <col min="12040" max="12040" width="12.85546875" style="140" customWidth="1"/>
    <col min="12041" max="12041" width="14.42578125" style="140" customWidth="1"/>
    <col min="12042" max="12286" width="9.140625" style="140"/>
    <col min="12287" max="12287" width="2.7109375" style="140" customWidth="1"/>
    <col min="12288" max="12288" width="9.140625" style="140"/>
    <col min="12289" max="12289" width="40.28515625" style="140" bestFit="1" customWidth="1"/>
    <col min="12290" max="12290" width="10" style="140" customWidth="1"/>
    <col min="12291" max="12291" width="10.140625" style="140" customWidth="1"/>
    <col min="12292" max="12292" width="12.28515625" style="140" customWidth="1"/>
    <col min="12293" max="12293" width="15.7109375" style="140" customWidth="1"/>
    <col min="12294" max="12294" width="12.85546875" style="140" customWidth="1"/>
    <col min="12295" max="12295" width="12.7109375" style="140" customWidth="1"/>
    <col min="12296" max="12296" width="12.85546875" style="140" customWidth="1"/>
    <col min="12297" max="12297" width="14.42578125" style="140" customWidth="1"/>
    <col min="12298" max="12542" width="9.140625" style="140"/>
    <col min="12543" max="12543" width="2.7109375" style="140" customWidth="1"/>
    <col min="12544" max="12544" width="9.140625" style="140"/>
    <col min="12545" max="12545" width="40.28515625" style="140" bestFit="1" customWidth="1"/>
    <col min="12546" max="12546" width="10" style="140" customWidth="1"/>
    <col min="12547" max="12547" width="10.140625" style="140" customWidth="1"/>
    <col min="12548" max="12548" width="12.28515625" style="140" customWidth="1"/>
    <col min="12549" max="12549" width="15.7109375" style="140" customWidth="1"/>
    <col min="12550" max="12550" width="12.85546875" style="140" customWidth="1"/>
    <col min="12551" max="12551" width="12.7109375" style="140" customWidth="1"/>
    <col min="12552" max="12552" width="12.85546875" style="140" customWidth="1"/>
    <col min="12553" max="12553" width="14.42578125" style="140" customWidth="1"/>
    <col min="12554" max="12798" width="9.140625" style="140"/>
    <col min="12799" max="12799" width="2.7109375" style="140" customWidth="1"/>
    <col min="12800" max="12800" width="9.140625" style="140"/>
    <col min="12801" max="12801" width="40.28515625" style="140" bestFit="1" customWidth="1"/>
    <col min="12802" max="12802" width="10" style="140" customWidth="1"/>
    <col min="12803" max="12803" width="10.140625" style="140" customWidth="1"/>
    <col min="12804" max="12804" width="12.28515625" style="140" customWidth="1"/>
    <col min="12805" max="12805" width="15.7109375" style="140" customWidth="1"/>
    <col min="12806" max="12806" width="12.85546875" style="140" customWidth="1"/>
    <col min="12807" max="12807" width="12.7109375" style="140" customWidth="1"/>
    <col min="12808" max="12808" width="12.85546875" style="140" customWidth="1"/>
    <col min="12809" max="12809" width="14.42578125" style="140" customWidth="1"/>
    <col min="12810" max="13054" width="9.140625" style="140"/>
    <col min="13055" max="13055" width="2.7109375" style="140" customWidth="1"/>
    <col min="13056" max="13056" width="9.140625" style="140"/>
    <col min="13057" max="13057" width="40.28515625" style="140" bestFit="1" customWidth="1"/>
    <col min="13058" max="13058" width="10" style="140" customWidth="1"/>
    <col min="13059" max="13059" width="10.140625" style="140" customWidth="1"/>
    <col min="13060" max="13060" width="12.28515625" style="140" customWidth="1"/>
    <col min="13061" max="13061" width="15.7109375" style="140" customWidth="1"/>
    <col min="13062" max="13062" width="12.85546875" style="140" customWidth="1"/>
    <col min="13063" max="13063" width="12.7109375" style="140" customWidth="1"/>
    <col min="13064" max="13064" width="12.85546875" style="140" customWidth="1"/>
    <col min="13065" max="13065" width="14.42578125" style="140" customWidth="1"/>
    <col min="13066" max="13310" width="9.140625" style="140"/>
    <col min="13311" max="13311" width="2.7109375" style="140" customWidth="1"/>
    <col min="13312" max="13312" width="9.140625" style="140"/>
    <col min="13313" max="13313" width="40.28515625" style="140" bestFit="1" customWidth="1"/>
    <col min="13314" max="13314" width="10" style="140" customWidth="1"/>
    <col min="13315" max="13315" width="10.140625" style="140" customWidth="1"/>
    <col min="13316" max="13316" width="12.28515625" style="140" customWidth="1"/>
    <col min="13317" max="13317" width="15.7109375" style="140" customWidth="1"/>
    <col min="13318" max="13318" width="12.85546875" style="140" customWidth="1"/>
    <col min="13319" max="13319" width="12.7109375" style="140" customWidth="1"/>
    <col min="13320" max="13320" width="12.85546875" style="140" customWidth="1"/>
    <col min="13321" max="13321" width="14.42578125" style="140" customWidth="1"/>
    <col min="13322" max="13566" width="9.140625" style="140"/>
    <col min="13567" max="13567" width="2.7109375" style="140" customWidth="1"/>
    <col min="13568" max="13568" width="9.140625" style="140"/>
    <col min="13569" max="13569" width="40.28515625" style="140" bestFit="1" customWidth="1"/>
    <col min="13570" max="13570" width="10" style="140" customWidth="1"/>
    <col min="13571" max="13571" width="10.140625" style="140" customWidth="1"/>
    <col min="13572" max="13572" width="12.28515625" style="140" customWidth="1"/>
    <col min="13573" max="13573" width="15.7109375" style="140" customWidth="1"/>
    <col min="13574" max="13574" width="12.85546875" style="140" customWidth="1"/>
    <col min="13575" max="13575" width="12.7109375" style="140" customWidth="1"/>
    <col min="13576" max="13576" width="12.85546875" style="140" customWidth="1"/>
    <col min="13577" max="13577" width="14.42578125" style="140" customWidth="1"/>
    <col min="13578" max="13822" width="9.140625" style="140"/>
    <col min="13823" max="13823" width="2.7109375" style="140" customWidth="1"/>
    <col min="13824" max="13824" width="9.140625" style="140"/>
    <col min="13825" max="13825" width="40.28515625" style="140" bestFit="1" customWidth="1"/>
    <col min="13826" max="13826" width="10" style="140" customWidth="1"/>
    <col min="13827" max="13827" width="10.140625" style="140" customWidth="1"/>
    <col min="13828" max="13828" width="12.28515625" style="140" customWidth="1"/>
    <col min="13829" max="13829" width="15.7109375" style="140" customWidth="1"/>
    <col min="13830" max="13830" width="12.85546875" style="140" customWidth="1"/>
    <col min="13831" max="13831" width="12.7109375" style="140" customWidth="1"/>
    <col min="13832" max="13832" width="12.85546875" style="140" customWidth="1"/>
    <col min="13833" max="13833" width="14.42578125" style="140" customWidth="1"/>
    <col min="13834" max="14078" width="9.140625" style="140"/>
    <col min="14079" max="14079" width="2.7109375" style="140" customWidth="1"/>
    <col min="14080" max="14080" width="9.140625" style="140"/>
    <col min="14081" max="14081" width="40.28515625" style="140" bestFit="1" customWidth="1"/>
    <col min="14082" max="14082" width="10" style="140" customWidth="1"/>
    <col min="14083" max="14083" width="10.140625" style="140" customWidth="1"/>
    <col min="14084" max="14084" width="12.28515625" style="140" customWidth="1"/>
    <col min="14085" max="14085" width="15.7109375" style="140" customWidth="1"/>
    <col min="14086" max="14086" width="12.85546875" style="140" customWidth="1"/>
    <col min="14087" max="14087" width="12.7109375" style="140" customWidth="1"/>
    <col min="14088" max="14088" width="12.85546875" style="140" customWidth="1"/>
    <col min="14089" max="14089" width="14.42578125" style="140" customWidth="1"/>
    <col min="14090" max="14334" width="9.140625" style="140"/>
    <col min="14335" max="14335" width="2.7109375" style="140" customWidth="1"/>
    <col min="14336" max="14336" width="9.140625" style="140"/>
    <col min="14337" max="14337" width="40.28515625" style="140" bestFit="1" customWidth="1"/>
    <col min="14338" max="14338" width="10" style="140" customWidth="1"/>
    <col min="14339" max="14339" width="10.140625" style="140" customWidth="1"/>
    <col min="14340" max="14340" width="12.28515625" style="140" customWidth="1"/>
    <col min="14341" max="14341" width="15.7109375" style="140" customWidth="1"/>
    <col min="14342" max="14342" width="12.85546875" style="140" customWidth="1"/>
    <col min="14343" max="14343" width="12.7109375" style="140" customWidth="1"/>
    <col min="14344" max="14344" width="12.85546875" style="140" customWidth="1"/>
    <col min="14345" max="14345" width="14.42578125" style="140" customWidth="1"/>
    <col min="14346" max="14590" width="9.140625" style="140"/>
    <col min="14591" max="14591" width="2.7109375" style="140" customWidth="1"/>
    <col min="14592" max="14592" width="9.140625" style="140"/>
    <col min="14593" max="14593" width="40.28515625" style="140" bestFit="1" customWidth="1"/>
    <col min="14594" max="14594" width="10" style="140" customWidth="1"/>
    <col min="14595" max="14595" width="10.140625" style="140" customWidth="1"/>
    <col min="14596" max="14596" width="12.28515625" style="140" customWidth="1"/>
    <col min="14597" max="14597" width="15.7109375" style="140" customWidth="1"/>
    <col min="14598" max="14598" width="12.85546875" style="140" customWidth="1"/>
    <col min="14599" max="14599" width="12.7109375" style="140" customWidth="1"/>
    <col min="14600" max="14600" width="12.85546875" style="140" customWidth="1"/>
    <col min="14601" max="14601" width="14.42578125" style="140" customWidth="1"/>
    <col min="14602" max="14846" width="9.140625" style="140"/>
    <col min="14847" max="14847" width="2.7109375" style="140" customWidth="1"/>
    <col min="14848" max="14848" width="9.140625" style="140"/>
    <col min="14849" max="14849" width="40.28515625" style="140" bestFit="1" customWidth="1"/>
    <col min="14850" max="14850" width="10" style="140" customWidth="1"/>
    <col min="14851" max="14851" width="10.140625" style="140" customWidth="1"/>
    <col min="14852" max="14852" width="12.28515625" style="140" customWidth="1"/>
    <col min="14853" max="14853" width="15.7109375" style="140" customWidth="1"/>
    <col min="14854" max="14854" width="12.85546875" style="140" customWidth="1"/>
    <col min="14855" max="14855" width="12.7109375" style="140" customWidth="1"/>
    <col min="14856" max="14856" width="12.85546875" style="140" customWidth="1"/>
    <col min="14857" max="14857" width="14.42578125" style="140" customWidth="1"/>
    <col min="14858" max="15102" width="9.140625" style="140"/>
    <col min="15103" max="15103" width="2.7109375" style="140" customWidth="1"/>
    <col min="15104" max="15104" width="9.140625" style="140"/>
    <col min="15105" max="15105" width="40.28515625" style="140" bestFit="1" customWidth="1"/>
    <col min="15106" max="15106" width="10" style="140" customWidth="1"/>
    <col min="15107" max="15107" width="10.140625" style="140" customWidth="1"/>
    <col min="15108" max="15108" width="12.28515625" style="140" customWidth="1"/>
    <col min="15109" max="15109" width="15.7109375" style="140" customWidth="1"/>
    <col min="15110" max="15110" width="12.85546875" style="140" customWidth="1"/>
    <col min="15111" max="15111" width="12.7109375" style="140" customWidth="1"/>
    <col min="15112" max="15112" width="12.85546875" style="140" customWidth="1"/>
    <col min="15113" max="15113" width="14.42578125" style="140" customWidth="1"/>
    <col min="15114" max="15358" width="9.140625" style="140"/>
    <col min="15359" max="15359" width="2.7109375" style="140" customWidth="1"/>
    <col min="15360" max="15360" width="9.140625" style="140"/>
    <col min="15361" max="15361" width="40.28515625" style="140" bestFit="1" customWidth="1"/>
    <col min="15362" max="15362" width="10" style="140" customWidth="1"/>
    <col min="15363" max="15363" width="10.140625" style="140" customWidth="1"/>
    <col min="15364" max="15364" width="12.28515625" style="140" customWidth="1"/>
    <col min="15365" max="15365" width="15.7109375" style="140" customWidth="1"/>
    <col min="15366" max="15366" width="12.85546875" style="140" customWidth="1"/>
    <col min="15367" max="15367" width="12.7109375" style="140" customWidth="1"/>
    <col min="15368" max="15368" width="12.85546875" style="140" customWidth="1"/>
    <col min="15369" max="15369" width="14.42578125" style="140" customWidth="1"/>
    <col min="15370" max="15614" width="9.140625" style="140"/>
    <col min="15615" max="15615" width="2.7109375" style="140" customWidth="1"/>
    <col min="15616" max="15616" width="9.140625" style="140"/>
    <col min="15617" max="15617" width="40.28515625" style="140" bestFit="1" customWidth="1"/>
    <col min="15618" max="15618" width="10" style="140" customWidth="1"/>
    <col min="15619" max="15619" width="10.140625" style="140" customWidth="1"/>
    <col min="15620" max="15620" width="12.28515625" style="140" customWidth="1"/>
    <col min="15621" max="15621" width="15.7109375" style="140" customWidth="1"/>
    <col min="15622" max="15622" width="12.85546875" style="140" customWidth="1"/>
    <col min="15623" max="15623" width="12.7109375" style="140" customWidth="1"/>
    <col min="15624" max="15624" width="12.85546875" style="140" customWidth="1"/>
    <col min="15625" max="15625" width="14.42578125" style="140" customWidth="1"/>
    <col min="15626" max="15870" width="9.140625" style="140"/>
    <col min="15871" max="15871" width="2.7109375" style="140" customWidth="1"/>
    <col min="15872" max="15872" width="9.140625" style="140"/>
    <col min="15873" max="15873" width="40.28515625" style="140" bestFit="1" customWidth="1"/>
    <col min="15874" max="15874" width="10" style="140" customWidth="1"/>
    <col min="15875" max="15875" width="10.140625" style="140" customWidth="1"/>
    <col min="15876" max="15876" width="12.28515625" style="140" customWidth="1"/>
    <col min="15877" max="15877" width="15.7109375" style="140" customWidth="1"/>
    <col min="15878" max="15878" width="12.85546875" style="140" customWidth="1"/>
    <col min="15879" max="15879" width="12.7109375" style="140" customWidth="1"/>
    <col min="15880" max="15880" width="12.85546875" style="140" customWidth="1"/>
    <col min="15881" max="15881" width="14.42578125" style="140" customWidth="1"/>
    <col min="15882" max="16126" width="9.140625" style="140"/>
    <col min="16127" max="16127" width="2.7109375" style="140" customWidth="1"/>
    <col min="16128" max="16128" width="9.140625" style="140"/>
    <col min="16129" max="16129" width="40.28515625" style="140" bestFit="1" customWidth="1"/>
    <col min="16130" max="16130" width="10" style="140" customWidth="1"/>
    <col min="16131" max="16131" width="10.140625" style="140" customWidth="1"/>
    <col min="16132" max="16132" width="12.28515625" style="140" customWidth="1"/>
    <col min="16133" max="16133" width="15.7109375" style="140" customWidth="1"/>
    <col min="16134" max="16134" width="12.85546875" style="140" customWidth="1"/>
    <col min="16135" max="16135" width="12.7109375" style="140" customWidth="1"/>
    <col min="16136" max="16136" width="12.85546875" style="140" customWidth="1"/>
    <col min="16137" max="16137" width="14.42578125" style="140" customWidth="1"/>
    <col min="16138" max="16384" width="9.140625" style="140"/>
  </cols>
  <sheetData>
    <row r="1" spans="1:11" x14ac:dyDescent="0.2">
      <c r="C1" s="337"/>
      <c r="D1" s="336"/>
      <c r="E1" s="337"/>
      <c r="F1" s="337"/>
      <c r="G1" s="334" t="s">
        <v>394</v>
      </c>
      <c r="H1" s="253" t="str">
        <f>EBNUMBER</f>
        <v>EB-2015-0089</v>
      </c>
      <c r="J1" s="337"/>
    </row>
    <row r="2" spans="1:11" x14ac:dyDescent="0.2">
      <c r="C2" s="337"/>
      <c r="D2" s="336"/>
      <c r="E2" s="337"/>
      <c r="F2" s="337"/>
      <c r="G2" s="334" t="s">
        <v>395</v>
      </c>
      <c r="H2" s="136">
        <v>4</v>
      </c>
      <c r="J2" s="337"/>
    </row>
    <row r="3" spans="1:11" x14ac:dyDescent="0.2">
      <c r="C3" s="337"/>
      <c r="D3" s="336"/>
      <c r="E3" s="337"/>
      <c r="F3" s="337"/>
      <c r="G3" s="334" t="s">
        <v>396</v>
      </c>
      <c r="H3" s="136" t="s">
        <v>2458</v>
      </c>
      <c r="J3" s="337"/>
    </row>
    <row r="4" spans="1:11" x14ac:dyDescent="0.2">
      <c r="C4" s="337"/>
      <c r="D4" s="336"/>
      <c r="E4" s="337"/>
      <c r="F4" s="337"/>
      <c r="G4" s="334" t="s">
        <v>397</v>
      </c>
      <c r="H4" s="136" t="s">
        <v>2420</v>
      </c>
      <c r="J4" s="337"/>
    </row>
    <row r="5" spans="1:11" x14ac:dyDescent="0.2">
      <c r="C5" s="337"/>
      <c r="D5" s="336"/>
      <c r="E5" s="337"/>
      <c r="F5" s="337"/>
      <c r="G5" s="334" t="s">
        <v>398</v>
      </c>
      <c r="H5" s="1514">
        <v>73</v>
      </c>
      <c r="J5" s="337"/>
    </row>
    <row r="6" spans="1:11" x14ac:dyDescent="0.2">
      <c r="C6" s="337"/>
      <c r="D6" s="336"/>
      <c r="E6" s="337"/>
      <c r="F6" s="337"/>
      <c r="G6" s="334"/>
      <c r="H6" s="1513"/>
      <c r="J6" s="337"/>
    </row>
    <row r="7" spans="1:11" x14ac:dyDescent="0.2">
      <c r="C7" s="337"/>
      <c r="D7" s="336"/>
      <c r="E7" s="337"/>
      <c r="F7" s="337"/>
      <c r="G7" s="334" t="s">
        <v>399</v>
      </c>
      <c r="H7" s="1838" t="s">
        <v>2459</v>
      </c>
      <c r="J7" s="394"/>
    </row>
    <row r="9" spans="1:11" ht="18" x14ac:dyDescent="0.2">
      <c r="A9" s="2083" t="s">
        <v>1813</v>
      </c>
      <c r="B9" s="2083"/>
      <c r="C9" s="2083"/>
      <c r="D9" s="2083"/>
      <c r="E9" s="2083"/>
      <c r="F9" s="2083"/>
      <c r="G9" s="2083"/>
      <c r="H9" s="2083"/>
      <c r="I9" s="495"/>
    </row>
    <row r="10" spans="1:11" ht="18" x14ac:dyDescent="0.2">
      <c r="A10" s="2083" t="s">
        <v>3</v>
      </c>
      <c r="B10" s="2083"/>
      <c r="C10" s="2083"/>
      <c r="D10" s="2083"/>
      <c r="E10" s="2083"/>
      <c r="F10" s="2083"/>
      <c r="G10" s="2083"/>
      <c r="H10" s="2083"/>
      <c r="I10" s="2083"/>
    </row>
    <row r="11" spans="1:11" ht="24" customHeight="1" x14ac:dyDescent="0.2">
      <c r="A11" s="2076" t="s">
        <v>1853</v>
      </c>
      <c r="B11" s="2076"/>
      <c r="C11" s="2076"/>
      <c r="D11" s="2076"/>
      <c r="E11" s="2076"/>
      <c r="F11" s="2076"/>
      <c r="G11" s="2076"/>
      <c r="H11" s="2076"/>
      <c r="I11" s="456"/>
      <c r="J11" s="456"/>
      <c r="K11" s="496"/>
    </row>
    <row r="12" spans="1:11" ht="24" customHeight="1" x14ac:dyDescent="0.2">
      <c r="A12" s="1479"/>
      <c r="B12" s="1479"/>
      <c r="C12" s="1479"/>
      <c r="D12" s="1479"/>
      <c r="E12" s="1479"/>
      <c r="F12" s="1479"/>
      <c r="G12" s="1479"/>
      <c r="H12" s="1479"/>
      <c r="I12" s="456"/>
      <c r="J12" s="456"/>
      <c r="K12" s="496"/>
    </row>
    <row r="13" spans="1:11" ht="15.75" customHeight="1" x14ac:dyDescent="0.25">
      <c r="A13" s="1467"/>
      <c r="D13" s="435">
        <v>2016</v>
      </c>
      <c r="E13" s="497" t="s">
        <v>152</v>
      </c>
      <c r="F13" s="497" t="s">
        <v>2436</v>
      </c>
      <c r="G13" s="497"/>
      <c r="H13" s="497"/>
    </row>
    <row r="14" spans="1:11" ht="13.5" thickBot="1" x14ac:dyDescent="0.25"/>
    <row r="15" spans="1:11" ht="62.25" customHeight="1" x14ac:dyDescent="0.2">
      <c r="A15" s="474" t="s">
        <v>4</v>
      </c>
      <c r="B15" s="2072" t="s">
        <v>324</v>
      </c>
      <c r="C15" s="404" t="s">
        <v>326</v>
      </c>
      <c r="D15" s="404" t="s">
        <v>489</v>
      </c>
      <c r="E15" s="404" t="s">
        <v>479</v>
      </c>
      <c r="F15" s="438" t="s">
        <v>1803</v>
      </c>
      <c r="G15" s="2079" t="s">
        <v>1808</v>
      </c>
      <c r="H15" s="438" t="s">
        <v>482</v>
      </c>
    </row>
    <row r="16" spans="1:11" ht="52.5" customHeight="1" thickBot="1" x14ac:dyDescent="0.25">
      <c r="A16" s="475"/>
      <c r="B16" s="2078"/>
      <c r="C16" s="439" t="s">
        <v>6</v>
      </c>
      <c r="D16" s="439" t="s">
        <v>8</v>
      </c>
      <c r="E16" s="439" t="s">
        <v>9</v>
      </c>
      <c r="F16" s="457" t="s">
        <v>1804</v>
      </c>
      <c r="G16" s="2080"/>
      <c r="H16" s="442" t="s">
        <v>476</v>
      </c>
      <c r="I16"/>
      <c r="J16"/>
      <c r="K16"/>
    </row>
    <row r="17" spans="1:11" ht="13.5" thickBot="1" x14ac:dyDescent="0.25">
      <c r="A17" s="1551">
        <v>1609</v>
      </c>
      <c r="B17" s="355" t="s">
        <v>2159</v>
      </c>
      <c r="C17" s="356">
        <f>+'App.2-BA_Fixed Asset Cont'!E511</f>
        <v>0</v>
      </c>
      <c r="D17" s="459">
        <f>+'App.2-CJ MIFRS_DepExp_2015'!D17</f>
        <v>40</v>
      </c>
      <c r="E17" s="479">
        <f t="shared" ref="E17" si="0">IF(D17=0,0,1/D17)</f>
        <v>2.5000000000000001E-2</v>
      </c>
      <c r="F17" s="374">
        <f>IF(D17=0,'App.2-CJ MIFRS_DepExp_2015'!K17,+'App.2-CJ MIFRS_DepExp_2015'!K17+((C17*0.5)/D17))</f>
        <v>3058.7249999999999</v>
      </c>
      <c r="G17" s="356">
        <f>-'App.2-BA_Fixed Asset Cont'!J511</f>
        <v>3059</v>
      </c>
      <c r="H17" s="374">
        <f t="shared" ref="H17" si="1">IF(ISERROR(+F17-G17), 0, +F17-G17)</f>
        <v>-0.27500000000009095</v>
      </c>
      <c r="I17"/>
      <c r="J17"/>
      <c r="K17"/>
    </row>
    <row r="18" spans="1:11" ht="25.5" x14ac:dyDescent="0.2">
      <c r="A18" s="476">
        <v>1611</v>
      </c>
      <c r="B18" s="477" t="s">
        <v>475</v>
      </c>
      <c r="C18" s="356">
        <f>+'App.2-BA_Fixed Asset Cont'!E512</f>
        <v>80000</v>
      </c>
      <c r="D18" s="459">
        <f>+'App.2-CJ MIFRS_DepExp_2015'!D18</f>
        <v>5</v>
      </c>
      <c r="E18" s="479">
        <f t="shared" ref="E18:E56" si="2">IF(D18=0,0,1/D18)</f>
        <v>0.2</v>
      </c>
      <c r="F18" s="374">
        <f>IF(D18=0,'App.2-CJ MIFRS_DepExp_2015'!K18,+'App.2-CJ MIFRS_DepExp_2015'!K18+((C18*0.5)/D18))</f>
        <v>177835.17512953369</v>
      </c>
      <c r="G18" s="356">
        <f>-'App.2-BA_Fixed Asset Cont'!J512</f>
        <v>177835</v>
      </c>
      <c r="H18" s="374">
        <f t="shared" ref="H18:H56" si="3">IF(ISERROR(+F18-G18), 0, +F18-G18)</f>
        <v>0.17512953368714079</v>
      </c>
    </row>
    <row r="19" spans="1:11" x14ac:dyDescent="0.2">
      <c r="A19" s="1477">
        <v>1612</v>
      </c>
      <c r="B19" s="355" t="s">
        <v>563</v>
      </c>
      <c r="C19" s="356">
        <f>+'App.2-BA_Fixed Asset Cont'!E513</f>
        <v>0</v>
      </c>
      <c r="D19" s="459">
        <f>+'App.2-CJ MIFRS_DepExp_2015'!D19</f>
        <v>0</v>
      </c>
      <c r="E19" s="413">
        <f t="shared" si="2"/>
        <v>0</v>
      </c>
      <c r="F19" s="374">
        <f>IF(D19=0,'App.2-CJ MIFRS_DepExp_2015'!K19,+'App.2-CJ MIFRS_DepExp_2015'!K19+((C19*0.5)/D19))</f>
        <v>0</v>
      </c>
      <c r="G19" s="356">
        <f>-'App.2-BA_Fixed Asset Cont'!J513</f>
        <v>0</v>
      </c>
      <c r="H19" s="374">
        <f t="shared" si="3"/>
        <v>0</v>
      </c>
    </row>
    <row r="20" spans="1:11" x14ac:dyDescent="0.2">
      <c r="A20" s="414">
        <v>1805</v>
      </c>
      <c r="B20" s="362" t="s">
        <v>358</v>
      </c>
      <c r="C20" s="356">
        <f>+'App.2-BA_Fixed Asset Cont'!E514</f>
        <v>0</v>
      </c>
      <c r="D20" s="459">
        <f>+'App.2-CJ MIFRS_DepExp_2015'!D20</f>
        <v>0</v>
      </c>
      <c r="E20" s="413">
        <f t="shared" si="2"/>
        <v>0</v>
      </c>
      <c r="F20" s="374">
        <f>IF(D20=0,'App.2-CJ MIFRS_DepExp_2015'!K20,+'App.2-CJ MIFRS_DepExp_2015'!K20+((C20*0.5)/D20))</f>
        <v>0</v>
      </c>
      <c r="G20" s="356">
        <f>-'App.2-BA_Fixed Asset Cont'!J514</f>
        <v>0</v>
      </c>
      <c r="H20" s="374">
        <f t="shared" si="3"/>
        <v>0</v>
      </c>
    </row>
    <row r="21" spans="1:11" x14ac:dyDescent="0.2">
      <c r="A21" s="1477">
        <v>1808</v>
      </c>
      <c r="B21" s="363" t="s">
        <v>359</v>
      </c>
      <c r="C21" s="356">
        <f>+'App.2-BA_Fixed Asset Cont'!E515</f>
        <v>0</v>
      </c>
      <c r="D21" s="459">
        <f>+'App.2-CJ MIFRS_DepExp_2015'!D21</f>
        <v>0</v>
      </c>
      <c r="E21" s="413">
        <f t="shared" si="2"/>
        <v>0</v>
      </c>
      <c r="F21" s="374">
        <f>IF(D21=0,'App.2-CJ MIFRS_DepExp_2015'!K21,+'App.2-CJ MIFRS_DepExp_2015'!K21+((C21*0.5)/D21))</f>
        <v>0</v>
      </c>
      <c r="G21" s="356">
        <f>-'App.2-BA_Fixed Asset Cont'!J515</f>
        <v>0</v>
      </c>
      <c r="H21" s="374">
        <f t="shared" si="3"/>
        <v>0</v>
      </c>
    </row>
    <row r="22" spans="1:11" x14ac:dyDescent="0.2">
      <c r="A22" s="1477">
        <v>1810</v>
      </c>
      <c r="B22" s="363" t="s">
        <v>392</v>
      </c>
      <c r="C22" s="356">
        <f>+'App.2-BA_Fixed Asset Cont'!E516</f>
        <v>0</v>
      </c>
      <c r="D22" s="459">
        <f>+'App.2-CJ MIFRS_DepExp_2015'!D22</f>
        <v>0</v>
      </c>
      <c r="E22" s="413">
        <f t="shared" si="2"/>
        <v>0</v>
      </c>
      <c r="F22" s="374">
        <f>IF(D22=0,'App.2-CJ MIFRS_DepExp_2015'!K22,+'App.2-CJ MIFRS_DepExp_2015'!K22+((C22*0.5)/D22))</f>
        <v>0</v>
      </c>
      <c r="G22" s="356">
        <f>-'App.2-BA_Fixed Asset Cont'!J516</f>
        <v>0</v>
      </c>
      <c r="H22" s="374">
        <f t="shared" si="3"/>
        <v>0</v>
      </c>
    </row>
    <row r="23" spans="1:11" x14ac:dyDescent="0.2">
      <c r="A23" s="1477">
        <v>1815</v>
      </c>
      <c r="B23" s="363" t="s">
        <v>360</v>
      </c>
      <c r="C23" s="356">
        <f>+'App.2-BA_Fixed Asset Cont'!E517</f>
        <v>0</v>
      </c>
      <c r="D23" s="459">
        <f>+'App.2-CJ MIFRS_DepExp_2015'!D23</f>
        <v>0</v>
      </c>
      <c r="E23" s="413">
        <f t="shared" si="2"/>
        <v>0</v>
      </c>
      <c r="F23" s="374">
        <f>IF(D23=0,'App.2-CJ MIFRS_DepExp_2015'!K23,+'App.2-CJ MIFRS_DepExp_2015'!K23+((C23*0.5)/D23))</f>
        <v>0</v>
      </c>
      <c r="G23" s="356">
        <f>-'App.2-BA_Fixed Asset Cont'!J517</f>
        <v>0</v>
      </c>
      <c r="H23" s="374">
        <f t="shared" si="3"/>
        <v>0</v>
      </c>
    </row>
    <row r="24" spans="1:11" x14ac:dyDescent="0.2">
      <c r="A24" s="1477">
        <v>1820</v>
      </c>
      <c r="B24" s="355" t="s">
        <v>287</v>
      </c>
      <c r="C24" s="356">
        <f>+'App.2-BA_Fixed Asset Cont'!E518</f>
        <v>0</v>
      </c>
      <c r="D24" s="459">
        <f>+'App.2-CJ MIFRS_DepExp_2015'!D24</f>
        <v>45</v>
      </c>
      <c r="E24" s="413">
        <f t="shared" si="2"/>
        <v>2.2222222222222223E-2</v>
      </c>
      <c r="F24" s="374">
        <f>IF(D24=0,'App.2-CJ MIFRS_DepExp_2015'!K24,+'App.2-CJ MIFRS_DepExp_2015'!K24+((C24*0.5)/D24))</f>
        <v>22995.838445807753</v>
      </c>
      <c r="G24" s="356">
        <f>-'App.2-BA_Fixed Asset Cont'!J518</f>
        <v>23011</v>
      </c>
      <c r="H24" s="374">
        <f t="shared" si="3"/>
        <v>-15.161554192247422</v>
      </c>
    </row>
    <row r="25" spans="1:11" x14ac:dyDescent="0.2">
      <c r="A25" s="1477">
        <v>1825</v>
      </c>
      <c r="B25" s="363" t="s">
        <v>361</v>
      </c>
      <c r="C25" s="356">
        <f>+'App.2-BA_Fixed Asset Cont'!E519</f>
        <v>0</v>
      </c>
      <c r="D25" s="459">
        <f>+'App.2-CJ MIFRS_DepExp_2015'!D25</f>
        <v>0</v>
      </c>
      <c r="E25" s="413">
        <f t="shared" si="2"/>
        <v>0</v>
      </c>
      <c r="F25" s="374">
        <f>IF(D25=0,'App.2-CJ MIFRS_DepExp_2015'!K25,+'App.2-CJ MIFRS_DepExp_2015'!K25+((C25*0.5)/D25))</f>
        <v>0</v>
      </c>
      <c r="G25" s="356">
        <f>-'App.2-BA_Fixed Asset Cont'!J519</f>
        <v>0</v>
      </c>
      <c r="H25" s="374">
        <f t="shared" si="3"/>
        <v>0</v>
      </c>
    </row>
    <row r="26" spans="1:11" x14ac:dyDescent="0.2">
      <c r="A26" s="1477">
        <v>1830</v>
      </c>
      <c r="B26" s="363" t="s">
        <v>362</v>
      </c>
      <c r="C26" s="356">
        <f>+'App.2-BA_Fixed Asset Cont'!E520</f>
        <v>2089184.1750421943</v>
      </c>
      <c r="D26" s="459">
        <f>+'App.2-CJ MIFRS_DepExp_2015'!D26</f>
        <v>45</v>
      </c>
      <c r="E26" s="413">
        <f t="shared" si="2"/>
        <v>2.2222222222222223E-2</v>
      </c>
      <c r="F26" s="374">
        <f>IF(D26=0,'App.2-CJ MIFRS_DepExp_2015'!K26,+'App.2-CJ MIFRS_DepExp_2015'!K26+((C26*0.5)/D26))</f>
        <v>550814.75571700919</v>
      </c>
      <c r="G26" s="356">
        <f>-'App.2-BA_Fixed Asset Cont'!J520</f>
        <v>414331.66544788261</v>
      </c>
      <c r="H26" s="374">
        <f t="shared" si="3"/>
        <v>136483.09026912658</v>
      </c>
    </row>
    <row r="27" spans="1:11" x14ac:dyDescent="0.2">
      <c r="A27" s="1477">
        <v>1835</v>
      </c>
      <c r="B27" s="363" t="s">
        <v>288</v>
      </c>
      <c r="C27" s="356">
        <f>+'App.2-BA_Fixed Asset Cont'!E521</f>
        <v>1926976</v>
      </c>
      <c r="D27" s="459">
        <f>+'App.2-CJ MIFRS_DepExp_2015'!D27</f>
        <v>45</v>
      </c>
      <c r="E27" s="413">
        <f t="shared" si="2"/>
        <v>2.2222222222222223E-2</v>
      </c>
      <c r="F27" s="374">
        <f>IF(D27=0,'App.2-CJ MIFRS_DepExp_2015'!K27,+'App.2-CJ MIFRS_DepExp_2015'!K27+((C27*0.5)/D27))</f>
        <v>352043.38765797776</v>
      </c>
      <c r="G27" s="356">
        <f>-'App.2-BA_Fixed Asset Cont'!J521</f>
        <v>488466.43499656185</v>
      </c>
      <c r="H27" s="374">
        <f t="shared" si="3"/>
        <v>-136423.04733858409</v>
      </c>
    </row>
    <row r="28" spans="1:11" x14ac:dyDescent="0.2">
      <c r="A28" s="1477">
        <v>1840</v>
      </c>
      <c r="B28" s="363" t="s">
        <v>289</v>
      </c>
      <c r="C28" s="356">
        <f>+'App.2-BA_Fixed Asset Cont'!E522</f>
        <v>1792153</v>
      </c>
      <c r="D28" s="459">
        <f>+'App.2-CJ MIFRS_DepExp_2015'!D28</f>
        <v>40</v>
      </c>
      <c r="E28" s="413">
        <f t="shared" si="2"/>
        <v>2.5000000000000001E-2</v>
      </c>
      <c r="F28" s="374">
        <f>IF(D28=0,'App.2-CJ MIFRS_DepExp_2015'!K28,+'App.2-CJ MIFRS_DepExp_2015'!K28+((C28*0.5)/D28))</f>
        <v>593684.87534194533</v>
      </c>
      <c r="G28" s="356">
        <f>-'App.2-BA_Fixed Asset Cont'!J522</f>
        <v>530774</v>
      </c>
      <c r="H28" s="374">
        <f t="shared" si="3"/>
        <v>62910.875341945328</v>
      </c>
    </row>
    <row r="29" spans="1:11" x14ac:dyDescent="0.2">
      <c r="A29" s="1477">
        <v>1845</v>
      </c>
      <c r="B29" s="363" t="s">
        <v>290</v>
      </c>
      <c r="C29" s="356">
        <f>+'App.2-BA_Fixed Asset Cont'!E523</f>
        <v>1152391</v>
      </c>
      <c r="D29" s="459">
        <f>+'App.2-CJ MIFRS_DepExp_2015'!D29</f>
        <v>40</v>
      </c>
      <c r="E29" s="413">
        <f t="shared" si="2"/>
        <v>2.5000000000000001E-2</v>
      </c>
      <c r="F29" s="374">
        <f>IF(D29=0,'App.2-CJ MIFRS_DepExp_2015'!K29,+'App.2-CJ MIFRS_DepExp_2015'!K29+((C29*0.5)/D29))</f>
        <v>405657.52380653267</v>
      </c>
      <c r="G29" s="356">
        <f>-'App.2-BA_Fixed Asset Cont'!J523</f>
        <v>468585</v>
      </c>
      <c r="H29" s="374">
        <f t="shared" si="3"/>
        <v>-62927.47619346733</v>
      </c>
    </row>
    <row r="30" spans="1:11" x14ac:dyDescent="0.2">
      <c r="A30" s="1477">
        <v>1850</v>
      </c>
      <c r="B30" s="363" t="s">
        <v>363</v>
      </c>
      <c r="C30" s="356">
        <f>+'App.2-BA_Fixed Asset Cont'!E524</f>
        <v>1130764</v>
      </c>
      <c r="D30" s="459">
        <f>+'App.2-CJ MIFRS_DepExp_2015'!D30</f>
        <v>40</v>
      </c>
      <c r="E30" s="413">
        <f t="shared" si="2"/>
        <v>2.5000000000000001E-2</v>
      </c>
      <c r="F30" s="374">
        <f>IF(D30=0,'App.2-CJ MIFRS_DepExp_2015'!K30,+'App.2-CJ MIFRS_DepExp_2015'!K30+((C30*0.5)/D30))</f>
        <v>742147.99770523061</v>
      </c>
      <c r="G30" s="356">
        <f>-'App.2-BA_Fixed Asset Cont'!J524</f>
        <v>737912</v>
      </c>
      <c r="H30" s="374">
        <f t="shared" si="3"/>
        <v>4235.9977052306058</v>
      </c>
    </row>
    <row r="31" spans="1:11" x14ac:dyDescent="0.2">
      <c r="A31" s="1477">
        <v>1855</v>
      </c>
      <c r="B31" s="363" t="s">
        <v>291</v>
      </c>
      <c r="C31" s="356">
        <f>+'App.2-BA_Fixed Asset Cont'!E525</f>
        <v>1080520</v>
      </c>
      <c r="D31" s="459">
        <f>+'App.2-CJ MIFRS_DepExp_2015'!D31</f>
        <v>40</v>
      </c>
      <c r="E31" s="413">
        <f t="shared" si="2"/>
        <v>2.5000000000000001E-2</v>
      </c>
      <c r="F31" s="374">
        <f>IF(D31=0,'App.2-CJ MIFRS_DepExp_2015'!K31,+'App.2-CJ MIFRS_DepExp_2015'!K31+((C31*0.5)/D31))</f>
        <v>265028.00666666665</v>
      </c>
      <c r="G31" s="356">
        <f>-'App.2-BA_Fixed Asset Cont'!J525</f>
        <v>265028</v>
      </c>
      <c r="H31" s="374">
        <f t="shared" si="3"/>
        <v>6.6666666534729302E-3</v>
      </c>
    </row>
    <row r="32" spans="1:11" x14ac:dyDescent="0.2">
      <c r="A32" s="1477">
        <v>1860</v>
      </c>
      <c r="B32" s="363" t="s">
        <v>364</v>
      </c>
      <c r="C32" s="356">
        <f>+'App.2-BA_Fixed Asset Cont'!E526</f>
        <v>0</v>
      </c>
      <c r="D32" s="459">
        <f>+'App.2-CJ MIFRS_DepExp_2015'!D32</f>
        <v>15</v>
      </c>
      <c r="E32" s="413">
        <f t="shared" si="2"/>
        <v>6.6666666666666666E-2</v>
      </c>
      <c r="F32" s="374">
        <f>IF(D32=0,'App.2-CJ MIFRS_DepExp_2015'!K32,+'App.2-CJ MIFRS_DepExp_2015'!K32+((C32*0.5)/D32))</f>
        <v>0</v>
      </c>
      <c r="G32" s="356">
        <f>-'App.2-BA_Fixed Asset Cont'!J526</f>
        <v>0</v>
      </c>
      <c r="H32" s="374">
        <f t="shared" si="3"/>
        <v>0</v>
      </c>
    </row>
    <row r="33" spans="1:8" x14ac:dyDescent="0.2">
      <c r="A33" s="414">
        <v>1860</v>
      </c>
      <c r="B33" s="362" t="s">
        <v>292</v>
      </c>
      <c r="C33" s="356">
        <f>+'App.2-BA_Fixed Asset Cont'!E527</f>
        <v>293926</v>
      </c>
      <c r="D33" s="459">
        <f>+'App.2-CJ MIFRS_DepExp_2015'!D33</f>
        <v>15</v>
      </c>
      <c r="E33" s="413">
        <f t="shared" si="2"/>
        <v>6.6666666666666666E-2</v>
      </c>
      <c r="F33" s="374">
        <f>IF(D33=0,'App.2-CJ MIFRS_DepExp_2015'!K33,+'App.2-CJ MIFRS_DepExp_2015'!K33+((C33*0.5)/D33))</f>
        <v>744683.27864864853</v>
      </c>
      <c r="G33" s="356">
        <f>-'App.2-BA_Fixed Asset Cont'!J527</f>
        <v>741734</v>
      </c>
      <c r="H33" s="374">
        <f t="shared" si="3"/>
        <v>2949.2786486485275</v>
      </c>
    </row>
    <row r="34" spans="1:8" x14ac:dyDescent="0.2">
      <c r="A34" s="414">
        <v>1905</v>
      </c>
      <c r="B34" s="362" t="s">
        <v>358</v>
      </c>
      <c r="C34" s="356">
        <f>+'App.2-BA_Fixed Asset Cont'!E528</f>
        <v>0</v>
      </c>
      <c r="D34" s="459">
        <f>+'App.2-CJ MIFRS_DepExp_2015'!D34</f>
        <v>0</v>
      </c>
      <c r="E34" s="413">
        <f t="shared" si="2"/>
        <v>0</v>
      </c>
      <c r="F34" s="374">
        <f>IF(D34=0,'App.2-CJ MIFRS_DepExp_2015'!K34,+'App.2-CJ MIFRS_DepExp_2015'!K34+((C34*0.5)/D34))</f>
        <v>0</v>
      </c>
      <c r="G34" s="356">
        <f>-'App.2-BA_Fixed Asset Cont'!J528</f>
        <v>0</v>
      </c>
      <c r="H34" s="374">
        <f t="shared" si="3"/>
        <v>0</v>
      </c>
    </row>
    <row r="35" spans="1:8" x14ac:dyDescent="0.2">
      <c r="A35" s="1477">
        <v>1908</v>
      </c>
      <c r="B35" s="363" t="s">
        <v>366</v>
      </c>
      <c r="C35" s="356">
        <f>+'App.2-BA_Fixed Asset Cont'!E529</f>
        <v>0</v>
      </c>
      <c r="D35" s="459">
        <v>50</v>
      </c>
      <c r="E35" s="413">
        <f t="shared" si="2"/>
        <v>0.02</v>
      </c>
      <c r="F35" s="374">
        <f>IF(D35=0,'App.2-CJ MIFRS_DepExp_2015'!K35,+'App.2-CJ MIFRS_DepExp_2015'!K35+((C35*0.5)/D35))</f>
        <v>170495.96</v>
      </c>
      <c r="G35" s="356">
        <f>-'App.2-BA_Fixed Asset Cont'!J529</f>
        <v>170495.96</v>
      </c>
      <c r="H35" s="374">
        <f t="shared" si="3"/>
        <v>0</v>
      </c>
    </row>
    <row r="36" spans="1:8" x14ac:dyDescent="0.2">
      <c r="A36" s="1477">
        <v>1910</v>
      </c>
      <c r="B36" s="363" t="s">
        <v>392</v>
      </c>
      <c r="C36" s="356">
        <f>+'App.2-BA_Fixed Asset Cont'!E530</f>
        <v>0</v>
      </c>
      <c r="D36" s="459">
        <f>+'App.2-CJ MIFRS_DepExp_2015'!D36</f>
        <v>5</v>
      </c>
      <c r="E36" s="413">
        <f t="shared" si="2"/>
        <v>0.2</v>
      </c>
      <c r="F36" s="374">
        <f>IF(D36=0,'App.2-CJ MIFRS_DepExp_2015'!K36,+'App.2-CJ MIFRS_DepExp_2015'!K36+((C36*0.5)/D36))</f>
        <v>0.3478260869596852</v>
      </c>
      <c r="G36" s="356">
        <f>-'App.2-BA_Fixed Asset Cont'!J530</f>
        <v>0</v>
      </c>
      <c r="H36" s="374">
        <f t="shared" si="3"/>
        <v>0.3478260869596852</v>
      </c>
    </row>
    <row r="37" spans="1:8" x14ac:dyDescent="0.2">
      <c r="A37" s="1477">
        <v>1915</v>
      </c>
      <c r="B37" s="363" t="s">
        <v>293</v>
      </c>
      <c r="C37" s="356">
        <f>+'App.2-BA_Fixed Asset Cont'!E531</f>
        <v>0</v>
      </c>
      <c r="D37" s="459">
        <f>+'App.2-CJ MIFRS_DepExp_2015'!D37</f>
        <v>10</v>
      </c>
      <c r="E37" s="413">
        <f t="shared" si="2"/>
        <v>0.1</v>
      </c>
      <c r="F37" s="374">
        <f>IF(D37=0,'App.2-CJ MIFRS_DepExp_2015'!K37,+'App.2-CJ MIFRS_DepExp_2015'!K37+((C37*0.5)/D37))</f>
        <v>55389.974603174604</v>
      </c>
      <c r="G37" s="356">
        <f>-'App.2-BA_Fixed Asset Cont'!J531</f>
        <v>40000</v>
      </c>
      <c r="H37" s="374">
        <f t="shared" si="3"/>
        <v>15389.974603174604</v>
      </c>
    </row>
    <row r="38" spans="1:8" x14ac:dyDescent="0.2">
      <c r="A38" s="1477">
        <v>1915</v>
      </c>
      <c r="B38" s="363" t="s">
        <v>294</v>
      </c>
      <c r="C38" s="356">
        <f>+'App.2-BA_Fixed Asset Cont'!E532</f>
        <v>0</v>
      </c>
      <c r="D38" s="459">
        <f>+'App.2-CJ MIFRS_DepExp_2015'!D38</f>
        <v>0</v>
      </c>
      <c r="E38" s="413">
        <f t="shared" si="2"/>
        <v>0</v>
      </c>
      <c r="F38" s="374">
        <f>IF(D38=0,'App.2-CJ MIFRS_DepExp_2015'!K38,+'App.2-CJ MIFRS_DepExp_2015'!K38+((C38*0.5)/D38))</f>
        <v>0</v>
      </c>
      <c r="G38" s="356">
        <f>-'App.2-BA_Fixed Asset Cont'!J532</f>
        <v>0</v>
      </c>
      <c r="H38" s="374">
        <f t="shared" si="3"/>
        <v>0</v>
      </c>
    </row>
    <row r="39" spans="1:8" x14ac:dyDescent="0.2">
      <c r="A39" s="1477">
        <v>1920</v>
      </c>
      <c r="B39" s="363" t="s">
        <v>295</v>
      </c>
      <c r="C39" s="356">
        <f>+'App.2-BA_Fixed Asset Cont'!E533</f>
        <v>98000</v>
      </c>
      <c r="D39" s="459">
        <f>+'App.2-CJ MIFRS_DepExp_2015'!D39</f>
        <v>5</v>
      </c>
      <c r="E39" s="413">
        <f t="shared" si="2"/>
        <v>0.2</v>
      </c>
      <c r="F39" s="374">
        <f>IF(D39=0,'App.2-CJ MIFRS_DepExp_2015'!K39,+'App.2-CJ MIFRS_DepExp_2015'!K39+((C39*0.5)/D39))</f>
        <v>107996.76091954022</v>
      </c>
      <c r="G39" s="356">
        <f>-'App.2-BA_Fixed Asset Cont'!J533</f>
        <v>107997</v>
      </c>
      <c r="H39" s="374">
        <f t="shared" si="3"/>
        <v>-0.23908045978168957</v>
      </c>
    </row>
    <row r="40" spans="1:8" x14ac:dyDescent="0.2">
      <c r="A40" s="415">
        <v>1920</v>
      </c>
      <c r="B40" s="355" t="s">
        <v>297</v>
      </c>
      <c r="C40" s="356">
        <f>+'App.2-BA_Fixed Asset Cont'!E534</f>
        <v>0</v>
      </c>
      <c r="D40" s="459">
        <f>+'App.2-CJ MIFRS_DepExp_2015'!D40</f>
        <v>0</v>
      </c>
      <c r="E40" s="413">
        <f t="shared" si="2"/>
        <v>0</v>
      </c>
      <c r="F40" s="374">
        <f>IF(D40=0,'App.2-CJ MIFRS_DepExp_2015'!K40,+'App.2-CJ MIFRS_DepExp_2015'!K40+((C40*0.5)/D40))</f>
        <v>0</v>
      </c>
      <c r="G40" s="356">
        <f>-'App.2-BA_Fixed Asset Cont'!J534</f>
        <v>0</v>
      </c>
      <c r="H40" s="374">
        <f t="shared" si="3"/>
        <v>0</v>
      </c>
    </row>
    <row r="41" spans="1:8" x14ac:dyDescent="0.2">
      <c r="A41" s="415">
        <v>1920</v>
      </c>
      <c r="B41" s="355" t="s">
        <v>296</v>
      </c>
      <c r="C41" s="356">
        <f>+'App.2-BA_Fixed Asset Cont'!E535</f>
        <v>0</v>
      </c>
      <c r="D41" s="459">
        <f>+'App.2-CJ MIFRS_DepExp_2015'!D41</f>
        <v>0</v>
      </c>
      <c r="E41" s="413">
        <f t="shared" si="2"/>
        <v>0</v>
      </c>
      <c r="F41" s="374">
        <f>IF(D41=0,'App.2-CJ MIFRS_DepExp_2015'!K41,+'App.2-CJ MIFRS_DepExp_2015'!K41+((C41*0.5)/D41))</f>
        <v>0</v>
      </c>
      <c r="G41" s="356">
        <f>-'App.2-BA_Fixed Asset Cont'!J535</f>
        <v>0</v>
      </c>
      <c r="H41" s="374">
        <f t="shared" si="3"/>
        <v>0</v>
      </c>
    </row>
    <row r="42" spans="1:8" x14ac:dyDescent="0.2">
      <c r="A42" s="1477">
        <v>1930</v>
      </c>
      <c r="B42" s="363" t="s">
        <v>379</v>
      </c>
      <c r="C42" s="356">
        <f>645000-C43</f>
        <v>460000</v>
      </c>
      <c r="D42" s="459">
        <f>+'App.2-CJ MIFRS_DepExp_2015'!D42</f>
        <v>12</v>
      </c>
      <c r="E42" s="413">
        <f t="shared" si="2"/>
        <v>8.3333333333333329E-2</v>
      </c>
      <c r="F42" s="374">
        <f>IF(D42=0,'App.2-CJ MIFRS_DepExp_2015'!K42,+'App.2-CJ MIFRS_DepExp_2015'!K42+((C42*0.5)/D42))</f>
        <v>123501.18000000001</v>
      </c>
      <c r="G42" s="356">
        <f>-'App.2-BA_Fixed Asset Cont'!J536</f>
        <v>208004</v>
      </c>
      <c r="H42" s="374">
        <f t="shared" si="3"/>
        <v>-84502.819999999992</v>
      </c>
    </row>
    <row r="43" spans="1:8" x14ac:dyDescent="0.2">
      <c r="A43" s="1553">
        <v>1930</v>
      </c>
      <c r="B43" s="363" t="s">
        <v>379</v>
      </c>
      <c r="C43" s="356">
        <v>185000</v>
      </c>
      <c r="D43" s="459">
        <v>8</v>
      </c>
      <c r="E43" s="413">
        <f t="shared" si="2"/>
        <v>0.125</v>
      </c>
      <c r="F43" s="374">
        <f>IF(D43=0,'App.2-CJ MIFRS_DepExp_2015'!K43,+'App.2-CJ MIFRS_DepExp_2015'!K43+((C43*0.5)/D43))</f>
        <v>83794.403385416692</v>
      </c>
      <c r="G43" s="356"/>
      <c r="H43" s="374">
        <f t="shared" ref="H43" si="4">IF(ISERROR(+F43-G43), 0, +F43-G43)</f>
        <v>83794.403385416692</v>
      </c>
    </row>
    <row r="44" spans="1:8" x14ac:dyDescent="0.2">
      <c r="A44" s="1477">
        <v>1935</v>
      </c>
      <c r="B44" s="363" t="s">
        <v>380</v>
      </c>
      <c r="C44" s="356">
        <f>+'App.2-BA_Fixed Asset Cont'!E537</f>
        <v>43680</v>
      </c>
      <c r="D44" s="459">
        <f>+'App.2-CJ MIFRS_DepExp_2015'!D44</f>
        <v>12</v>
      </c>
      <c r="E44" s="413">
        <f t="shared" si="2"/>
        <v>8.3333333333333329E-2</v>
      </c>
      <c r="F44" s="374">
        <f>IF(D44=0,'App.2-CJ MIFRS_DepExp_2015'!K44,+'App.2-CJ MIFRS_DepExp_2015'!K44+((C44*0.5)/D44))</f>
        <v>15700.629428571428</v>
      </c>
      <c r="G44" s="356">
        <f>-'App.2-BA_Fixed Asset Cont'!J537</f>
        <v>12369</v>
      </c>
      <c r="H44" s="374">
        <f t="shared" si="3"/>
        <v>3331.6294285714284</v>
      </c>
    </row>
    <row r="45" spans="1:8" x14ac:dyDescent="0.2">
      <c r="A45" s="1477">
        <v>1940</v>
      </c>
      <c r="B45" s="363" t="s">
        <v>381</v>
      </c>
      <c r="C45" s="356">
        <f>+'App.2-BA_Fixed Asset Cont'!E538</f>
        <v>29500</v>
      </c>
      <c r="D45" s="459">
        <f>+'App.2-CJ MIFRS_DepExp_2015'!D45</f>
        <v>10</v>
      </c>
      <c r="E45" s="413">
        <f t="shared" si="2"/>
        <v>0.1</v>
      </c>
      <c r="F45" s="374">
        <f>IF(D45=0,'App.2-CJ MIFRS_DepExp_2015'!K45,+'App.2-CJ MIFRS_DepExp_2015'!K45+((C45*0.5)/D45))</f>
        <v>13781.759493670874</v>
      </c>
      <c r="G45" s="356">
        <f>-'App.2-BA_Fixed Asset Cont'!J538</f>
        <v>8639</v>
      </c>
      <c r="H45" s="374">
        <f t="shared" si="3"/>
        <v>5142.7594936708738</v>
      </c>
    </row>
    <row r="46" spans="1:8" x14ac:dyDescent="0.2">
      <c r="A46" s="1477">
        <v>1945</v>
      </c>
      <c r="B46" s="363" t="s">
        <v>382</v>
      </c>
      <c r="C46" s="356">
        <f>+'App.2-BA_Fixed Asset Cont'!E539</f>
        <v>0</v>
      </c>
      <c r="D46" s="459">
        <f>+'App.2-CJ MIFRS_DepExp_2015'!D46</f>
        <v>10</v>
      </c>
      <c r="E46" s="413">
        <f t="shared" si="2"/>
        <v>0.1</v>
      </c>
      <c r="F46" s="374">
        <f>IF(D46=0,'App.2-CJ MIFRS_DepExp_2015'!K46,+'App.2-CJ MIFRS_DepExp_2015'!K46+((C46*0.5)/D46))</f>
        <v>9473.8084780388162</v>
      </c>
      <c r="G46" s="356">
        <f>-'App.2-BA_Fixed Asset Cont'!J539</f>
        <v>9476</v>
      </c>
      <c r="H46" s="374">
        <f t="shared" si="3"/>
        <v>-2.1915219611837529</v>
      </c>
    </row>
    <row r="47" spans="1:8" x14ac:dyDescent="0.2">
      <c r="A47" s="1477">
        <v>1950</v>
      </c>
      <c r="B47" s="363" t="s">
        <v>298</v>
      </c>
      <c r="C47" s="356">
        <f>+'App.2-BA_Fixed Asset Cont'!E540</f>
        <v>0</v>
      </c>
      <c r="D47" s="459">
        <f>+'App.2-CJ MIFRS_DepExp_2015'!D47</f>
        <v>0</v>
      </c>
      <c r="E47" s="413">
        <f t="shared" si="2"/>
        <v>0</v>
      </c>
      <c r="F47" s="374">
        <f>IF(D47=0,'App.2-CJ MIFRS_DepExp_2015'!K47,+'App.2-CJ MIFRS_DepExp_2015'!K47+((C47*0.5)/D47))</f>
        <v>0</v>
      </c>
      <c r="G47" s="356">
        <f>-'App.2-BA_Fixed Asset Cont'!J540</f>
        <v>0</v>
      </c>
      <c r="H47" s="374">
        <f t="shared" si="3"/>
        <v>0</v>
      </c>
    </row>
    <row r="48" spans="1:8" x14ac:dyDescent="0.2">
      <c r="A48" s="1477">
        <v>1955</v>
      </c>
      <c r="B48" s="363" t="s">
        <v>383</v>
      </c>
      <c r="C48" s="356">
        <f>+'App.2-BA_Fixed Asset Cont'!E541</f>
        <v>805000</v>
      </c>
      <c r="D48" s="459">
        <f>+'App.2-CJ MIFRS_DepExp_2015'!D48</f>
        <v>10</v>
      </c>
      <c r="E48" s="413">
        <f t="shared" si="2"/>
        <v>0.1</v>
      </c>
      <c r="F48" s="374">
        <f>IF(D48=0,'App.2-CJ MIFRS_DepExp_2015'!K48,+'App.2-CJ MIFRS_DepExp_2015'!K48+((C48*0.5)/D48))</f>
        <v>88106.724057450629</v>
      </c>
      <c r="G48" s="356">
        <f>-'App.2-BA_Fixed Asset Cont'!J541</f>
        <v>103497</v>
      </c>
      <c r="H48" s="374">
        <f t="shared" si="3"/>
        <v>-15390.275942549371</v>
      </c>
    </row>
    <row r="49" spans="1:9" x14ac:dyDescent="0.2">
      <c r="A49" s="416">
        <v>1955</v>
      </c>
      <c r="B49" s="367" t="s">
        <v>299</v>
      </c>
      <c r="C49" s="356">
        <f>+'App.2-BA_Fixed Asset Cont'!E542</f>
        <v>0</v>
      </c>
      <c r="D49" s="459">
        <f>+'App.2-CJ MIFRS_DepExp_2015'!D49</f>
        <v>0</v>
      </c>
      <c r="E49" s="413">
        <f t="shared" si="2"/>
        <v>0</v>
      </c>
      <c r="F49" s="374">
        <f>IF(D49=0,'App.2-CJ MIFRS_DepExp_2015'!K49,+'App.2-CJ MIFRS_DepExp_2015'!K49+((C49*0.5)/D49))</f>
        <v>0</v>
      </c>
      <c r="G49" s="356">
        <f>-'App.2-BA_Fixed Asset Cont'!J542</f>
        <v>0</v>
      </c>
      <c r="H49" s="374">
        <f t="shared" si="3"/>
        <v>0</v>
      </c>
    </row>
    <row r="50" spans="1:9" x14ac:dyDescent="0.2">
      <c r="A50" s="415">
        <v>1960</v>
      </c>
      <c r="B50" s="355" t="s">
        <v>300</v>
      </c>
      <c r="C50" s="356">
        <f>+'App.2-BA_Fixed Asset Cont'!E543</f>
        <v>0</v>
      </c>
      <c r="D50" s="459">
        <f>+'App.2-CJ MIFRS_DepExp_2015'!D50</f>
        <v>0</v>
      </c>
      <c r="E50" s="413">
        <f t="shared" si="2"/>
        <v>0</v>
      </c>
      <c r="F50" s="374">
        <f>IF(D50=0,'App.2-CJ MIFRS_DepExp_2015'!K50,+'App.2-CJ MIFRS_DepExp_2015'!K50+((C50*0.5)/D50))</f>
        <v>0</v>
      </c>
      <c r="G50" s="356">
        <f>-'App.2-BA_Fixed Asset Cont'!J543</f>
        <v>0</v>
      </c>
      <c r="H50" s="374">
        <f t="shared" si="3"/>
        <v>0</v>
      </c>
    </row>
    <row r="51" spans="1:9" x14ac:dyDescent="0.2">
      <c r="A51" s="415">
        <v>1970</v>
      </c>
      <c r="B51" s="1474" t="s">
        <v>712</v>
      </c>
      <c r="C51" s="356">
        <f>+'App.2-BA_Fixed Asset Cont'!E544</f>
        <v>0</v>
      </c>
      <c r="D51" s="459">
        <f>+'App.2-CJ MIFRS_DepExp_2015'!D51</f>
        <v>0</v>
      </c>
      <c r="E51" s="413">
        <f t="shared" si="2"/>
        <v>0</v>
      </c>
      <c r="F51" s="374">
        <f>IF(D51=0,'App.2-CJ MIFRS_DepExp_2015'!K51,+'App.2-CJ MIFRS_DepExp_2015'!K51+((C51*0.5)/D51))</f>
        <v>0</v>
      </c>
      <c r="G51" s="356">
        <f>-'App.2-BA_Fixed Asset Cont'!J544</f>
        <v>0</v>
      </c>
      <c r="H51" s="374">
        <f t="shared" si="3"/>
        <v>0</v>
      </c>
    </row>
    <row r="52" spans="1:9" x14ac:dyDescent="0.2">
      <c r="A52" s="1477">
        <v>1975</v>
      </c>
      <c r="B52" s="363" t="s">
        <v>384</v>
      </c>
      <c r="C52" s="356">
        <f>+'App.2-BA_Fixed Asset Cont'!E545</f>
        <v>0</v>
      </c>
      <c r="D52" s="459">
        <f>+'App.2-CJ MIFRS_DepExp_2015'!D52</f>
        <v>0</v>
      </c>
      <c r="E52" s="413">
        <f t="shared" si="2"/>
        <v>0</v>
      </c>
      <c r="F52" s="374">
        <f>IF(D52=0,'App.2-CJ MIFRS_DepExp_2015'!K52,+'App.2-CJ MIFRS_DepExp_2015'!K52+((C52*0.5)/D52))</f>
        <v>0</v>
      </c>
      <c r="G52" s="356">
        <f>-'App.2-BA_Fixed Asset Cont'!J545</f>
        <v>0</v>
      </c>
      <c r="H52" s="374">
        <f t="shared" si="3"/>
        <v>0</v>
      </c>
    </row>
    <row r="53" spans="1:9" x14ac:dyDescent="0.2">
      <c r="A53" s="1477">
        <v>1980</v>
      </c>
      <c r="B53" s="363" t="s">
        <v>385</v>
      </c>
      <c r="C53" s="356">
        <f>+'App.2-BA_Fixed Asset Cont'!E546</f>
        <v>0</v>
      </c>
      <c r="D53" s="459">
        <f>+'App.2-CJ MIFRS_DepExp_2015'!D53</f>
        <v>15</v>
      </c>
      <c r="E53" s="413">
        <f t="shared" si="2"/>
        <v>6.6666666666666666E-2</v>
      </c>
      <c r="F53" s="374">
        <f>IF(D53=0,'App.2-CJ MIFRS_DepExp_2015'!K53,+'App.2-CJ MIFRS_DepExp_2015'!K53+((C53*0.5)/D53))</f>
        <v>5375.1333333333332</v>
      </c>
      <c r="G53" s="356">
        <f>-'App.2-BA_Fixed Asset Cont'!J546</f>
        <v>5375</v>
      </c>
      <c r="H53" s="374">
        <f t="shared" si="3"/>
        <v>0.13333333333321207</v>
      </c>
    </row>
    <row r="54" spans="1:9" x14ac:dyDescent="0.2">
      <c r="A54" s="1477">
        <v>1985</v>
      </c>
      <c r="B54" s="363" t="s">
        <v>386</v>
      </c>
      <c r="C54" s="356">
        <f>+'App.2-BA_Fixed Asset Cont'!E547</f>
        <v>0</v>
      </c>
      <c r="D54" s="459">
        <f>+'App.2-CJ MIFRS_DepExp_2015'!D54</f>
        <v>0</v>
      </c>
      <c r="E54" s="413">
        <f t="shared" si="2"/>
        <v>0</v>
      </c>
      <c r="F54" s="374">
        <f>IF(D54=0,'App.2-CJ MIFRS_DepExp_2015'!K54,+'App.2-CJ MIFRS_DepExp_2015'!K54+((C54*0.5)/D54))</f>
        <v>0</v>
      </c>
      <c r="G54" s="356">
        <f>-'App.2-BA_Fixed Asset Cont'!J547</f>
        <v>0</v>
      </c>
      <c r="H54" s="374">
        <f t="shared" si="3"/>
        <v>0</v>
      </c>
    </row>
    <row r="55" spans="1:9" x14ac:dyDescent="0.2">
      <c r="A55" s="1477">
        <v>1990</v>
      </c>
      <c r="B55" s="1475" t="s">
        <v>650</v>
      </c>
      <c r="C55" s="356">
        <f>+'App.2-BA_Fixed Asset Cont'!E548</f>
        <v>0</v>
      </c>
      <c r="D55" s="459">
        <f>+'App.2-CJ MIFRS_DepExp_2015'!D55</f>
        <v>10</v>
      </c>
      <c r="E55" s="413">
        <f t="shared" si="2"/>
        <v>0.1</v>
      </c>
      <c r="F55" s="374">
        <f>IF(D55=0,'App.2-CJ MIFRS_DepExp_2015'!K55,+'App.2-CJ MIFRS_DepExp_2015'!K55+((C55*0.5)/D55))</f>
        <v>13293.991735537187</v>
      </c>
      <c r="G55" s="356">
        <f>-'App.2-BA_Fixed Asset Cont'!J548</f>
        <v>13301</v>
      </c>
      <c r="H55" s="374">
        <f t="shared" si="3"/>
        <v>-7.0082644628128037</v>
      </c>
    </row>
    <row r="56" spans="1:9" ht="13.5" thickBot="1" x14ac:dyDescent="0.25">
      <c r="A56" s="1477">
        <v>2440</v>
      </c>
      <c r="B56" s="363" t="s">
        <v>2178</v>
      </c>
      <c r="C56" s="356">
        <f>+'App.2-BA_Fixed Asset Cont'!E550</f>
        <v>-3808361</v>
      </c>
      <c r="D56" s="459">
        <f>+'App.2-CJ MIFRS_DepExp_2015'!D56</f>
        <v>42.5</v>
      </c>
      <c r="E56" s="421">
        <f t="shared" si="2"/>
        <v>2.3529411764705882E-2</v>
      </c>
      <c r="F56" s="446">
        <f>IF(D56=0,'App.2-CJ MIFRS_DepExp_2015'!K56,+'App.2-CJ MIFRS_DepExp_2015'!K56+((C56*0.5)/D56))</f>
        <v>-1153564.4586947423</v>
      </c>
      <c r="G56" s="356">
        <f>-'App.2-BA_Fixed Asset Cont'!J550</f>
        <v>-1163311</v>
      </c>
      <c r="H56" s="446">
        <f t="shared" si="3"/>
        <v>9746.541305257706</v>
      </c>
    </row>
    <row r="57" spans="1:9" ht="14.25" thickTop="1" thickBot="1" x14ac:dyDescent="0.25">
      <c r="A57" s="422"/>
      <c r="B57" s="423" t="s">
        <v>388</v>
      </c>
      <c r="C57" s="424">
        <f>SUM(C18:C56)</f>
        <v>7358733.1750421934</v>
      </c>
      <c r="D57" s="469"/>
      <c r="E57" s="427"/>
      <c r="F57" s="424">
        <f>SUM(F17:F56)</f>
        <v>3391295.778685431</v>
      </c>
      <c r="G57" s="424">
        <f>SUM(G17:G56)</f>
        <v>3366579.0604444444</v>
      </c>
      <c r="H57" s="424">
        <f>SUM(H17:H56)</f>
        <v>24716.718240986171</v>
      </c>
    </row>
    <row r="58" spans="1:9" x14ac:dyDescent="0.2">
      <c r="A58" s="450"/>
      <c r="B58" s="472" t="s">
        <v>654</v>
      </c>
      <c r="C58" s="473"/>
      <c r="D58" s="473"/>
      <c r="E58" s="473"/>
      <c r="F58" s="494"/>
      <c r="G58" s="452"/>
      <c r="H58" s="452"/>
    </row>
    <row r="59" spans="1:9" ht="27" customHeight="1" x14ac:dyDescent="0.2">
      <c r="B59" s="2069" t="s">
        <v>493</v>
      </c>
      <c r="C59" s="2069"/>
      <c r="D59" s="2069"/>
      <c r="E59" s="2084"/>
      <c r="F59" s="374">
        <f>SUM(F57:F58)</f>
        <v>3391295.778685431</v>
      </c>
    </row>
    <row r="60" spans="1:9" x14ac:dyDescent="0.2">
      <c r="A60" s="334" t="s">
        <v>13</v>
      </c>
      <c r="B60" s="158"/>
      <c r="C60" s="158"/>
      <c r="D60" s="158"/>
      <c r="E60" s="158"/>
      <c r="F60" s="158"/>
      <c r="G60" s="158"/>
      <c r="H60" s="158"/>
    </row>
    <row r="61" spans="1:9" ht="27" customHeight="1" x14ac:dyDescent="0.2">
      <c r="A61" s="466">
        <v>1</v>
      </c>
      <c r="B61" s="2001" t="s">
        <v>524</v>
      </c>
      <c r="C61" s="2001"/>
      <c r="D61" s="2001"/>
      <c r="E61" s="2001"/>
      <c r="F61" s="2001"/>
      <c r="G61" s="2001"/>
      <c r="H61" s="2001"/>
      <c r="I61" s="1478"/>
    </row>
    <row r="62" spans="1:9" ht="12.75" customHeight="1" x14ac:dyDescent="0.2">
      <c r="A62" s="455">
        <v>2</v>
      </c>
      <c r="B62" s="2001" t="s">
        <v>1498</v>
      </c>
      <c r="C62" s="2001"/>
      <c r="D62" s="2001"/>
      <c r="E62" s="2001"/>
      <c r="F62" s="2001"/>
      <c r="G62" s="2001"/>
      <c r="H62" s="2001"/>
      <c r="I62" s="2001"/>
    </row>
    <row r="63" spans="1:9" x14ac:dyDescent="0.2">
      <c r="A63" s="455"/>
      <c r="B63" s="2001"/>
      <c r="C63" s="2001"/>
      <c r="D63" s="2001"/>
      <c r="E63" s="2001"/>
      <c r="F63" s="2001"/>
      <c r="G63" s="2001"/>
      <c r="H63" s="2001"/>
      <c r="I63" s="2001"/>
    </row>
    <row r="64" spans="1:9" ht="12.75" customHeight="1" x14ac:dyDescent="0.2">
      <c r="A64" s="334" t="s">
        <v>306</v>
      </c>
      <c r="B64" s="2069" t="s">
        <v>257</v>
      </c>
      <c r="C64" s="2069"/>
      <c r="D64" s="2069"/>
      <c r="E64" s="2069"/>
      <c r="F64" s="2069"/>
      <c r="G64" s="2069"/>
      <c r="H64" s="2069"/>
      <c r="I64" s="432"/>
    </row>
    <row r="65" spans="1:11" ht="27" customHeight="1" x14ac:dyDescent="0.2">
      <c r="A65" s="158"/>
      <c r="B65" s="2069"/>
      <c r="C65" s="2069"/>
      <c r="D65" s="2069"/>
      <c r="E65" s="2069"/>
      <c r="F65" s="2069"/>
      <c r="G65" s="2069"/>
      <c r="H65" s="2069"/>
      <c r="I65" s="432"/>
    </row>
    <row r="66" spans="1:11" ht="27" customHeight="1" x14ac:dyDescent="0.2">
      <c r="A66" s="158"/>
      <c r="I66" s="432"/>
    </row>
    <row r="67" spans="1:11" x14ac:dyDescent="0.2">
      <c r="J67" s="483"/>
      <c r="K67" s="483"/>
    </row>
    <row r="68" spans="1:11" ht="23.25" customHeight="1" x14ac:dyDescent="0.2">
      <c r="J68" s="483"/>
      <c r="K68" s="483"/>
    </row>
    <row r="69" spans="1:11" x14ac:dyDescent="0.2">
      <c r="A69" s="158"/>
      <c r="I69" s="483"/>
      <c r="J69" s="483"/>
      <c r="K69" s="483"/>
    </row>
    <row r="70" spans="1:11" x14ac:dyDescent="0.2">
      <c r="A70" s="1478"/>
      <c r="B70" s="1478"/>
      <c r="C70" s="1478"/>
      <c r="D70" s="1478"/>
      <c r="E70" s="1478"/>
      <c r="F70" s="158"/>
      <c r="G70" s="158"/>
      <c r="H70" s="158"/>
    </row>
  </sheetData>
  <mergeCells count="10">
    <mergeCell ref="B61:H61"/>
    <mergeCell ref="B62:I62"/>
    <mergeCell ref="B63:I63"/>
    <mergeCell ref="B64:H65"/>
    <mergeCell ref="A9:H9"/>
    <mergeCell ref="A10:I10"/>
    <mergeCell ref="A11:H11"/>
    <mergeCell ref="B15:B16"/>
    <mergeCell ref="G15:G16"/>
    <mergeCell ref="B59:E59"/>
  </mergeCells>
  <dataValidations count="1">
    <dataValidation allowBlank="1" showInputMessage="1" showErrorMessage="1" promptTitle="Date Format" prompt="E.g:  &quot;August 1, 2011&quot;" sqref="WVO983052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H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H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H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H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H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H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H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H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H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H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H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H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H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H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H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dataValidations>
  <printOptions horizontalCentered="1"/>
  <pageMargins left="0.74803149606299213" right="0.74803149606299213" top="0.70866141732283472" bottom="0.39370078740157483" header="0.39370078740157483" footer="0.27559055118110237"/>
  <pageSetup scale="55" orientation="landscape"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pageSetUpPr fitToPage="1"/>
  </sheetPr>
  <dimension ref="A1:K67"/>
  <sheetViews>
    <sheetView showGridLines="0" zoomScale="90" zoomScaleNormal="90" workbookViewId="0"/>
  </sheetViews>
  <sheetFormatPr defaultRowHeight="12.75" x14ac:dyDescent="0.2"/>
  <cols>
    <col min="1" max="1" width="55.5703125" style="140" customWidth="1"/>
    <col min="2" max="7" width="15.7109375" style="140" customWidth="1"/>
    <col min="8" max="8" width="51.7109375" style="140" customWidth="1"/>
    <col min="9" max="9" width="18.5703125" style="140" bestFit="1" customWidth="1"/>
    <col min="10" max="10" width="13.7109375" style="140" customWidth="1"/>
    <col min="11" max="11" width="54.5703125" style="140" bestFit="1" customWidth="1"/>
    <col min="12" max="250" width="9.140625" style="140"/>
    <col min="251" max="251" width="2.85546875" style="140" customWidth="1"/>
    <col min="252" max="252" width="5" style="140" customWidth="1"/>
    <col min="253" max="253" width="62" style="140" customWidth="1"/>
    <col min="254" max="254" width="12.7109375" style="140" bestFit="1" customWidth="1"/>
    <col min="255" max="255" width="1.7109375" style="140" customWidth="1"/>
    <col min="256" max="258" width="15.7109375" style="140" customWidth="1"/>
    <col min="259" max="259" width="17.85546875" style="140" bestFit="1" customWidth="1"/>
    <col min="260" max="260" width="18.5703125" style="140" bestFit="1" customWidth="1"/>
    <col min="261" max="263" width="15.7109375" style="140" customWidth="1"/>
    <col min="264" max="264" width="20" style="140" customWidth="1"/>
    <col min="265" max="265" width="18.5703125" style="140" bestFit="1" customWidth="1"/>
    <col min="266" max="266" width="13.7109375" style="140" customWidth="1"/>
    <col min="267" max="267" width="54.5703125" style="140" bestFit="1" customWidth="1"/>
    <col min="268" max="506" width="9.140625" style="140"/>
    <col min="507" max="507" width="2.85546875" style="140" customWidth="1"/>
    <col min="508" max="508" width="5" style="140" customWidth="1"/>
    <col min="509" max="509" width="62" style="140" customWidth="1"/>
    <col min="510" max="510" width="12.7109375" style="140" bestFit="1" customWidth="1"/>
    <col min="511" max="511" width="1.7109375" style="140" customWidth="1"/>
    <col min="512" max="514" width="15.7109375" style="140" customWidth="1"/>
    <col min="515" max="515" width="17.85546875" style="140" bestFit="1" customWidth="1"/>
    <col min="516" max="516" width="18.5703125" style="140" bestFit="1" customWidth="1"/>
    <col min="517" max="519" width="15.7109375" style="140" customWidth="1"/>
    <col min="520" max="520" width="20" style="140" customWidth="1"/>
    <col min="521" max="521" width="18.5703125" style="140" bestFit="1" customWidth="1"/>
    <col min="522" max="522" width="13.7109375" style="140" customWidth="1"/>
    <col min="523" max="523" width="54.5703125" style="140" bestFit="1" customWidth="1"/>
    <col min="524" max="762" width="9.140625" style="140"/>
    <col min="763" max="763" width="2.85546875" style="140" customWidth="1"/>
    <col min="764" max="764" width="5" style="140" customWidth="1"/>
    <col min="765" max="765" width="62" style="140" customWidth="1"/>
    <col min="766" max="766" width="12.7109375" style="140" bestFit="1" customWidth="1"/>
    <col min="767" max="767" width="1.7109375" style="140" customWidth="1"/>
    <col min="768" max="770" width="15.7109375" style="140" customWidth="1"/>
    <col min="771" max="771" width="17.85546875" style="140" bestFit="1" customWidth="1"/>
    <col min="772" max="772" width="18.5703125" style="140" bestFit="1" customWidth="1"/>
    <col min="773" max="775" width="15.7109375" style="140" customWidth="1"/>
    <col min="776" max="776" width="20" style="140" customWidth="1"/>
    <col min="777" max="777" width="18.5703125" style="140" bestFit="1" customWidth="1"/>
    <col min="778" max="778" width="13.7109375" style="140" customWidth="1"/>
    <col min="779" max="779" width="54.5703125" style="140" bestFit="1" customWidth="1"/>
    <col min="780" max="1018" width="9.140625" style="140"/>
    <col min="1019" max="1019" width="2.85546875" style="140" customWidth="1"/>
    <col min="1020" max="1020" width="5" style="140" customWidth="1"/>
    <col min="1021" max="1021" width="62" style="140" customWidth="1"/>
    <col min="1022" max="1022" width="12.7109375" style="140" bestFit="1" customWidth="1"/>
    <col min="1023" max="1023" width="1.7109375" style="140" customWidth="1"/>
    <col min="1024" max="1026" width="15.7109375" style="140" customWidth="1"/>
    <col min="1027" max="1027" width="17.85546875" style="140" bestFit="1" customWidth="1"/>
    <col min="1028" max="1028" width="18.5703125" style="140" bestFit="1" customWidth="1"/>
    <col min="1029" max="1031" width="15.7109375" style="140" customWidth="1"/>
    <col min="1032" max="1032" width="20" style="140" customWidth="1"/>
    <col min="1033" max="1033" width="18.5703125" style="140" bestFit="1" customWidth="1"/>
    <col min="1034" max="1034" width="13.7109375" style="140" customWidth="1"/>
    <col min="1035" max="1035" width="54.5703125" style="140" bestFit="1" customWidth="1"/>
    <col min="1036" max="1274" width="9.140625" style="140"/>
    <col min="1275" max="1275" width="2.85546875" style="140" customWidth="1"/>
    <col min="1276" max="1276" width="5" style="140" customWidth="1"/>
    <col min="1277" max="1277" width="62" style="140" customWidth="1"/>
    <col min="1278" max="1278" width="12.7109375" style="140" bestFit="1" customWidth="1"/>
    <col min="1279" max="1279" width="1.7109375" style="140" customWidth="1"/>
    <col min="1280" max="1282" width="15.7109375" style="140" customWidth="1"/>
    <col min="1283" max="1283" width="17.85546875" style="140" bestFit="1" customWidth="1"/>
    <col min="1284" max="1284" width="18.5703125" style="140" bestFit="1" customWidth="1"/>
    <col min="1285" max="1287" width="15.7109375" style="140" customWidth="1"/>
    <col min="1288" max="1288" width="20" style="140" customWidth="1"/>
    <col min="1289" max="1289" width="18.5703125" style="140" bestFit="1" customWidth="1"/>
    <col min="1290" max="1290" width="13.7109375" style="140" customWidth="1"/>
    <col min="1291" max="1291" width="54.5703125" style="140" bestFit="1" customWidth="1"/>
    <col min="1292" max="1530" width="9.140625" style="140"/>
    <col min="1531" max="1531" width="2.85546875" style="140" customWidth="1"/>
    <col min="1532" max="1532" width="5" style="140" customWidth="1"/>
    <col min="1533" max="1533" width="62" style="140" customWidth="1"/>
    <col min="1534" max="1534" width="12.7109375" style="140" bestFit="1" customWidth="1"/>
    <col min="1535" max="1535" width="1.7109375" style="140" customWidth="1"/>
    <col min="1536" max="1538" width="15.7109375" style="140" customWidth="1"/>
    <col min="1539" max="1539" width="17.85546875" style="140" bestFit="1" customWidth="1"/>
    <col min="1540" max="1540" width="18.5703125" style="140" bestFit="1" customWidth="1"/>
    <col min="1541" max="1543" width="15.7109375" style="140" customWidth="1"/>
    <col min="1544" max="1544" width="20" style="140" customWidth="1"/>
    <col min="1545" max="1545" width="18.5703125" style="140" bestFit="1" customWidth="1"/>
    <col min="1546" max="1546" width="13.7109375" style="140" customWidth="1"/>
    <col min="1547" max="1547" width="54.5703125" style="140" bestFit="1" customWidth="1"/>
    <col min="1548" max="1786" width="9.140625" style="140"/>
    <col min="1787" max="1787" width="2.85546875" style="140" customWidth="1"/>
    <col min="1788" max="1788" width="5" style="140" customWidth="1"/>
    <col min="1789" max="1789" width="62" style="140" customWidth="1"/>
    <col min="1790" max="1790" width="12.7109375" style="140" bestFit="1" customWidth="1"/>
    <col min="1791" max="1791" width="1.7109375" style="140" customWidth="1"/>
    <col min="1792" max="1794" width="15.7109375" style="140" customWidth="1"/>
    <col min="1795" max="1795" width="17.85546875" style="140" bestFit="1" customWidth="1"/>
    <col min="1796" max="1796" width="18.5703125" style="140" bestFit="1" customWidth="1"/>
    <col min="1797" max="1799" width="15.7109375" style="140" customWidth="1"/>
    <col min="1800" max="1800" width="20" style="140" customWidth="1"/>
    <col min="1801" max="1801" width="18.5703125" style="140" bestFit="1" customWidth="1"/>
    <col min="1802" max="1802" width="13.7109375" style="140" customWidth="1"/>
    <col min="1803" max="1803" width="54.5703125" style="140" bestFit="1" customWidth="1"/>
    <col min="1804" max="2042" width="9.140625" style="140"/>
    <col min="2043" max="2043" width="2.85546875" style="140" customWidth="1"/>
    <col min="2044" max="2044" width="5" style="140" customWidth="1"/>
    <col min="2045" max="2045" width="62" style="140" customWidth="1"/>
    <col min="2046" max="2046" width="12.7109375" style="140" bestFit="1" customWidth="1"/>
    <col min="2047" max="2047" width="1.7109375" style="140" customWidth="1"/>
    <col min="2048" max="2050" width="15.7109375" style="140" customWidth="1"/>
    <col min="2051" max="2051" width="17.85546875" style="140" bestFit="1" customWidth="1"/>
    <col min="2052" max="2052" width="18.5703125" style="140" bestFit="1" customWidth="1"/>
    <col min="2053" max="2055" width="15.7109375" style="140" customWidth="1"/>
    <col min="2056" max="2056" width="20" style="140" customWidth="1"/>
    <col min="2057" max="2057" width="18.5703125" style="140" bestFit="1" customWidth="1"/>
    <col min="2058" max="2058" width="13.7109375" style="140" customWidth="1"/>
    <col min="2059" max="2059" width="54.5703125" style="140" bestFit="1" customWidth="1"/>
    <col min="2060" max="2298" width="9.140625" style="140"/>
    <col min="2299" max="2299" width="2.85546875" style="140" customWidth="1"/>
    <col min="2300" max="2300" width="5" style="140" customWidth="1"/>
    <col min="2301" max="2301" width="62" style="140" customWidth="1"/>
    <col min="2302" max="2302" width="12.7109375" style="140" bestFit="1" customWidth="1"/>
    <col min="2303" max="2303" width="1.7109375" style="140" customWidth="1"/>
    <col min="2304" max="2306" width="15.7109375" style="140" customWidth="1"/>
    <col min="2307" max="2307" width="17.85546875" style="140" bestFit="1" customWidth="1"/>
    <col min="2308" max="2308" width="18.5703125" style="140" bestFit="1" customWidth="1"/>
    <col min="2309" max="2311" width="15.7109375" style="140" customWidth="1"/>
    <col min="2312" max="2312" width="20" style="140" customWidth="1"/>
    <col min="2313" max="2313" width="18.5703125" style="140" bestFit="1" customWidth="1"/>
    <col min="2314" max="2314" width="13.7109375" style="140" customWidth="1"/>
    <col min="2315" max="2315" width="54.5703125" style="140" bestFit="1" customWidth="1"/>
    <col min="2316" max="2554" width="9.140625" style="140"/>
    <col min="2555" max="2555" width="2.85546875" style="140" customWidth="1"/>
    <col min="2556" max="2556" width="5" style="140" customWidth="1"/>
    <col min="2557" max="2557" width="62" style="140" customWidth="1"/>
    <col min="2558" max="2558" width="12.7109375" style="140" bestFit="1" customWidth="1"/>
    <col min="2559" max="2559" width="1.7109375" style="140" customWidth="1"/>
    <col min="2560" max="2562" width="15.7109375" style="140" customWidth="1"/>
    <col min="2563" max="2563" width="17.85546875" style="140" bestFit="1" customWidth="1"/>
    <col min="2564" max="2564" width="18.5703125" style="140" bestFit="1" customWidth="1"/>
    <col min="2565" max="2567" width="15.7109375" style="140" customWidth="1"/>
    <col min="2568" max="2568" width="20" style="140" customWidth="1"/>
    <col min="2569" max="2569" width="18.5703125" style="140" bestFit="1" customWidth="1"/>
    <col min="2570" max="2570" width="13.7109375" style="140" customWidth="1"/>
    <col min="2571" max="2571" width="54.5703125" style="140" bestFit="1" customWidth="1"/>
    <col min="2572" max="2810" width="9.140625" style="140"/>
    <col min="2811" max="2811" width="2.85546875" style="140" customWidth="1"/>
    <col min="2812" max="2812" width="5" style="140" customWidth="1"/>
    <col min="2813" max="2813" width="62" style="140" customWidth="1"/>
    <col min="2814" max="2814" width="12.7109375" style="140" bestFit="1" customWidth="1"/>
    <col min="2815" max="2815" width="1.7109375" style="140" customWidth="1"/>
    <col min="2816" max="2818" width="15.7109375" style="140" customWidth="1"/>
    <col min="2819" max="2819" width="17.85546875" style="140" bestFit="1" customWidth="1"/>
    <col min="2820" max="2820" width="18.5703125" style="140" bestFit="1" customWidth="1"/>
    <col min="2821" max="2823" width="15.7109375" style="140" customWidth="1"/>
    <col min="2824" max="2824" width="20" style="140" customWidth="1"/>
    <col min="2825" max="2825" width="18.5703125" style="140" bestFit="1" customWidth="1"/>
    <col min="2826" max="2826" width="13.7109375" style="140" customWidth="1"/>
    <col min="2827" max="2827" width="54.5703125" style="140" bestFit="1" customWidth="1"/>
    <col min="2828" max="3066" width="9.140625" style="140"/>
    <col min="3067" max="3067" width="2.85546875" style="140" customWidth="1"/>
    <col min="3068" max="3068" width="5" style="140" customWidth="1"/>
    <col min="3069" max="3069" width="62" style="140" customWidth="1"/>
    <col min="3070" max="3070" width="12.7109375" style="140" bestFit="1" customWidth="1"/>
    <col min="3071" max="3071" width="1.7109375" style="140" customWidth="1"/>
    <col min="3072" max="3074" width="15.7109375" style="140" customWidth="1"/>
    <col min="3075" max="3075" width="17.85546875" style="140" bestFit="1" customWidth="1"/>
    <col min="3076" max="3076" width="18.5703125" style="140" bestFit="1" customWidth="1"/>
    <col min="3077" max="3079" width="15.7109375" style="140" customWidth="1"/>
    <col min="3080" max="3080" width="20" style="140" customWidth="1"/>
    <col min="3081" max="3081" width="18.5703125" style="140" bestFit="1" customWidth="1"/>
    <col min="3082" max="3082" width="13.7109375" style="140" customWidth="1"/>
    <col min="3083" max="3083" width="54.5703125" style="140" bestFit="1" customWidth="1"/>
    <col min="3084" max="3322" width="9.140625" style="140"/>
    <col min="3323" max="3323" width="2.85546875" style="140" customWidth="1"/>
    <col min="3324" max="3324" width="5" style="140" customWidth="1"/>
    <col min="3325" max="3325" width="62" style="140" customWidth="1"/>
    <col min="3326" max="3326" width="12.7109375" style="140" bestFit="1" customWidth="1"/>
    <col min="3327" max="3327" width="1.7109375" style="140" customWidth="1"/>
    <col min="3328" max="3330" width="15.7109375" style="140" customWidth="1"/>
    <col min="3331" max="3331" width="17.85546875" style="140" bestFit="1" customWidth="1"/>
    <col min="3332" max="3332" width="18.5703125" style="140" bestFit="1" customWidth="1"/>
    <col min="3333" max="3335" width="15.7109375" style="140" customWidth="1"/>
    <col min="3336" max="3336" width="20" style="140" customWidth="1"/>
    <col min="3337" max="3337" width="18.5703125" style="140" bestFit="1" customWidth="1"/>
    <col min="3338" max="3338" width="13.7109375" style="140" customWidth="1"/>
    <col min="3339" max="3339" width="54.5703125" style="140" bestFit="1" customWidth="1"/>
    <col min="3340" max="3578" width="9.140625" style="140"/>
    <col min="3579" max="3579" width="2.85546875" style="140" customWidth="1"/>
    <col min="3580" max="3580" width="5" style="140" customWidth="1"/>
    <col min="3581" max="3581" width="62" style="140" customWidth="1"/>
    <col min="3582" max="3582" width="12.7109375" style="140" bestFit="1" customWidth="1"/>
    <col min="3583" max="3583" width="1.7109375" style="140" customWidth="1"/>
    <col min="3584" max="3586" width="15.7109375" style="140" customWidth="1"/>
    <col min="3587" max="3587" width="17.85546875" style="140" bestFit="1" customWidth="1"/>
    <col min="3588" max="3588" width="18.5703125" style="140" bestFit="1" customWidth="1"/>
    <col min="3589" max="3591" width="15.7109375" style="140" customWidth="1"/>
    <col min="3592" max="3592" width="20" style="140" customWidth="1"/>
    <col min="3593" max="3593" width="18.5703125" style="140" bestFit="1" customWidth="1"/>
    <col min="3594" max="3594" width="13.7109375" style="140" customWidth="1"/>
    <col min="3595" max="3595" width="54.5703125" style="140" bestFit="1" customWidth="1"/>
    <col min="3596" max="3834" width="9.140625" style="140"/>
    <col min="3835" max="3835" width="2.85546875" style="140" customWidth="1"/>
    <col min="3836" max="3836" width="5" style="140" customWidth="1"/>
    <col min="3837" max="3837" width="62" style="140" customWidth="1"/>
    <col min="3838" max="3838" width="12.7109375" style="140" bestFit="1" customWidth="1"/>
    <col min="3839" max="3839" width="1.7109375" style="140" customWidth="1"/>
    <col min="3840" max="3842" width="15.7109375" style="140" customWidth="1"/>
    <col min="3843" max="3843" width="17.85546875" style="140" bestFit="1" customWidth="1"/>
    <col min="3844" max="3844" width="18.5703125" style="140" bestFit="1" customWidth="1"/>
    <col min="3845" max="3847" width="15.7109375" style="140" customWidth="1"/>
    <col min="3848" max="3848" width="20" style="140" customWidth="1"/>
    <col min="3849" max="3849" width="18.5703125" style="140" bestFit="1" customWidth="1"/>
    <col min="3850" max="3850" width="13.7109375" style="140" customWidth="1"/>
    <col min="3851" max="3851" width="54.5703125" style="140" bestFit="1" customWidth="1"/>
    <col min="3852" max="4090" width="9.140625" style="140"/>
    <col min="4091" max="4091" width="2.85546875" style="140" customWidth="1"/>
    <col min="4092" max="4092" width="5" style="140" customWidth="1"/>
    <col min="4093" max="4093" width="62" style="140" customWidth="1"/>
    <col min="4094" max="4094" width="12.7109375" style="140" bestFit="1" customWidth="1"/>
    <col min="4095" max="4095" width="1.7109375" style="140" customWidth="1"/>
    <col min="4096" max="4098" width="15.7109375" style="140" customWidth="1"/>
    <col min="4099" max="4099" width="17.85546875" style="140" bestFit="1" customWidth="1"/>
    <col min="4100" max="4100" width="18.5703125" style="140" bestFit="1" customWidth="1"/>
    <col min="4101" max="4103" width="15.7109375" style="140" customWidth="1"/>
    <col min="4104" max="4104" width="20" style="140" customWidth="1"/>
    <col min="4105" max="4105" width="18.5703125" style="140" bestFit="1" customWidth="1"/>
    <col min="4106" max="4106" width="13.7109375" style="140" customWidth="1"/>
    <col min="4107" max="4107" width="54.5703125" style="140" bestFit="1" customWidth="1"/>
    <col min="4108" max="4346" width="9.140625" style="140"/>
    <col min="4347" max="4347" width="2.85546875" style="140" customWidth="1"/>
    <col min="4348" max="4348" width="5" style="140" customWidth="1"/>
    <col min="4349" max="4349" width="62" style="140" customWidth="1"/>
    <col min="4350" max="4350" width="12.7109375" style="140" bestFit="1" customWidth="1"/>
    <col min="4351" max="4351" width="1.7109375" style="140" customWidth="1"/>
    <col min="4352" max="4354" width="15.7109375" style="140" customWidth="1"/>
    <col min="4355" max="4355" width="17.85546875" style="140" bestFit="1" customWidth="1"/>
    <col min="4356" max="4356" width="18.5703125" style="140" bestFit="1" customWidth="1"/>
    <col min="4357" max="4359" width="15.7109375" style="140" customWidth="1"/>
    <col min="4360" max="4360" width="20" style="140" customWidth="1"/>
    <col min="4361" max="4361" width="18.5703125" style="140" bestFit="1" customWidth="1"/>
    <col min="4362" max="4362" width="13.7109375" style="140" customWidth="1"/>
    <col min="4363" max="4363" width="54.5703125" style="140" bestFit="1" customWidth="1"/>
    <col min="4364" max="4602" width="9.140625" style="140"/>
    <col min="4603" max="4603" width="2.85546875" style="140" customWidth="1"/>
    <col min="4604" max="4604" width="5" style="140" customWidth="1"/>
    <col min="4605" max="4605" width="62" style="140" customWidth="1"/>
    <col min="4606" max="4606" width="12.7109375" style="140" bestFit="1" customWidth="1"/>
    <col min="4607" max="4607" width="1.7109375" style="140" customWidth="1"/>
    <col min="4608" max="4610" width="15.7109375" style="140" customWidth="1"/>
    <col min="4611" max="4611" width="17.85546875" style="140" bestFit="1" customWidth="1"/>
    <col min="4612" max="4612" width="18.5703125" style="140" bestFit="1" customWidth="1"/>
    <col min="4613" max="4615" width="15.7109375" style="140" customWidth="1"/>
    <col min="4616" max="4616" width="20" style="140" customWidth="1"/>
    <col min="4617" max="4617" width="18.5703125" style="140" bestFit="1" customWidth="1"/>
    <col min="4618" max="4618" width="13.7109375" style="140" customWidth="1"/>
    <col min="4619" max="4619" width="54.5703125" style="140" bestFit="1" customWidth="1"/>
    <col min="4620" max="4858" width="9.140625" style="140"/>
    <col min="4859" max="4859" width="2.85546875" style="140" customWidth="1"/>
    <col min="4860" max="4860" width="5" style="140" customWidth="1"/>
    <col min="4861" max="4861" width="62" style="140" customWidth="1"/>
    <col min="4862" max="4862" width="12.7109375" style="140" bestFit="1" customWidth="1"/>
    <col min="4863" max="4863" width="1.7109375" style="140" customWidth="1"/>
    <col min="4864" max="4866" width="15.7109375" style="140" customWidth="1"/>
    <col min="4867" max="4867" width="17.85546875" style="140" bestFit="1" customWidth="1"/>
    <col min="4868" max="4868" width="18.5703125" style="140" bestFit="1" customWidth="1"/>
    <col min="4869" max="4871" width="15.7109375" style="140" customWidth="1"/>
    <col min="4872" max="4872" width="20" style="140" customWidth="1"/>
    <col min="4873" max="4873" width="18.5703125" style="140" bestFit="1" customWidth="1"/>
    <col min="4874" max="4874" width="13.7109375" style="140" customWidth="1"/>
    <col min="4875" max="4875" width="54.5703125" style="140" bestFit="1" customWidth="1"/>
    <col min="4876" max="5114" width="9.140625" style="140"/>
    <col min="5115" max="5115" width="2.85546875" style="140" customWidth="1"/>
    <col min="5116" max="5116" width="5" style="140" customWidth="1"/>
    <col min="5117" max="5117" width="62" style="140" customWidth="1"/>
    <col min="5118" max="5118" width="12.7109375" style="140" bestFit="1" customWidth="1"/>
    <col min="5119" max="5119" width="1.7109375" style="140" customWidth="1"/>
    <col min="5120" max="5122" width="15.7109375" style="140" customWidth="1"/>
    <col min="5123" max="5123" width="17.85546875" style="140" bestFit="1" customWidth="1"/>
    <col min="5124" max="5124" width="18.5703125" style="140" bestFit="1" customWidth="1"/>
    <col min="5125" max="5127" width="15.7109375" style="140" customWidth="1"/>
    <col min="5128" max="5128" width="20" style="140" customWidth="1"/>
    <col min="5129" max="5129" width="18.5703125" style="140" bestFit="1" customWidth="1"/>
    <col min="5130" max="5130" width="13.7109375" style="140" customWidth="1"/>
    <col min="5131" max="5131" width="54.5703125" style="140" bestFit="1" customWidth="1"/>
    <col min="5132" max="5370" width="9.140625" style="140"/>
    <col min="5371" max="5371" width="2.85546875" style="140" customWidth="1"/>
    <col min="5372" max="5372" width="5" style="140" customWidth="1"/>
    <col min="5373" max="5373" width="62" style="140" customWidth="1"/>
    <col min="5374" max="5374" width="12.7109375" style="140" bestFit="1" customWidth="1"/>
    <col min="5375" max="5375" width="1.7109375" style="140" customWidth="1"/>
    <col min="5376" max="5378" width="15.7109375" style="140" customWidth="1"/>
    <col min="5379" max="5379" width="17.85546875" style="140" bestFit="1" customWidth="1"/>
    <col min="5380" max="5380" width="18.5703125" style="140" bestFit="1" customWidth="1"/>
    <col min="5381" max="5383" width="15.7109375" style="140" customWidth="1"/>
    <col min="5384" max="5384" width="20" style="140" customWidth="1"/>
    <col min="5385" max="5385" width="18.5703125" style="140" bestFit="1" customWidth="1"/>
    <col min="5386" max="5386" width="13.7109375" style="140" customWidth="1"/>
    <col min="5387" max="5387" width="54.5703125" style="140" bestFit="1" customWidth="1"/>
    <col min="5388" max="5626" width="9.140625" style="140"/>
    <col min="5627" max="5627" width="2.85546875" style="140" customWidth="1"/>
    <col min="5628" max="5628" width="5" style="140" customWidth="1"/>
    <col min="5629" max="5629" width="62" style="140" customWidth="1"/>
    <col min="5630" max="5630" width="12.7109375" style="140" bestFit="1" customWidth="1"/>
    <col min="5631" max="5631" width="1.7109375" style="140" customWidth="1"/>
    <col min="5632" max="5634" width="15.7109375" style="140" customWidth="1"/>
    <col min="5635" max="5635" width="17.85546875" style="140" bestFit="1" customWidth="1"/>
    <col min="5636" max="5636" width="18.5703125" style="140" bestFit="1" customWidth="1"/>
    <col min="5637" max="5639" width="15.7109375" style="140" customWidth="1"/>
    <col min="5640" max="5640" width="20" style="140" customWidth="1"/>
    <col min="5641" max="5641" width="18.5703125" style="140" bestFit="1" customWidth="1"/>
    <col min="5642" max="5642" width="13.7109375" style="140" customWidth="1"/>
    <col min="5643" max="5643" width="54.5703125" style="140" bestFit="1" customWidth="1"/>
    <col min="5644" max="5882" width="9.140625" style="140"/>
    <col min="5883" max="5883" width="2.85546875" style="140" customWidth="1"/>
    <col min="5884" max="5884" width="5" style="140" customWidth="1"/>
    <col min="5885" max="5885" width="62" style="140" customWidth="1"/>
    <col min="5886" max="5886" width="12.7109375" style="140" bestFit="1" customWidth="1"/>
    <col min="5887" max="5887" width="1.7109375" style="140" customWidth="1"/>
    <col min="5888" max="5890" width="15.7109375" style="140" customWidth="1"/>
    <col min="5891" max="5891" width="17.85546875" style="140" bestFit="1" customWidth="1"/>
    <col min="5892" max="5892" width="18.5703125" style="140" bestFit="1" customWidth="1"/>
    <col min="5893" max="5895" width="15.7109375" style="140" customWidth="1"/>
    <col min="5896" max="5896" width="20" style="140" customWidth="1"/>
    <col min="5897" max="5897" width="18.5703125" style="140" bestFit="1" customWidth="1"/>
    <col min="5898" max="5898" width="13.7109375" style="140" customWidth="1"/>
    <col min="5899" max="5899" width="54.5703125" style="140" bestFit="1" customWidth="1"/>
    <col min="5900" max="6138" width="9.140625" style="140"/>
    <col min="6139" max="6139" width="2.85546875" style="140" customWidth="1"/>
    <col min="6140" max="6140" width="5" style="140" customWidth="1"/>
    <col min="6141" max="6141" width="62" style="140" customWidth="1"/>
    <col min="6142" max="6142" width="12.7109375" style="140" bestFit="1" customWidth="1"/>
    <col min="6143" max="6143" width="1.7109375" style="140" customWidth="1"/>
    <col min="6144" max="6146" width="15.7109375" style="140" customWidth="1"/>
    <col min="6147" max="6147" width="17.85546875" style="140" bestFit="1" customWidth="1"/>
    <col min="6148" max="6148" width="18.5703125" style="140" bestFit="1" customWidth="1"/>
    <col min="6149" max="6151" width="15.7109375" style="140" customWidth="1"/>
    <col min="6152" max="6152" width="20" style="140" customWidth="1"/>
    <col min="6153" max="6153" width="18.5703125" style="140" bestFit="1" customWidth="1"/>
    <col min="6154" max="6154" width="13.7109375" style="140" customWidth="1"/>
    <col min="6155" max="6155" width="54.5703125" style="140" bestFit="1" customWidth="1"/>
    <col min="6156" max="6394" width="9.140625" style="140"/>
    <col min="6395" max="6395" width="2.85546875" style="140" customWidth="1"/>
    <col min="6396" max="6396" width="5" style="140" customWidth="1"/>
    <col min="6397" max="6397" width="62" style="140" customWidth="1"/>
    <col min="6398" max="6398" width="12.7109375" style="140" bestFit="1" customWidth="1"/>
    <col min="6399" max="6399" width="1.7109375" style="140" customWidth="1"/>
    <col min="6400" max="6402" width="15.7109375" style="140" customWidth="1"/>
    <col min="6403" max="6403" width="17.85546875" style="140" bestFit="1" customWidth="1"/>
    <col min="6404" max="6404" width="18.5703125" style="140" bestFit="1" customWidth="1"/>
    <col min="6405" max="6407" width="15.7109375" style="140" customWidth="1"/>
    <col min="6408" max="6408" width="20" style="140" customWidth="1"/>
    <col min="6409" max="6409" width="18.5703125" style="140" bestFit="1" customWidth="1"/>
    <col min="6410" max="6410" width="13.7109375" style="140" customWidth="1"/>
    <col min="6411" max="6411" width="54.5703125" style="140" bestFit="1" customWidth="1"/>
    <col min="6412" max="6650" width="9.140625" style="140"/>
    <col min="6651" max="6651" width="2.85546875" style="140" customWidth="1"/>
    <col min="6652" max="6652" width="5" style="140" customWidth="1"/>
    <col min="6653" max="6653" width="62" style="140" customWidth="1"/>
    <col min="6654" max="6654" width="12.7109375" style="140" bestFit="1" customWidth="1"/>
    <col min="6655" max="6655" width="1.7109375" style="140" customWidth="1"/>
    <col min="6656" max="6658" width="15.7109375" style="140" customWidth="1"/>
    <col min="6659" max="6659" width="17.85546875" style="140" bestFit="1" customWidth="1"/>
    <col min="6660" max="6660" width="18.5703125" style="140" bestFit="1" customWidth="1"/>
    <col min="6661" max="6663" width="15.7109375" style="140" customWidth="1"/>
    <col min="6664" max="6664" width="20" style="140" customWidth="1"/>
    <col min="6665" max="6665" width="18.5703125" style="140" bestFit="1" customWidth="1"/>
    <col min="6666" max="6666" width="13.7109375" style="140" customWidth="1"/>
    <col min="6667" max="6667" width="54.5703125" style="140" bestFit="1" customWidth="1"/>
    <col min="6668" max="6906" width="9.140625" style="140"/>
    <col min="6907" max="6907" width="2.85546875" style="140" customWidth="1"/>
    <col min="6908" max="6908" width="5" style="140" customWidth="1"/>
    <col min="6909" max="6909" width="62" style="140" customWidth="1"/>
    <col min="6910" max="6910" width="12.7109375" style="140" bestFit="1" customWidth="1"/>
    <col min="6911" max="6911" width="1.7109375" style="140" customWidth="1"/>
    <col min="6912" max="6914" width="15.7109375" style="140" customWidth="1"/>
    <col min="6915" max="6915" width="17.85546875" style="140" bestFit="1" customWidth="1"/>
    <col min="6916" max="6916" width="18.5703125" style="140" bestFit="1" customWidth="1"/>
    <col min="6917" max="6919" width="15.7109375" style="140" customWidth="1"/>
    <col min="6920" max="6920" width="20" style="140" customWidth="1"/>
    <col min="6921" max="6921" width="18.5703125" style="140" bestFit="1" customWidth="1"/>
    <col min="6922" max="6922" width="13.7109375" style="140" customWidth="1"/>
    <col min="6923" max="6923" width="54.5703125" style="140" bestFit="1" customWidth="1"/>
    <col min="6924" max="7162" width="9.140625" style="140"/>
    <col min="7163" max="7163" width="2.85546875" style="140" customWidth="1"/>
    <col min="7164" max="7164" width="5" style="140" customWidth="1"/>
    <col min="7165" max="7165" width="62" style="140" customWidth="1"/>
    <col min="7166" max="7166" width="12.7109375" style="140" bestFit="1" customWidth="1"/>
    <col min="7167" max="7167" width="1.7109375" style="140" customWidth="1"/>
    <col min="7168" max="7170" width="15.7109375" style="140" customWidth="1"/>
    <col min="7171" max="7171" width="17.85546875" style="140" bestFit="1" customWidth="1"/>
    <col min="7172" max="7172" width="18.5703125" style="140" bestFit="1" customWidth="1"/>
    <col min="7173" max="7175" width="15.7109375" style="140" customWidth="1"/>
    <col min="7176" max="7176" width="20" style="140" customWidth="1"/>
    <col min="7177" max="7177" width="18.5703125" style="140" bestFit="1" customWidth="1"/>
    <col min="7178" max="7178" width="13.7109375" style="140" customWidth="1"/>
    <col min="7179" max="7179" width="54.5703125" style="140" bestFit="1" customWidth="1"/>
    <col min="7180" max="7418" width="9.140625" style="140"/>
    <col min="7419" max="7419" width="2.85546875" style="140" customWidth="1"/>
    <col min="7420" max="7420" width="5" style="140" customWidth="1"/>
    <col min="7421" max="7421" width="62" style="140" customWidth="1"/>
    <col min="7422" max="7422" width="12.7109375" style="140" bestFit="1" customWidth="1"/>
    <col min="7423" max="7423" width="1.7109375" style="140" customWidth="1"/>
    <col min="7424" max="7426" width="15.7109375" style="140" customWidth="1"/>
    <col min="7427" max="7427" width="17.85546875" style="140" bestFit="1" customWidth="1"/>
    <col min="7428" max="7428" width="18.5703125" style="140" bestFit="1" customWidth="1"/>
    <col min="7429" max="7431" width="15.7109375" style="140" customWidth="1"/>
    <col min="7432" max="7432" width="20" style="140" customWidth="1"/>
    <col min="7433" max="7433" width="18.5703125" style="140" bestFit="1" customWidth="1"/>
    <col min="7434" max="7434" width="13.7109375" style="140" customWidth="1"/>
    <col min="7435" max="7435" width="54.5703125" style="140" bestFit="1" customWidth="1"/>
    <col min="7436" max="7674" width="9.140625" style="140"/>
    <col min="7675" max="7675" width="2.85546875" style="140" customWidth="1"/>
    <col min="7676" max="7676" width="5" style="140" customWidth="1"/>
    <col min="7677" max="7677" width="62" style="140" customWidth="1"/>
    <col min="7678" max="7678" width="12.7109375" style="140" bestFit="1" customWidth="1"/>
    <col min="7679" max="7679" width="1.7109375" style="140" customWidth="1"/>
    <col min="7680" max="7682" width="15.7109375" style="140" customWidth="1"/>
    <col min="7683" max="7683" width="17.85546875" style="140" bestFit="1" customWidth="1"/>
    <col min="7684" max="7684" width="18.5703125" style="140" bestFit="1" customWidth="1"/>
    <col min="7685" max="7687" width="15.7109375" style="140" customWidth="1"/>
    <col min="7688" max="7688" width="20" style="140" customWidth="1"/>
    <col min="7689" max="7689" width="18.5703125" style="140" bestFit="1" customWidth="1"/>
    <col min="7690" max="7690" width="13.7109375" style="140" customWidth="1"/>
    <col min="7691" max="7691" width="54.5703125" style="140" bestFit="1" customWidth="1"/>
    <col min="7692" max="7930" width="9.140625" style="140"/>
    <col min="7931" max="7931" width="2.85546875" style="140" customWidth="1"/>
    <col min="7932" max="7932" width="5" style="140" customWidth="1"/>
    <col min="7933" max="7933" width="62" style="140" customWidth="1"/>
    <col min="7934" max="7934" width="12.7109375" style="140" bestFit="1" customWidth="1"/>
    <col min="7935" max="7935" width="1.7109375" style="140" customWidth="1"/>
    <col min="7936" max="7938" width="15.7109375" style="140" customWidth="1"/>
    <col min="7939" max="7939" width="17.85546875" style="140" bestFit="1" customWidth="1"/>
    <col min="7940" max="7940" width="18.5703125" style="140" bestFit="1" customWidth="1"/>
    <col min="7941" max="7943" width="15.7109375" style="140" customWidth="1"/>
    <col min="7944" max="7944" width="20" style="140" customWidth="1"/>
    <col min="7945" max="7945" width="18.5703125" style="140" bestFit="1" customWidth="1"/>
    <col min="7946" max="7946" width="13.7109375" style="140" customWidth="1"/>
    <col min="7947" max="7947" width="54.5703125" style="140" bestFit="1" customWidth="1"/>
    <col min="7948" max="8186" width="9.140625" style="140"/>
    <col min="8187" max="8187" width="2.85546875" style="140" customWidth="1"/>
    <col min="8188" max="8188" width="5" style="140" customWidth="1"/>
    <col min="8189" max="8189" width="62" style="140" customWidth="1"/>
    <col min="8190" max="8190" width="12.7109375" style="140" bestFit="1" customWidth="1"/>
    <col min="8191" max="8191" width="1.7109375" style="140" customWidth="1"/>
    <col min="8192" max="8194" width="15.7109375" style="140" customWidth="1"/>
    <col min="8195" max="8195" width="17.85546875" style="140" bestFit="1" customWidth="1"/>
    <col min="8196" max="8196" width="18.5703125" style="140" bestFit="1" customWidth="1"/>
    <col min="8197" max="8199" width="15.7109375" style="140" customWidth="1"/>
    <col min="8200" max="8200" width="20" style="140" customWidth="1"/>
    <col min="8201" max="8201" width="18.5703125" style="140" bestFit="1" customWidth="1"/>
    <col min="8202" max="8202" width="13.7109375" style="140" customWidth="1"/>
    <col min="8203" max="8203" width="54.5703125" style="140" bestFit="1" customWidth="1"/>
    <col min="8204" max="8442" width="9.140625" style="140"/>
    <col min="8443" max="8443" width="2.85546875" style="140" customWidth="1"/>
    <col min="8444" max="8444" width="5" style="140" customWidth="1"/>
    <col min="8445" max="8445" width="62" style="140" customWidth="1"/>
    <col min="8446" max="8446" width="12.7109375" style="140" bestFit="1" customWidth="1"/>
    <col min="8447" max="8447" width="1.7109375" style="140" customWidth="1"/>
    <col min="8448" max="8450" width="15.7109375" style="140" customWidth="1"/>
    <col min="8451" max="8451" width="17.85546875" style="140" bestFit="1" customWidth="1"/>
    <col min="8452" max="8452" width="18.5703125" style="140" bestFit="1" customWidth="1"/>
    <col min="8453" max="8455" width="15.7109375" style="140" customWidth="1"/>
    <col min="8456" max="8456" width="20" style="140" customWidth="1"/>
    <col min="8457" max="8457" width="18.5703125" style="140" bestFit="1" customWidth="1"/>
    <col min="8458" max="8458" width="13.7109375" style="140" customWidth="1"/>
    <col min="8459" max="8459" width="54.5703125" style="140" bestFit="1" customWidth="1"/>
    <col min="8460" max="8698" width="9.140625" style="140"/>
    <col min="8699" max="8699" width="2.85546875" style="140" customWidth="1"/>
    <col min="8700" max="8700" width="5" style="140" customWidth="1"/>
    <col min="8701" max="8701" width="62" style="140" customWidth="1"/>
    <col min="8702" max="8702" width="12.7109375" style="140" bestFit="1" customWidth="1"/>
    <col min="8703" max="8703" width="1.7109375" style="140" customWidth="1"/>
    <col min="8704" max="8706" width="15.7109375" style="140" customWidth="1"/>
    <col min="8707" max="8707" width="17.85546875" style="140" bestFit="1" customWidth="1"/>
    <col min="8708" max="8708" width="18.5703125" style="140" bestFit="1" customWidth="1"/>
    <col min="8709" max="8711" width="15.7109375" style="140" customWidth="1"/>
    <col min="8712" max="8712" width="20" style="140" customWidth="1"/>
    <col min="8713" max="8713" width="18.5703125" style="140" bestFit="1" customWidth="1"/>
    <col min="8714" max="8714" width="13.7109375" style="140" customWidth="1"/>
    <col min="8715" max="8715" width="54.5703125" style="140" bestFit="1" customWidth="1"/>
    <col min="8716" max="8954" width="9.140625" style="140"/>
    <col min="8955" max="8955" width="2.85546875" style="140" customWidth="1"/>
    <col min="8956" max="8956" width="5" style="140" customWidth="1"/>
    <col min="8957" max="8957" width="62" style="140" customWidth="1"/>
    <col min="8958" max="8958" width="12.7109375" style="140" bestFit="1" customWidth="1"/>
    <col min="8959" max="8959" width="1.7109375" style="140" customWidth="1"/>
    <col min="8960" max="8962" width="15.7109375" style="140" customWidth="1"/>
    <col min="8963" max="8963" width="17.85546875" style="140" bestFit="1" customWidth="1"/>
    <col min="8964" max="8964" width="18.5703125" style="140" bestFit="1" customWidth="1"/>
    <col min="8965" max="8967" width="15.7109375" style="140" customWidth="1"/>
    <col min="8968" max="8968" width="20" style="140" customWidth="1"/>
    <col min="8969" max="8969" width="18.5703125" style="140" bestFit="1" customWidth="1"/>
    <col min="8970" max="8970" width="13.7109375" style="140" customWidth="1"/>
    <col min="8971" max="8971" width="54.5703125" style="140" bestFit="1" customWidth="1"/>
    <col min="8972" max="9210" width="9.140625" style="140"/>
    <col min="9211" max="9211" width="2.85546875" style="140" customWidth="1"/>
    <col min="9212" max="9212" width="5" style="140" customWidth="1"/>
    <col min="9213" max="9213" width="62" style="140" customWidth="1"/>
    <col min="9214" max="9214" width="12.7109375" style="140" bestFit="1" customWidth="1"/>
    <col min="9215" max="9215" width="1.7109375" style="140" customWidth="1"/>
    <col min="9216" max="9218" width="15.7109375" style="140" customWidth="1"/>
    <col min="9219" max="9219" width="17.85546875" style="140" bestFit="1" customWidth="1"/>
    <col min="9220" max="9220" width="18.5703125" style="140" bestFit="1" customWidth="1"/>
    <col min="9221" max="9223" width="15.7109375" style="140" customWidth="1"/>
    <col min="9224" max="9224" width="20" style="140" customWidth="1"/>
    <col min="9225" max="9225" width="18.5703125" style="140" bestFit="1" customWidth="1"/>
    <col min="9226" max="9226" width="13.7109375" style="140" customWidth="1"/>
    <col min="9227" max="9227" width="54.5703125" style="140" bestFit="1" customWidth="1"/>
    <col min="9228" max="9466" width="9.140625" style="140"/>
    <col min="9467" max="9467" width="2.85546875" style="140" customWidth="1"/>
    <col min="9468" max="9468" width="5" style="140" customWidth="1"/>
    <col min="9469" max="9469" width="62" style="140" customWidth="1"/>
    <col min="9470" max="9470" width="12.7109375" style="140" bestFit="1" customWidth="1"/>
    <col min="9471" max="9471" width="1.7109375" style="140" customWidth="1"/>
    <col min="9472" max="9474" width="15.7109375" style="140" customWidth="1"/>
    <col min="9475" max="9475" width="17.85546875" style="140" bestFit="1" customWidth="1"/>
    <col min="9476" max="9476" width="18.5703125" style="140" bestFit="1" customWidth="1"/>
    <col min="9477" max="9479" width="15.7109375" style="140" customWidth="1"/>
    <col min="9480" max="9480" width="20" style="140" customWidth="1"/>
    <col min="9481" max="9481" width="18.5703125" style="140" bestFit="1" customWidth="1"/>
    <col min="9482" max="9482" width="13.7109375" style="140" customWidth="1"/>
    <col min="9483" max="9483" width="54.5703125" style="140" bestFit="1" customWidth="1"/>
    <col min="9484" max="9722" width="9.140625" style="140"/>
    <col min="9723" max="9723" width="2.85546875" style="140" customWidth="1"/>
    <col min="9724" max="9724" width="5" style="140" customWidth="1"/>
    <col min="9725" max="9725" width="62" style="140" customWidth="1"/>
    <col min="9726" max="9726" width="12.7109375" style="140" bestFit="1" customWidth="1"/>
    <col min="9727" max="9727" width="1.7109375" style="140" customWidth="1"/>
    <col min="9728" max="9730" width="15.7109375" style="140" customWidth="1"/>
    <col min="9731" max="9731" width="17.85546875" style="140" bestFit="1" customWidth="1"/>
    <col min="9732" max="9732" width="18.5703125" style="140" bestFit="1" customWidth="1"/>
    <col min="9733" max="9735" width="15.7109375" style="140" customWidth="1"/>
    <col min="9736" max="9736" width="20" style="140" customWidth="1"/>
    <col min="9737" max="9737" width="18.5703125" style="140" bestFit="1" customWidth="1"/>
    <col min="9738" max="9738" width="13.7109375" style="140" customWidth="1"/>
    <col min="9739" max="9739" width="54.5703125" style="140" bestFit="1" customWidth="1"/>
    <col min="9740" max="9978" width="9.140625" style="140"/>
    <col min="9979" max="9979" width="2.85546875" style="140" customWidth="1"/>
    <col min="9980" max="9980" width="5" style="140" customWidth="1"/>
    <col min="9981" max="9981" width="62" style="140" customWidth="1"/>
    <col min="9982" max="9982" width="12.7109375" style="140" bestFit="1" customWidth="1"/>
    <col min="9983" max="9983" width="1.7109375" style="140" customWidth="1"/>
    <col min="9984" max="9986" width="15.7109375" style="140" customWidth="1"/>
    <col min="9987" max="9987" width="17.85546875" style="140" bestFit="1" customWidth="1"/>
    <col min="9988" max="9988" width="18.5703125" style="140" bestFit="1" customWidth="1"/>
    <col min="9989" max="9991" width="15.7109375" style="140" customWidth="1"/>
    <col min="9992" max="9992" width="20" style="140" customWidth="1"/>
    <col min="9993" max="9993" width="18.5703125" style="140" bestFit="1" customWidth="1"/>
    <col min="9994" max="9994" width="13.7109375" style="140" customWidth="1"/>
    <col min="9995" max="9995" width="54.5703125" style="140" bestFit="1" customWidth="1"/>
    <col min="9996" max="10234" width="9.140625" style="140"/>
    <col min="10235" max="10235" width="2.85546875" style="140" customWidth="1"/>
    <col min="10236" max="10236" width="5" style="140" customWidth="1"/>
    <col min="10237" max="10237" width="62" style="140" customWidth="1"/>
    <col min="10238" max="10238" width="12.7109375" style="140" bestFit="1" customWidth="1"/>
    <col min="10239" max="10239" width="1.7109375" style="140" customWidth="1"/>
    <col min="10240" max="10242" width="15.7109375" style="140" customWidth="1"/>
    <col min="10243" max="10243" width="17.85546875" style="140" bestFit="1" customWidth="1"/>
    <col min="10244" max="10244" width="18.5703125" style="140" bestFit="1" customWidth="1"/>
    <col min="10245" max="10247" width="15.7109375" style="140" customWidth="1"/>
    <col min="10248" max="10248" width="20" style="140" customWidth="1"/>
    <col min="10249" max="10249" width="18.5703125" style="140" bestFit="1" customWidth="1"/>
    <col min="10250" max="10250" width="13.7109375" style="140" customWidth="1"/>
    <col min="10251" max="10251" width="54.5703125" style="140" bestFit="1" customWidth="1"/>
    <col min="10252" max="10490" width="9.140625" style="140"/>
    <col min="10491" max="10491" width="2.85546875" style="140" customWidth="1"/>
    <col min="10492" max="10492" width="5" style="140" customWidth="1"/>
    <col min="10493" max="10493" width="62" style="140" customWidth="1"/>
    <col min="10494" max="10494" width="12.7109375" style="140" bestFit="1" customWidth="1"/>
    <col min="10495" max="10495" width="1.7109375" style="140" customWidth="1"/>
    <col min="10496" max="10498" width="15.7109375" style="140" customWidth="1"/>
    <col min="10499" max="10499" width="17.85546875" style="140" bestFit="1" customWidth="1"/>
    <col min="10500" max="10500" width="18.5703125" style="140" bestFit="1" customWidth="1"/>
    <col min="10501" max="10503" width="15.7109375" style="140" customWidth="1"/>
    <col min="10504" max="10504" width="20" style="140" customWidth="1"/>
    <col min="10505" max="10505" width="18.5703125" style="140" bestFit="1" customWidth="1"/>
    <col min="10506" max="10506" width="13.7109375" style="140" customWidth="1"/>
    <col min="10507" max="10507" width="54.5703125" style="140" bestFit="1" customWidth="1"/>
    <col min="10508" max="10746" width="9.140625" style="140"/>
    <col min="10747" max="10747" width="2.85546875" style="140" customWidth="1"/>
    <col min="10748" max="10748" width="5" style="140" customWidth="1"/>
    <col min="10749" max="10749" width="62" style="140" customWidth="1"/>
    <col min="10750" max="10750" width="12.7109375" style="140" bestFit="1" customWidth="1"/>
    <col min="10751" max="10751" width="1.7109375" style="140" customWidth="1"/>
    <col min="10752" max="10754" width="15.7109375" style="140" customWidth="1"/>
    <col min="10755" max="10755" width="17.85546875" style="140" bestFit="1" customWidth="1"/>
    <col min="10756" max="10756" width="18.5703125" style="140" bestFit="1" customWidth="1"/>
    <col min="10757" max="10759" width="15.7109375" style="140" customWidth="1"/>
    <col min="10760" max="10760" width="20" style="140" customWidth="1"/>
    <col min="10761" max="10761" width="18.5703125" style="140" bestFit="1" customWidth="1"/>
    <col min="10762" max="10762" width="13.7109375" style="140" customWidth="1"/>
    <col min="10763" max="10763" width="54.5703125" style="140" bestFit="1" customWidth="1"/>
    <col min="10764" max="11002" width="9.140625" style="140"/>
    <col min="11003" max="11003" width="2.85546875" style="140" customWidth="1"/>
    <col min="11004" max="11004" width="5" style="140" customWidth="1"/>
    <col min="11005" max="11005" width="62" style="140" customWidth="1"/>
    <col min="11006" max="11006" width="12.7109375" style="140" bestFit="1" customWidth="1"/>
    <col min="11007" max="11007" width="1.7109375" style="140" customWidth="1"/>
    <col min="11008" max="11010" width="15.7109375" style="140" customWidth="1"/>
    <col min="11011" max="11011" width="17.85546875" style="140" bestFit="1" customWidth="1"/>
    <col min="11012" max="11012" width="18.5703125" style="140" bestFit="1" customWidth="1"/>
    <col min="11013" max="11015" width="15.7109375" style="140" customWidth="1"/>
    <col min="11016" max="11016" width="20" style="140" customWidth="1"/>
    <col min="11017" max="11017" width="18.5703125" style="140" bestFit="1" customWidth="1"/>
    <col min="11018" max="11018" width="13.7109375" style="140" customWidth="1"/>
    <col min="11019" max="11019" width="54.5703125" style="140" bestFit="1" customWidth="1"/>
    <col min="11020" max="11258" width="9.140625" style="140"/>
    <col min="11259" max="11259" width="2.85546875" style="140" customWidth="1"/>
    <col min="11260" max="11260" width="5" style="140" customWidth="1"/>
    <col min="11261" max="11261" width="62" style="140" customWidth="1"/>
    <col min="11262" max="11262" width="12.7109375" style="140" bestFit="1" customWidth="1"/>
    <col min="11263" max="11263" width="1.7109375" style="140" customWidth="1"/>
    <col min="11264" max="11266" width="15.7109375" style="140" customWidth="1"/>
    <col min="11267" max="11267" width="17.85546875" style="140" bestFit="1" customWidth="1"/>
    <col min="11268" max="11268" width="18.5703125" style="140" bestFit="1" customWidth="1"/>
    <col min="11269" max="11271" width="15.7109375" style="140" customWidth="1"/>
    <col min="11272" max="11272" width="20" style="140" customWidth="1"/>
    <col min="11273" max="11273" width="18.5703125" style="140" bestFit="1" customWidth="1"/>
    <col min="11274" max="11274" width="13.7109375" style="140" customWidth="1"/>
    <col min="11275" max="11275" width="54.5703125" style="140" bestFit="1" customWidth="1"/>
    <col min="11276" max="11514" width="9.140625" style="140"/>
    <col min="11515" max="11515" width="2.85546875" style="140" customWidth="1"/>
    <col min="11516" max="11516" width="5" style="140" customWidth="1"/>
    <col min="11517" max="11517" width="62" style="140" customWidth="1"/>
    <col min="11518" max="11518" width="12.7109375" style="140" bestFit="1" customWidth="1"/>
    <col min="11519" max="11519" width="1.7109375" style="140" customWidth="1"/>
    <col min="11520" max="11522" width="15.7109375" style="140" customWidth="1"/>
    <col min="11523" max="11523" width="17.85546875" style="140" bestFit="1" customWidth="1"/>
    <col min="11524" max="11524" width="18.5703125" style="140" bestFit="1" customWidth="1"/>
    <col min="11525" max="11527" width="15.7109375" style="140" customWidth="1"/>
    <col min="11528" max="11528" width="20" style="140" customWidth="1"/>
    <col min="11529" max="11529" width="18.5703125" style="140" bestFit="1" customWidth="1"/>
    <col min="11530" max="11530" width="13.7109375" style="140" customWidth="1"/>
    <col min="11531" max="11531" width="54.5703125" style="140" bestFit="1" customWidth="1"/>
    <col min="11532" max="11770" width="9.140625" style="140"/>
    <col min="11771" max="11771" width="2.85546875" style="140" customWidth="1"/>
    <col min="11772" max="11772" width="5" style="140" customWidth="1"/>
    <col min="11773" max="11773" width="62" style="140" customWidth="1"/>
    <col min="11774" max="11774" width="12.7109375" style="140" bestFit="1" customWidth="1"/>
    <col min="11775" max="11775" width="1.7109375" style="140" customWidth="1"/>
    <col min="11776" max="11778" width="15.7109375" style="140" customWidth="1"/>
    <col min="11779" max="11779" width="17.85546875" style="140" bestFit="1" customWidth="1"/>
    <col min="11780" max="11780" width="18.5703125" style="140" bestFit="1" customWidth="1"/>
    <col min="11781" max="11783" width="15.7109375" style="140" customWidth="1"/>
    <col min="11784" max="11784" width="20" style="140" customWidth="1"/>
    <col min="11785" max="11785" width="18.5703125" style="140" bestFit="1" customWidth="1"/>
    <col min="11786" max="11786" width="13.7109375" style="140" customWidth="1"/>
    <col min="11787" max="11787" width="54.5703125" style="140" bestFit="1" customWidth="1"/>
    <col min="11788" max="12026" width="9.140625" style="140"/>
    <col min="12027" max="12027" width="2.85546875" style="140" customWidth="1"/>
    <col min="12028" max="12028" width="5" style="140" customWidth="1"/>
    <col min="12029" max="12029" width="62" style="140" customWidth="1"/>
    <col min="12030" max="12030" width="12.7109375" style="140" bestFit="1" customWidth="1"/>
    <col min="12031" max="12031" width="1.7109375" style="140" customWidth="1"/>
    <col min="12032" max="12034" width="15.7109375" style="140" customWidth="1"/>
    <col min="12035" max="12035" width="17.85546875" style="140" bestFit="1" customWidth="1"/>
    <col min="12036" max="12036" width="18.5703125" style="140" bestFit="1" customWidth="1"/>
    <col min="12037" max="12039" width="15.7109375" style="140" customWidth="1"/>
    <col min="12040" max="12040" width="20" style="140" customWidth="1"/>
    <col min="12041" max="12041" width="18.5703125" style="140" bestFit="1" customWidth="1"/>
    <col min="12042" max="12042" width="13.7109375" style="140" customWidth="1"/>
    <col min="12043" max="12043" width="54.5703125" style="140" bestFit="1" customWidth="1"/>
    <col min="12044" max="12282" width="9.140625" style="140"/>
    <col min="12283" max="12283" width="2.85546875" style="140" customWidth="1"/>
    <col min="12284" max="12284" width="5" style="140" customWidth="1"/>
    <col min="12285" max="12285" width="62" style="140" customWidth="1"/>
    <col min="12286" max="12286" width="12.7109375" style="140" bestFit="1" customWidth="1"/>
    <col min="12287" max="12287" width="1.7109375" style="140" customWidth="1"/>
    <col min="12288" max="12290" width="15.7109375" style="140" customWidth="1"/>
    <col min="12291" max="12291" width="17.85546875" style="140" bestFit="1" customWidth="1"/>
    <col min="12292" max="12292" width="18.5703125" style="140" bestFit="1" customWidth="1"/>
    <col min="12293" max="12295" width="15.7109375" style="140" customWidth="1"/>
    <col min="12296" max="12296" width="20" style="140" customWidth="1"/>
    <col min="12297" max="12297" width="18.5703125" style="140" bestFit="1" customWidth="1"/>
    <col min="12298" max="12298" width="13.7109375" style="140" customWidth="1"/>
    <col min="12299" max="12299" width="54.5703125" style="140" bestFit="1" customWidth="1"/>
    <col min="12300" max="12538" width="9.140625" style="140"/>
    <col min="12539" max="12539" width="2.85546875" style="140" customWidth="1"/>
    <col min="12540" max="12540" width="5" style="140" customWidth="1"/>
    <col min="12541" max="12541" width="62" style="140" customWidth="1"/>
    <col min="12542" max="12542" width="12.7109375" style="140" bestFit="1" customWidth="1"/>
    <col min="12543" max="12543" width="1.7109375" style="140" customWidth="1"/>
    <col min="12544" max="12546" width="15.7109375" style="140" customWidth="1"/>
    <col min="12547" max="12547" width="17.85546875" style="140" bestFit="1" customWidth="1"/>
    <col min="12548" max="12548" width="18.5703125" style="140" bestFit="1" customWidth="1"/>
    <col min="12549" max="12551" width="15.7109375" style="140" customWidth="1"/>
    <col min="12552" max="12552" width="20" style="140" customWidth="1"/>
    <col min="12553" max="12553" width="18.5703125" style="140" bestFit="1" customWidth="1"/>
    <col min="12554" max="12554" width="13.7109375" style="140" customWidth="1"/>
    <col min="12555" max="12555" width="54.5703125" style="140" bestFit="1" customWidth="1"/>
    <col min="12556" max="12794" width="9.140625" style="140"/>
    <col min="12795" max="12795" width="2.85546875" style="140" customWidth="1"/>
    <col min="12796" max="12796" width="5" style="140" customWidth="1"/>
    <col min="12797" max="12797" width="62" style="140" customWidth="1"/>
    <col min="12798" max="12798" width="12.7109375" style="140" bestFit="1" customWidth="1"/>
    <col min="12799" max="12799" width="1.7109375" style="140" customWidth="1"/>
    <col min="12800" max="12802" width="15.7109375" style="140" customWidth="1"/>
    <col min="12803" max="12803" width="17.85546875" style="140" bestFit="1" customWidth="1"/>
    <col min="12804" max="12804" width="18.5703125" style="140" bestFit="1" customWidth="1"/>
    <col min="12805" max="12807" width="15.7109375" style="140" customWidth="1"/>
    <col min="12808" max="12808" width="20" style="140" customWidth="1"/>
    <col min="12809" max="12809" width="18.5703125" style="140" bestFit="1" customWidth="1"/>
    <col min="12810" max="12810" width="13.7109375" style="140" customWidth="1"/>
    <col min="12811" max="12811" width="54.5703125" style="140" bestFit="1" customWidth="1"/>
    <col min="12812" max="13050" width="9.140625" style="140"/>
    <col min="13051" max="13051" width="2.85546875" style="140" customWidth="1"/>
    <col min="13052" max="13052" width="5" style="140" customWidth="1"/>
    <col min="13053" max="13053" width="62" style="140" customWidth="1"/>
    <col min="13054" max="13054" width="12.7109375" style="140" bestFit="1" customWidth="1"/>
    <col min="13055" max="13055" width="1.7109375" style="140" customWidth="1"/>
    <col min="13056" max="13058" width="15.7109375" style="140" customWidth="1"/>
    <col min="13059" max="13059" width="17.85546875" style="140" bestFit="1" customWidth="1"/>
    <col min="13060" max="13060" width="18.5703125" style="140" bestFit="1" customWidth="1"/>
    <col min="13061" max="13063" width="15.7109375" style="140" customWidth="1"/>
    <col min="13064" max="13064" width="20" style="140" customWidth="1"/>
    <col min="13065" max="13065" width="18.5703125" style="140" bestFit="1" customWidth="1"/>
    <col min="13066" max="13066" width="13.7109375" style="140" customWidth="1"/>
    <col min="13067" max="13067" width="54.5703125" style="140" bestFit="1" customWidth="1"/>
    <col min="13068" max="13306" width="9.140625" style="140"/>
    <col min="13307" max="13307" width="2.85546875" style="140" customWidth="1"/>
    <col min="13308" max="13308" width="5" style="140" customWidth="1"/>
    <col min="13309" max="13309" width="62" style="140" customWidth="1"/>
    <col min="13310" max="13310" width="12.7109375" style="140" bestFit="1" customWidth="1"/>
    <col min="13311" max="13311" width="1.7109375" style="140" customWidth="1"/>
    <col min="13312" max="13314" width="15.7109375" style="140" customWidth="1"/>
    <col min="13315" max="13315" width="17.85546875" style="140" bestFit="1" customWidth="1"/>
    <col min="13316" max="13316" width="18.5703125" style="140" bestFit="1" customWidth="1"/>
    <col min="13317" max="13319" width="15.7109375" style="140" customWidth="1"/>
    <col min="13320" max="13320" width="20" style="140" customWidth="1"/>
    <col min="13321" max="13321" width="18.5703125" style="140" bestFit="1" customWidth="1"/>
    <col min="13322" max="13322" width="13.7109375" style="140" customWidth="1"/>
    <col min="13323" max="13323" width="54.5703125" style="140" bestFit="1" customWidth="1"/>
    <col min="13324" max="13562" width="9.140625" style="140"/>
    <col min="13563" max="13563" width="2.85546875" style="140" customWidth="1"/>
    <col min="13564" max="13564" width="5" style="140" customWidth="1"/>
    <col min="13565" max="13565" width="62" style="140" customWidth="1"/>
    <col min="13566" max="13566" width="12.7109375" style="140" bestFit="1" customWidth="1"/>
    <col min="13567" max="13567" width="1.7109375" style="140" customWidth="1"/>
    <col min="13568" max="13570" width="15.7109375" style="140" customWidth="1"/>
    <col min="13571" max="13571" width="17.85546875" style="140" bestFit="1" customWidth="1"/>
    <col min="13572" max="13572" width="18.5703125" style="140" bestFit="1" customWidth="1"/>
    <col min="13573" max="13575" width="15.7109375" style="140" customWidth="1"/>
    <col min="13576" max="13576" width="20" style="140" customWidth="1"/>
    <col min="13577" max="13577" width="18.5703125" style="140" bestFit="1" customWidth="1"/>
    <col min="13578" max="13578" width="13.7109375" style="140" customWidth="1"/>
    <col min="13579" max="13579" width="54.5703125" style="140" bestFit="1" customWidth="1"/>
    <col min="13580" max="13818" width="9.140625" style="140"/>
    <col min="13819" max="13819" width="2.85546875" style="140" customWidth="1"/>
    <col min="13820" max="13820" width="5" style="140" customWidth="1"/>
    <col min="13821" max="13821" width="62" style="140" customWidth="1"/>
    <col min="13822" max="13822" width="12.7109375" style="140" bestFit="1" customWidth="1"/>
    <col min="13823" max="13823" width="1.7109375" style="140" customWidth="1"/>
    <col min="13824" max="13826" width="15.7109375" style="140" customWidth="1"/>
    <col min="13827" max="13827" width="17.85546875" style="140" bestFit="1" customWidth="1"/>
    <col min="13828" max="13828" width="18.5703125" style="140" bestFit="1" customWidth="1"/>
    <col min="13829" max="13831" width="15.7109375" style="140" customWidth="1"/>
    <col min="13832" max="13832" width="20" style="140" customWidth="1"/>
    <col min="13833" max="13833" width="18.5703125" style="140" bestFit="1" customWidth="1"/>
    <col min="13834" max="13834" width="13.7109375" style="140" customWidth="1"/>
    <col min="13835" max="13835" width="54.5703125" style="140" bestFit="1" customWidth="1"/>
    <col min="13836" max="14074" width="9.140625" style="140"/>
    <col min="14075" max="14075" width="2.85546875" style="140" customWidth="1"/>
    <col min="14076" max="14076" width="5" style="140" customWidth="1"/>
    <col min="14077" max="14077" width="62" style="140" customWidth="1"/>
    <col min="14078" max="14078" width="12.7109375" style="140" bestFit="1" customWidth="1"/>
    <col min="14079" max="14079" width="1.7109375" style="140" customWidth="1"/>
    <col min="14080" max="14082" width="15.7109375" style="140" customWidth="1"/>
    <col min="14083" max="14083" width="17.85546875" style="140" bestFit="1" customWidth="1"/>
    <col min="14084" max="14084" width="18.5703125" style="140" bestFit="1" customWidth="1"/>
    <col min="14085" max="14087" width="15.7109375" style="140" customWidth="1"/>
    <col min="14088" max="14088" width="20" style="140" customWidth="1"/>
    <col min="14089" max="14089" width="18.5703125" style="140" bestFit="1" customWidth="1"/>
    <col min="14090" max="14090" width="13.7109375" style="140" customWidth="1"/>
    <col min="14091" max="14091" width="54.5703125" style="140" bestFit="1" customWidth="1"/>
    <col min="14092" max="14330" width="9.140625" style="140"/>
    <col min="14331" max="14331" width="2.85546875" style="140" customWidth="1"/>
    <col min="14332" max="14332" width="5" style="140" customWidth="1"/>
    <col min="14333" max="14333" width="62" style="140" customWidth="1"/>
    <col min="14334" max="14334" width="12.7109375" style="140" bestFit="1" customWidth="1"/>
    <col min="14335" max="14335" width="1.7109375" style="140" customWidth="1"/>
    <col min="14336" max="14338" width="15.7109375" style="140" customWidth="1"/>
    <col min="14339" max="14339" width="17.85546875" style="140" bestFit="1" customWidth="1"/>
    <col min="14340" max="14340" width="18.5703125" style="140" bestFit="1" customWidth="1"/>
    <col min="14341" max="14343" width="15.7109375" style="140" customWidth="1"/>
    <col min="14344" max="14344" width="20" style="140" customWidth="1"/>
    <col min="14345" max="14345" width="18.5703125" style="140" bestFit="1" customWidth="1"/>
    <col min="14346" max="14346" width="13.7109375" style="140" customWidth="1"/>
    <col min="14347" max="14347" width="54.5703125" style="140" bestFit="1" customWidth="1"/>
    <col min="14348" max="14586" width="9.140625" style="140"/>
    <col min="14587" max="14587" width="2.85546875" style="140" customWidth="1"/>
    <col min="14588" max="14588" width="5" style="140" customWidth="1"/>
    <col min="14589" max="14589" width="62" style="140" customWidth="1"/>
    <col min="14590" max="14590" width="12.7109375" style="140" bestFit="1" customWidth="1"/>
    <col min="14591" max="14591" width="1.7109375" style="140" customWidth="1"/>
    <col min="14592" max="14594" width="15.7109375" style="140" customWidth="1"/>
    <col min="14595" max="14595" width="17.85546875" style="140" bestFit="1" customWidth="1"/>
    <col min="14596" max="14596" width="18.5703125" style="140" bestFit="1" customWidth="1"/>
    <col min="14597" max="14599" width="15.7109375" style="140" customWidth="1"/>
    <col min="14600" max="14600" width="20" style="140" customWidth="1"/>
    <col min="14601" max="14601" width="18.5703125" style="140" bestFit="1" customWidth="1"/>
    <col min="14602" max="14602" width="13.7109375" style="140" customWidth="1"/>
    <col min="14603" max="14603" width="54.5703125" style="140" bestFit="1" customWidth="1"/>
    <col min="14604" max="14842" width="9.140625" style="140"/>
    <col min="14843" max="14843" width="2.85546875" style="140" customWidth="1"/>
    <col min="14844" max="14844" width="5" style="140" customWidth="1"/>
    <col min="14845" max="14845" width="62" style="140" customWidth="1"/>
    <col min="14846" max="14846" width="12.7109375" style="140" bestFit="1" customWidth="1"/>
    <col min="14847" max="14847" width="1.7109375" style="140" customWidth="1"/>
    <col min="14848" max="14850" width="15.7109375" style="140" customWidth="1"/>
    <col min="14851" max="14851" width="17.85546875" style="140" bestFit="1" customWidth="1"/>
    <col min="14852" max="14852" width="18.5703125" style="140" bestFit="1" customWidth="1"/>
    <col min="14853" max="14855" width="15.7109375" style="140" customWidth="1"/>
    <col min="14856" max="14856" width="20" style="140" customWidth="1"/>
    <col min="14857" max="14857" width="18.5703125" style="140" bestFit="1" customWidth="1"/>
    <col min="14858" max="14858" width="13.7109375" style="140" customWidth="1"/>
    <col min="14859" max="14859" width="54.5703125" style="140" bestFit="1" customWidth="1"/>
    <col min="14860" max="15098" width="9.140625" style="140"/>
    <col min="15099" max="15099" width="2.85546875" style="140" customWidth="1"/>
    <col min="15100" max="15100" width="5" style="140" customWidth="1"/>
    <col min="15101" max="15101" width="62" style="140" customWidth="1"/>
    <col min="15102" max="15102" width="12.7109375" style="140" bestFit="1" customWidth="1"/>
    <col min="15103" max="15103" width="1.7109375" style="140" customWidth="1"/>
    <col min="15104" max="15106" width="15.7109375" style="140" customWidth="1"/>
    <col min="15107" max="15107" width="17.85546875" style="140" bestFit="1" customWidth="1"/>
    <col min="15108" max="15108" width="18.5703125" style="140" bestFit="1" customWidth="1"/>
    <col min="15109" max="15111" width="15.7109375" style="140" customWidth="1"/>
    <col min="15112" max="15112" width="20" style="140" customWidth="1"/>
    <col min="15113" max="15113" width="18.5703125" style="140" bestFit="1" customWidth="1"/>
    <col min="15114" max="15114" width="13.7109375" style="140" customWidth="1"/>
    <col min="15115" max="15115" width="54.5703125" style="140" bestFit="1" customWidth="1"/>
    <col min="15116" max="15354" width="9.140625" style="140"/>
    <col min="15355" max="15355" width="2.85546875" style="140" customWidth="1"/>
    <col min="15356" max="15356" width="5" style="140" customWidth="1"/>
    <col min="15357" max="15357" width="62" style="140" customWidth="1"/>
    <col min="15358" max="15358" width="12.7109375" style="140" bestFit="1" customWidth="1"/>
    <col min="15359" max="15359" width="1.7109375" style="140" customWidth="1"/>
    <col min="15360" max="15362" width="15.7109375" style="140" customWidth="1"/>
    <col min="15363" max="15363" width="17.85546875" style="140" bestFit="1" customWidth="1"/>
    <col min="15364" max="15364" width="18.5703125" style="140" bestFit="1" customWidth="1"/>
    <col min="15365" max="15367" width="15.7109375" style="140" customWidth="1"/>
    <col min="15368" max="15368" width="20" style="140" customWidth="1"/>
    <col min="15369" max="15369" width="18.5703125" style="140" bestFit="1" customWidth="1"/>
    <col min="15370" max="15370" width="13.7109375" style="140" customWidth="1"/>
    <col min="15371" max="15371" width="54.5703125" style="140" bestFit="1" customWidth="1"/>
    <col min="15372" max="15610" width="9.140625" style="140"/>
    <col min="15611" max="15611" width="2.85546875" style="140" customWidth="1"/>
    <col min="15612" max="15612" width="5" style="140" customWidth="1"/>
    <col min="15613" max="15613" width="62" style="140" customWidth="1"/>
    <col min="15614" max="15614" width="12.7109375" style="140" bestFit="1" customWidth="1"/>
    <col min="15615" max="15615" width="1.7109375" style="140" customWidth="1"/>
    <col min="15616" max="15618" width="15.7109375" style="140" customWidth="1"/>
    <col min="15619" max="15619" width="17.85546875" style="140" bestFit="1" customWidth="1"/>
    <col min="15620" max="15620" width="18.5703125" style="140" bestFit="1" customWidth="1"/>
    <col min="15621" max="15623" width="15.7109375" style="140" customWidth="1"/>
    <col min="15624" max="15624" width="20" style="140" customWidth="1"/>
    <col min="15625" max="15625" width="18.5703125" style="140" bestFit="1" customWidth="1"/>
    <col min="15626" max="15626" width="13.7109375" style="140" customWidth="1"/>
    <col min="15627" max="15627" width="54.5703125" style="140" bestFit="1" customWidth="1"/>
    <col min="15628" max="15866" width="9.140625" style="140"/>
    <col min="15867" max="15867" width="2.85546875" style="140" customWidth="1"/>
    <col min="15868" max="15868" width="5" style="140" customWidth="1"/>
    <col min="15869" max="15869" width="62" style="140" customWidth="1"/>
    <col min="15870" max="15870" width="12.7109375" style="140" bestFit="1" customWidth="1"/>
    <col min="15871" max="15871" width="1.7109375" style="140" customWidth="1"/>
    <col min="15872" max="15874" width="15.7109375" style="140" customWidth="1"/>
    <col min="15875" max="15875" width="17.85546875" style="140" bestFit="1" customWidth="1"/>
    <col min="15876" max="15876" width="18.5703125" style="140" bestFit="1" customWidth="1"/>
    <col min="15877" max="15879" width="15.7109375" style="140" customWidth="1"/>
    <col min="15880" max="15880" width="20" style="140" customWidth="1"/>
    <col min="15881" max="15881" width="18.5703125" style="140" bestFit="1" customWidth="1"/>
    <col min="15882" max="15882" width="13.7109375" style="140" customWidth="1"/>
    <col min="15883" max="15883" width="54.5703125" style="140" bestFit="1" customWidth="1"/>
    <col min="15884" max="16122" width="9.140625" style="140"/>
    <col min="16123" max="16123" width="2.85546875" style="140" customWidth="1"/>
    <col min="16124" max="16124" width="5" style="140" customWidth="1"/>
    <col min="16125" max="16125" width="62" style="140" customWidth="1"/>
    <col min="16126" max="16126" width="12.7109375" style="140" bestFit="1" customWidth="1"/>
    <col min="16127" max="16127" width="1.7109375" style="140" customWidth="1"/>
    <col min="16128" max="16130" width="15.7109375" style="140" customWidth="1"/>
    <col min="16131" max="16131" width="17.85546875" style="140" bestFit="1" customWidth="1"/>
    <col min="16132" max="16132" width="18.5703125" style="140" bestFit="1" customWidth="1"/>
    <col min="16133" max="16135" width="15.7109375" style="140" customWidth="1"/>
    <col min="16136" max="16136" width="20" style="140" customWidth="1"/>
    <col min="16137" max="16137" width="18.5703125" style="140" bestFit="1" customWidth="1"/>
    <col min="16138" max="16138" width="13.7109375" style="140" customWidth="1"/>
    <col min="16139" max="16139" width="54.5703125" style="140" bestFit="1" customWidth="1"/>
    <col min="16140" max="16384" width="9.140625" style="140"/>
  </cols>
  <sheetData>
    <row r="1" spans="1:11" x14ac:dyDescent="0.2">
      <c r="E1" s="337"/>
      <c r="F1" s="334" t="s">
        <v>394</v>
      </c>
      <c r="G1" s="253" t="str">
        <f>EBNUMBER</f>
        <v>EB-2015-0089</v>
      </c>
      <c r="H1" s="334"/>
    </row>
    <row r="2" spans="1:11" x14ac:dyDescent="0.2">
      <c r="E2" s="337"/>
      <c r="F2" s="334" t="s">
        <v>395</v>
      </c>
      <c r="G2" s="136">
        <v>2</v>
      </c>
      <c r="H2" s="334"/>
    </row>
    <row r="3" spans="1:11" x14ac:dyDescent="0.2">
      <c r="E3" s="337"/>
      <c r="F3" s="334" t="s">
        <v>396</v>
      </c>
      <c r="G3" s="136" t="s">
        <v>2458</v>
      </c>
      <c r="H3" s="334"/>
    </row>
    <row r="4" spans="1:11" x14ac:dyDescent="0.2">
      <c r="E4" s="337"/>
      <c r="F4" s="334" t="s">
        <v>397</v>
      </c>
      <c r="G4" s="136" t="s">
        <v>2403</v>
      </c>
      <c r="H4" s="334"/>
    </row>
    <row r="5" spans="1:11" x14ac:dyDescent="0.2">
      <c r="E5" s="337"/>
      <c r="F5" s="334" t="s">
        <v>398</v>
      </c>
      <c r="G5" s="1514">
        <v>65</v>
      </c>
      <c r="H5" s="334"/>
    </row>
    <row r="6" spans="1:11" x14ac:dyDescent="0.2">
      <c r="E6" s="337"/>
      <c r="F6" s="334"/>
      <c r="G6" s="1513"/>
      <c r="H6" s="334"/>
    </row>
    <row r="7" spans="1:11" x14ac:dyDescent="0.2">
      <c r="E7" s="337"/>
      <c r="F7" s="334" t="s">
        <v>399</v>
      </c>
      <c r="G7" s="1838" t="s">
        <v>2459</v>
      </c>
      <c r="H7" s="334"/>
    </row>
    <row r="8" spans="1:11" ht="8.25" customHeight="1" x14ac:dyDescent="0.2"/>
    <row r="9" spans="1:11" ht="20.25" customHeight="1" x14ac:dyDescent="0.2">
      <c r="A9" s="2083" t="s">
        <v>1553</v>
      </c>
      <c r="B9" s="2083"/>
      <c r="C9" s="2083"/>
      <c r="D9" s="2083"/>
      <c r="E9" s="2083"/>
      <c r="F9" s="2083"/>
      <c r="G9" s="2083"/>
      <c r="H9" s="2083"/>
      <c r="I9" s="1482"/>
      <c r="J9" s="1482"/>
      <c r="K9" s="1482"/>
    </row>
    <row r="10" spans="1:11" ht="19.5" customHeight="1" x14ac:dyDescent="0.2">
      <c r="A10" s="2083" t="s">
        <v>531</v>
      </c>
      <c r="B10" s="2083"/>
      <c r="C10" s="2083"/>
      <c r="D10" s="2083"/>
      <c r="E10" s="2083"/>
      <c r="F10" s="2083"/>
      <c r="G10" s="2083"/>
      <c r="H10" s="2083"/>
      <c r="I10" s="1483"/>
      <c r="J10" s="1483"/>
      <c r="K10" s="1483"/>
    </row>
    <row r="12" spans="1:11" ht="30" customHeight="1" x14ac:dyDescent="0.2">
      <c r="A12" s="2002" t="s">
        <v>1560</v>
      </c>
      <c r="B12" s="2002"/>
      <c r="C12" s="2002"/>
      <c r="D12" s="2002"/>
      <c r="E12" s="2002"/>
      <c r="F12" s="2002"/>
      <c r="G12" s="198"/>
      <c r="H12" s="198"/>
      <c r="I12" s="1483"/>
      <c r="J12" s="1483"/>
      <c r="K12" s="1483"/>
    </row>
    <row r="13" spans="1:11" ht="13.5" thickBot="1" x14ac:dyDescent="0.25">
      <c r="B13" s="498"/>
      <c r="C13" s="498"/>
      <c r="D13" s="498"/>
      <c r="E13" s="498"/>
      <c r="F13" s="498"/>
      <c r="G13" s="498"/>
      <c r="H13" s="498"/>
    </row>
    <row r="14" spans="1:11" x14ac:dyDescent="0.2">
      <c r="A14" s="2088" t="s">
        <v>1555</v>
      </c>
      <c r="B14" s="499"/>
      <c r="C14" s="499"/>
      <c r="D14" s="499"/>
      <c r="E14" s="499"/>
      <c r="F14" s="499"/>
    </row>
    <row r="15" spans="1:11" ht="12" customHeight="1" x14ac:dyDescent="0.2">
      <c r="A15" s="2089"/>
      <c r="B15" s="500">
        <v>2012</v>
      </c>
      <c r="C15" s="500">
        <v>2013</v>
      </c>
      <c r="D15" s="500">
        <v>2014</v>
      </c>
      <c r="E15" s="500">
        <v>2015</v>
      </c>
      <c r="F15" s="500">
        <v>2016</v>
      </c>
    </row>
    <row r="16" spans="1:11" x14ac:dyDescent="0.2">
      <c r="A16" s="2090"/>
      <c r="B16" s="501" t="s">
        <v>1611</v>
      </c>
      <c r="C16" s="501" t="s">
        <v>1611</v>
      </c>
      <c r="D16" s="501" t="s">
        <v>1611</v>
      </c>
      <c r="E16" s="502" t="s">
        <v>406</v>
      </c>
      <c r="F16" s="502" t="s">
        <v>407</v>
      </c>
    </row>
    <row r="17" spans="1:8" x14ac:dyDescent="0.2">
      <c r="A17" s="1674" t="s">
        <v>2183</v>
      </c>
      <c r="B17" s="1675">
        <v>4551872</v>
      </c>
      <c r="C17" s="1675">
        <v>4885004</v>
      </c>
      <c r="D17" s="1675">
        <v>5542270</v>
      </c>
      <c r="E17" s="1675">
        <v>6355004</v>
      </c>
      <c r="F17" s="1675">
        <f>6310037-350000</f>
        <v>5960037</v>
      </c>
    </row>
    <row r="18" spans="1:8" x14ac:dyDescent="0.2">
      <c r="A18" s="1674" t="s">
        <v>2184</v>
      </c>
      <c r="B18" s="1676">
        <v>2041575</v>
      </c>
      <c r="C18" s="1676">
        <v>3326491</v>
      </c>
      <c r="D18" s="1676">
        <v>2455902</v>
      </c>
      <c r="E18" s="1675">
        <v>3136625</v>
      </c>
      <c r="F18" s="1675">
        <f>3253326-200000</f>
        <v>3053326</v>
      </c>
    </row>
    <row r="19" spans="1:8" x14ac:dyDescent="0.2">
      <c r="A19" s="1674" t="s">
        <v>2185</v>
      </c>
      <c r="B19" s="1676">
        <v>355354</v>
      </c>
      <c r="C19" s="1676">
        <v>387910</v>
      </c>
      <c r="D19" s="1676">
        <v>440564.17</v>
      </c>
      <c r="E19" s="1676">
        <v>294696</v>
      </c>
      <c r="F19" s="1676">
        <v>313560</v>
      </c>
    </row>
    <row r="20" spans="1:8" ht="24.95" customHeight="1" x14ac:dyDescent="0.2">
      <c r="A20" s="1674" t="s">
        <v>2186</v>
      </c>
      <c r="B20" s="1676">
        <v>1000680</v>
      </c>
      <c r="C20" s="1676">
        <v>716843.35</v>
      </c>
      <c r="D20" s="1676">
        <v>869928.25</v>
      </c>
      <c r="E20" s="1676">
        <v>1050752</v>
      </c>
      <c r="F20" s="1676">
        <v>1069032</v>
      </c>
    </row>
    <row r="21" spans="1:8" ht="24.95" customHeight="1" x14ac:dyDescent="0.2">
      <c r="A21" s="1511"/>
      <c r="B21" s="504"/>
      <c r="C21" s="504"/>
      <c r="D21" s="504"/>
      <c r="E21" s="504"/>
      <c r="F21" s="504"/>
    </row>
    <row r="22" spans="1:8" x14ac:dyDescent="0.2">
      <c r="A22" s="1511"/>
      <c r="B22" s="504"/>
      <c r="C22" s="504"/>
      <c r="D22" s="504"/>
      <c r="E22" s="504"/>
      <c r="F22" s="504"/>
    </row>
    <row r="23" spans="1:8" ht="13.5" customHeight="1" x14ac:dyDescent="0.2">
      <c r="A23" s="1511"/>
      <c r="B23" s="504"/>
      <c r="C23" s="504"/>
      <c r="D23" s="504"/>
      <c r="E23" s="504"/>
      <c r="F23" s="504"/>
    </row>
    <row r="24" spans="1:8" ht="13.5" customHeight="1" x14ac:dyDescent="0.2">
      <c r="A24" s="1511"/>
      <c r="B24" s="504"/>
      <c r="C24" s="504"/>
      <c r="D24" s="504"/>
      <c r="E24" s="504"/>
      <c r="F24" s="504"/>
    </row>
    <row r="25" spans="1:8" ht="27" customHeight="1" x14ac:dyDescent="0.2">
      <c r="A25" s="505"/>
      <c r="B25" s="504"/>
      <c r="C25" s="504"/>
      <c r="D25" s="504"/>
      <c r="E25" s="504"/>
      <c r="F25" s="504"/>
    </row>
    <row r="26" spans="1:8" ht="13.5" thickBot="1" x14ac:dyDescent="0.25">
      <c r="A26" s="505"/>
      <c r="B26" s="506"/>
      <c r="C26" s="506"/>
      <c r="D26" s="506"/>
      <c r="E26" s="506"/>
      <c r="F26" s="506"/>
    </row>
    <row r="27" spans="1:8" ht="14.25" customHeight="1" thickTop="1" thickBot="1" x14ac:dyDescent="0.25">
      <c r="A27" s="507" t="s">
        <v>1558</v>
      </c>
      <c r="B27" s="508">
        <f>SUM(B17:B26)</f>
        <v>7949481</v>
      </c>
      <c r="C27" s="508">
        <f t="shared" ref="C27:F27" si="0">SUM(C17:C26)</f>
        <v>9316248.3499999996</v>
      </c>
      <c r="D27" s="508">
        <f t="shared" si="0"/>
        <v>9308664.4199999999</v>
      </c>
      <c r="E27" s="508">
        <f t="shared" si="0"/>
        <v>10837077</v>
      </c>
      <c r="F27" s="508">
        <f t="shared" si="0"/>
        <v>10395955</v>
      </c>
    </row>
    <row r="28" spans="1:8" ht="14.25" customHeight="1" x14ac:dyDescent="0.2">
      <c r="A28" s="509"/>
      <c r="B28" s="510"/>
      <c r="C28" s="510"/>
      <c r="D28" s="510"/>
      <c r="E28" s="510"/>
      <c r="F28" s="510"/>
    </row>
    <row r="29" spans="1:8" s="377" customFormat="1" ht="31.5" customHeight="1" x14ac:dyDescent="0.2">
      <c r="A29" s="2097" t="s">
        <v>1561</v>
      </c>
      <c r="B29" s="2097"/>
      <c r="C29" s="2097"/>
      <c r="D29" s="2097"/>
      <c r="E29" s="2097"/>
      <c r="F29" s="2097"/>
      <c r="G29" s="511"/>
      <c r="H29" s="512"/>
    </row>
    <row r="30" spans="1:8" s="377" customFormat="1" ht="14.25" customHeight="1" thickBot="1" x14ac:dyDescent="0.25">
      <c r="A30" s="513"/>
      <c r="B30" s="511"/>
      <c r="C30" s="511"/>
      <c r="D30" s="511"/>
      <c r="E30" s="511"/>
      <c r="F30" s="511"/>
      <c r="G30" s="511"/>
      <c r="H30" s="512"/>
    </row>
    <row r="31" spans="1:8" x14ac:dyDescent="0.2">
      <c r="A31" s="2091" t="s">
        <v>1554</v>
      </c>
      <c r="B31" s="514"/>
      <c r="C31" s="515"/>
      <c r="D31" s="516"/>
      <c r="E31" s="515"/>
      <c r="F31" s="516"/>
      <c r="G31" s="517" t="s">
        <v>496</v>
      </c>
      <c r="H31" s="2094" t="s">
        <v>1556</v>
      </c>
    </row>
    <row r="32" spans="1:8" x14ac:dyDescent="0.2">
      <c r="A32" s="2092"/>
      <c r="B32" s="500">
        <v>2012</v>
      </c>
      <c r="C32" s="500">
        <v>2013</v>
      </c>
      <c r="D32" s="500">
        <v>2014</v>
      </c>
      <c r="E32" s="500">
        <v>2015</v>
      </c>
      <c r="F32" s="500">
        <v>2016</v>
      </c>
      <c r="G32" s="518" t="s">
        <v>497</v>
      </c>
      <c r="H32" s="2095"/>
    </row>
    <row r="33" spans="1:8" x14ac:dyDescent="0.2">
      <c r="A33" s="2093"/>
      <c r="B33" s="501" t="s">
        <v>1611</v>
      </c>
      <c r="C33" s="501" t="s">
        <v>1611</v>
      </c>
      <c r="D33" s="501" t="s">
        <v>1611</v>
      </c>
      <c r="E33" s="519" t="s">
        <v>406</v>
      </c>
      <c r="F33" s="520" t="s">
        <v>407</v>
      </c>
      <c r="G33" s="521" t="s">
        <v>498</v>
      </c>
      <c r="H33" s="2096"/>
    </row>
    <row r="34" spans="1:8" x14ac:dyDescent="0.2">
      <c r="A34" s="1674" t="s">
        <v>2183</v>
      </c>
      <c r="B34" s="1677">
        <v>0</v>
      </c>
      <c r="C34" s="1677">
        <v>0</v>
      </c>
      <c r="D34" s="1677">
        <v>0</v>
      </c>
      <c r="E34" s="1677">
        <v>0</v>
      </c>
      <c r="F34" s="1677">
        <v>0</v>
      </c>
      <c r="G34" s="521" t="s">
        <v>2188</v>
      </c>
      <c r="H34" s="1747" t="s">
        <v>2314</v>
      </c>
    </row>
    <row r="35" spans="1:8" x14ac:dyDescent="0.2">
      <c r="A35" s="1674" t="s">
        <v>2184</v>
      </c>
      <c r="B35" s="1677">
        <v>235834</v>
      </c>
      <c r="C35" s="1677">
        <v>569638</v>
      </c>
      <c r="D35" s="1677">
        <v>357260.61</v>
      </c>
      <c r="E35" s="1677">
        <v>412369</v>
      </c>
      <c r="F35" s="1677">
        <v>453545</v>
      </c>
      <c r="G35" s="521" t="s">
        <v>2188</v>
      </c>
      <c r="H35" s="1747" t="s">
        <v>2314</v>
      </c>
    </row>
    <row r="36" spans="1:8" x14ac:dyDescent="0.2">
      <c r="A36" s="1674" t="s">
        <v>2187</v>
      </c>
      <c r="B36" s="1677">
        <v>58417</v>
      </c>
      <c r="C36" s="1677">
        <v>149697.99</v>
      </c>
      <c r="D36" s="1677">
        <v>252479.52</v>
      </c>
      <c r="E36" s="1677">
        <v>182520</v>
      </c>
      <c r="F36" s="1678">
        <v>201636</v>
      </c>
      <c r="G36" s="521" t="s">
        <v>2188</v>
      </c>
      <c r="H36" s="1747" t="s">
        <v>2314</v>
      </c>
    </row>
    <row r="37" spans="1:8" ht="13.5" thickBot="1" x14ac:dyDescent="0.25">
      <c r="A37" s="1674" t="s">
        <v>2186</v>
      </c>
      <c r="B37" s="1677">
        <v>893238</v>
      </c>
      <c r="C37" s="1677">
        <v>160939.35</v>
      </c>
      <c r="D37" s="1677">
        <v>155028.25</v>
      </c>
      <c r="E37" s="1677">
        <v>213302</v>
      </c>
      <c r="F37" s="1678">
        <v>168326</v>
      </c>
      <c r="G37" s="521" t="s">
        <v>2188</v>
      </c>
      <c r="H37" s="1747" t="s">
        <v>2314</v>
      </c>
    </row>
    <row r="38" spans="1:8" ht="14.25" thickTop="1" thickBot="1" x14ac:dyDescent="0.25">
      <c r="A38" s="522" t="s">
        <v>1557</v>
      </c>
      <c r="B38" s="523">
        <f>SUM(B34:B37)</f>
        <v>1187489</v>
      </c>
      <c r="C38" s="523">
        <f>SUM(C34:C37)</f>
        <v>880275.34</v>
      </c>
      <c r="D38" s="523">
        <f>SUM(D34:D37)</f>
        <v>764768.38</v>
      </c>
      <c r="E38" s="523">
        <f>SUM(E34:E37)</f>
        <v>808191</v>
      </c>
      <c r="F38" s="523">
        <f>SUM(F34:F37)</f>
        <v>823507</v>
      </c>
      <c r="G38" s="524"/>
      <c r="H38" s="525"/>
    </row>
    <row r="39" spans="1:8" s="377" customFormat="1" ht="13.5" thickBot="1" x14ac:dyDescent="0.25">
      <c r="A39" s="513"/>
      <c r="B39" s="511"/>
      <c r="C39" s="511"/>
      <c r="D39" s="511"/>
      <c r="E39" s="511"/>
      <c r="F39" s="511"/>
      <c r="G39" s="511"/>
      <c r="H39" s="511"/>
    </row>
    <row r="40" spans="1:8" ht="13.5" thickBot="1" x14ac:dyDescent="0.25">
      <c r="A40" s="526" t="s">
        <v>1559</v>
      </c>
      <c r="B40" s="527">
        <f>IF(ISERROR(B38/B27),"0%",B38/B27)</f>
        <v>0.14937943747522636</v>
      </c>
      <c r="C40" s="527">
        <f>IF(ISERROR(C38/C27),"0%",C38/C27)</f>
        <v>9.4488178817173765E-2</v>
      </c>
      <c r="D40" s="527">
        <f>IF(ISERROR(D38/D27),"0%",D38/D27)</f>
        <v>8.215661726475687E-2</v>
      </c>
      <c r="E40" s="527">
        <f>IF(ISERROR(E38/E27),"0%",E38/E27)</f>
        <v>7.4576474818809538E-2</v>
      </c>
      <c r="F40" s="527">
        <f>IF(ISERROR(F38/F27),"0%",F38/F27)</f>
        <v>7.9214175128691874E-2</v>
      </c>
      <c r="G40" s="528"/>
      <c r="H40" s="529"/>
    </row>
    <row r="41" spans="1:8" ht="13.5" customHeight="1" x14ac:dyDescent="0.2">
      <c r="A41" s="2098"/>
      <c r="B41" s="2099"/>
      <c r="C41" s="1480"/>
      <c r="D41" s="1480"/>
      <c r="E41" s="1468"/>
    </row>
    <row r="42" spans="1:8" ht="13.5" thickBot="1" x14ac:dyDescent="0.25">
      <c r="A42" s="2098"/>
      <c r="B42" s="2099"/>
      <c r="C42" s="1480"/>
      <c r="D42" s="1480"/>
      <c r="E42" s="1509"/>
    </row>
    <row r="43" spans="1:8" x14ac:dyDescent="0.2">
      <c r="A43" s="2091" t="s">
        <v>2182</v>
      </c>
      <c r="B43" s="515">
        <v>2012</v>
      </c>
      <c r="C43" s="516">
        <v>2013</v>
      </c>
      <c r="D43" s="515">
        <v>2014</v>
      </c>
      <c r="E43" s="515">
        <v>2015</v>
      </c>
      <c r="F43" s="515">
        <v>2016</v>
      </c>
      <c r="G43"/>
      <c r="H43"/>
    </row>
    <row r="44" spans="1:8" x14ac:dyDescent="0.2">
      <c r="A44" s="2092"/>
      <c r="B44" s="500"/>
      <c r="C44" s="500"/>
      <c r="D44" s="500"/>
      <c r="E44" s="500"/>
      <c r="F44" s="500"/>
      <c r="G44"/>
      <c r="H44"/>
    </row>
    <row r="45" spans="1:8" x14ac:dyDescent="0.2">
      <c r="A45" s="2093"/>
      <c r="B45" s="501" t="s">
        <v>1611</v>
      </c>
      <c r="C45" s="501" t="s">
        <v>1611</v>
      </c>
      <c r="D45" s="519" t="s">
        <v>1611</v>
      </c>
      <c r="E45" s="519" t="s">
        <v>406</v>
      </c>
      <c r="F45" s="519" t="s">
        <v>407</v>
      </c>
      <c r="G45"/>
      <c r="H45"/>
    </row>
    <row r="46" spans="1:8" x14ac:dyDescent="0.2">
      <c r="A46" s="1674" t="s">
        <v>2183</v>
      </c>
      <c r="B46" s="1677">
        <f>+B17-B34</f>
        <v>4551872</v>
      </c>
      <c r="C46" s="1677">
        <f t="shared" ref="C46:F46" si="1">+C17-C34</f>
        <v>4885004</v>
      </c>
      <c r="D46" s="1677">
        <f t="shared" si="1"/>
        <v>5542270</v>
      </c>
      <c r="E46" s="1677">
        <f t="shared" si="1"/>
        <v>6355004</v>
      </c>
      <c r="F46" s="1677">
        <f t="shared" si="1"/>
        <v>5960037</v>
      </c>
      <c r="G46" s="521"/>
      <c r="H46" s="1602"/>
    </row>
    <row r="47" spans="1:8" x14ac:dyDescent="0.2">
      <c r="A47" s="1674" t="s">
        <v>2184</v>
      </c>
      <c r="B47" s="1677">
        <f>+B18-B35</f>
        <v>1805741</v>
      </c>
      <c r="C47" s="1677">
        <f t="shared" ref="C47:F47" si="2">+C18-C35</f>
        <v>2756853</v>
      </c>
      <c r="D47" s="1677">
        <f t="shared" si="2"/>
        <v>2098641.39</v>
      </c>
      <c r="E47" s="1677">
        <f t="shared" si="2"/>
        <v>2724256</v>
      </c>
      <c r="F47" s="1677">
        <f t="shared" si="2"/>
        <v>2599781</v>
      </c>
      <c r="G47" s="521"/>
      <c r="H47" s="1602"/>
    </row>
    <row r="48" spans="1:8" x14ac:dyDescent="0.2">
      <c r="A48" s="1674" t="s">
        <v>2187</v>
      </c>
      <c r="B48" s="1677">
        <f>+B19-B36</f>
        <v>296937</v>
      </c>
      <c r="C48" s="1677">
        <f t="shared" ref="C48:F48" si="3">+C19-C36</f>
        <v>238212.01</v>
      </c>
      <c r="D48" s="1677">
        <f t="shared" si="3"/>
        <v>188084.65</v>
      </c>
      <c r="E48" s="1677">
        <f t="shared" si="3"/>
        <v>112176</v>
      </c>
      <c r="F48" s="1677">
        <f t="shared" si="3"/>
        <v>111924</v>
      </c>
      <c r="G48" s="521"/>
      <c r="H48" s="1602"/>
    </row>
    <row r="49" spans="1:9" ht="13.5" thickBot="1" x14ac:dyDescent="0.25">
      <c r="A49" s="1674" t="s">
        <v>2186</v>
      </c>
      <c r="B49" s="1677">
        <f>+B20-B37</f>
        <v>107442</v>
      </c>
      <c r="C49" s="1677">
        <f t="shared" ref="C49:F49" si="4">+C20-C37</f>
        <v>555904</v>
      </c>
      <c r="D49" s="1677">
        <f t="shared" si="4"/>
        <v>714900</v>
      </c>
      <c r="E49" s="1677">
        <f t="shared" si="4"/>
        <v>837450</v>
      </c>
      <c r="F49" s="1677">
        <f t="shared" si="4"/>
        <v>900706</v>
      </c>
      <c r="G49" s="521"/>
      <c r="H49" s="1602"/>
    </row>
    <row r="50" spans="1:9" s="1663" customFormat="1" ht="15.75" thickBot="1" x14ac:dyDescent="0.3">
      <c r="A50" s="2100"/>
      <c r="B50" s="1820">
        <f>SUM(B46:B49)</f>
        <v>6761992</v>
      </c>
      <c r="C50" s="1821">
        <f>SUM(C46:C49)</f>
        <v>8435973.0099999998</v>
      </c>
      <c r="D50" s="1821">
        <f>SUM(D46:D49)</f>
        <v>8543896.040000001</v>
      </c>
      <c r="E50" s="1821">
        <f>SUM(E46:E49)</f>
        <v>10028886</v>
      </c>
      <c r="F50" s="1820">
        <f>SUM(F46:F49)</f>
        <v>9572448</v>
      </c>
      <c r="G50"/>
      <c r="H50"/>
    </row>
    <row r="51" spans="1:9" x14ac:dyDescent="0.2">
      <c r="A51" s="2100"/>
      <c r="B51" s="380"/>
      <c r="C51" s="380"/>
      <c r="D51" s="380"/>
      <c r="E51" s="1509"/>
      <c r="F51" s="1509"/>
      <c r="G51" s="1509"/>
      <c r="H51" s="1509"/>
      <c r="I51" s="1509"/>
    </row>
    <row r="52" spans="1:9" x14ac:dyDescent="0.2">
      <c r="A52" s="2100"/>
      <c r="B52" s="380"/>
      <c r="C52" s="380"/>
      <c r="D52" s="380"/>
      <c r="E52" s="1509"/>
      <c r="F52" s="1509"/>
      <c r="G52" s="1509"/>
      <c r="H52" s="1509"/>
      <c r="I52" s="1509"/>
    </row>
    <row r="53" spans="1:9" x14ac:dyDescent="0.2">
      <c r="A53" s="2100"/>
      <c r="B53" s="380"/>
      <c r="C53" s="380"/>
      <c r="D53" s="380"/>
      <c r="E53" s="1509"/>
      <c r="F53" s="1509"/>
      <c r="G53" s="1509"/>
      <c r="H53" s="1509"/>
      <c r="I53" s="1509"/>
    </row>
    <row r="54" spans="1:9" x14ac:dyDescent="0.2">
      <c r="A54" s="498"/>
      <c r="B54" s="380"/>
      <c r="C54" s="380"/>
      <c r="D54" s="380"/>
    </row>
    <row r="55" spans="1:9" ht="12.75" customHeight="1" x14ac:dyDescent="0.2">
      <c r="A55" s="2098"/>
      <c r="B55" s="380"/>
      <c r="C55" s="380"/>
      <c r="D55" s="380"/>
      <c r="E55" s="1509"/>
      <c r="F55" s="1509"/>
      <c r="G55" s="1509"/>
      <c r="H55" s="1509"/>
      <c r="I55" s="1509"/>
    </row>
    <row r="56" spans="1:9" x14ac:dyDescent="0.2">
      <c r="A56" s="2098"/>
      <c r="B56" s="380"/>
      <c r="C56" s="380"/>
      <c r="D56" s="380"/>
      <c r="E56" s="1509"/>
      <c r="F56" s="1509"/>
      <c r="G56" s="1509"/>
      <c r="H56" s="1509"/>
      <c r="I56" s="1509"/>
    </row>
    <row r="57" spans="1:9" ht="12.75" customHeight="1" x14ac:dyDescent="0.2">
      <c r="B57" s="380"/>
      <c r="C57" s="380"/>
      <c r="D57" s="380"/>
    </row>
    <row r="58" spans="1:9" ht="12.75" customHeight="1" x14ac:dyDescent="0.2">
      <c r="B58" s="380"/>
      <c r="C58" s="380"/>
      <c r="D58" s="380"/>
    </row>
    <row r="59" spans="1:9" ht="12.75" customHeight="1" x14ac:dyDescent="0.2"/>
    <row r="60" spans="1:9" ht="12.75" customHeight="1" x14ac:dyDescent="0.2"/>
    <row r="61" spans="1:9" ht="12.75" customHeight="1" x14ac:dyDescent="0.2"/>
    <row r="63" spans="1:9" ht="12.75" customHeight="1" x14ac:dyDescent="0.2"/>
    <row r="64" spans="1:9" ht="12.75" customHeight="1" x14ac:dyDescent="0.2"/>
    <row r="65" spans="1:1" ht="12.75" customHeight="1" x14ac:dyDescent="0.2"/>
    <row r="66" spans="1:1" ht="12.75" customHeight="1" x14ac:dyDescent="0.2"/>
    <row r="67" spans="1:1" x14ac:dyDescent="0.2">
      <c r="A67" s="380"/>
    </row>
  </sheetData>
  <mergeCells count="12">
    <mergeCell ref="A55:A56"/>
    <mergeCell ref="A41:A42"/>
    <mergeCell ref="B41:B42"/>
    <mergeCell ref="A50:A53"/>
    <mergeCell ref="A43:A45"/>
    <mergeCell ref="A9:H9"/>
    <mergeCell ref="A10:H10"/>
    <mergeCell ref="A14:A16"/>
    <mergeCell ref="A31:A33"/>
    <mergeCell ref="H31:H33"/>
    <mergeCell ref="A12:F12"/>
    <mergeCell ref="A29:F29"/>
  </mergeCells>
  <dataValidations disablePrompts="1" count="1">
    <dataValidation allowBlank="1" showInputMessage="1" showErrorMessage="1" promptTitle="Date Format" prompt="E.g:  &quot;August 1, 2011&quot;" sqref="WVP983028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JD65524 SZ65524 ACV65524 AMR65524 AWN65524 BGJ65524 BQF65524 CAB65524 CJX65524 CTT65524 DDP65524 DNL65524 DXH65524 EHD65524 EQZ65524 FAV65524 FKR65524 FUN65524 GEJ65524 GOF65524 GYB65524 HHX65524 HRT65524 IBP65524 ILL65524 IVH65524 JFD65524 JOZ65524 JYV65524 KIR65524 KSN65524 LCJ65524 LMF65524 LWB65524 MFX65524 MPT65524 MZP65524 NJL65524 NTH65524 ODD65524 OMZ65524 OWV65524 PGR65524 PQN65524 QAJ65524 QKF65524 QUB65524 RDX65524 RNT65524 RXP65524 SHL65524 SRH65524 TBD65524 TKZ65524 TUV65524 UER65524 UON65524 UYJ65524 VIF65524 VSB65524 WBX65524 WLT65524 WVP65524 JD131060 SZ131060 ACV131060 AMR131060 AWN131060 BGJ131060 BQF131060 CAB131060 CJX131060 CTT131060 DDP131060 DNL131060 DXH131060 EHD131060 EQZ131060 FAV131060 FKR131060 FUN131060 GEJ131060 GOF131060 GYB131060 HHX131060 HRT131060 IBP131060 ILL131060 IVH131060 JFD131060 JOZ131060 JYV131060 KIR131060 KSN131060 LCJ131060 LMF131060 LWB131060 MFX131060 MPT131060 MZP131060 NJL131060 NTH131060 ODD131060 OMZ131060 OWV131060 PGR131060 PQN131060 QAJ131060 QKF131060 QUB131060 RDX131060 RNT131060 RXP131060 SHL131060 SRH131060 TBD131060 TKZ131060 TUV131060 UER131060 UON131060 UYJ131060 VIF131060 VSB131060 WBX131060 WLT131060 WVP131060 JD196596 SZ196596 ACV196596 AMR196596 AWN196596 BGJ196596 BQF196596 CAB196596 CJX196596 CTT196596 DDP196596 DNL196596 DXH196596 EHD196596 EQZ196596 FAV196596 FKR196596 FUN196596 GEJ196596 GOF196596 GYB196596 HHX196596 HRT196596 IBP196596 ILL196596 IVH196596 JFD196596 JOZ196596 JYV196596 KIR196596 KSN196596 LCJ196596 LMF196596 LWB196596 MFX196596 MPT196596 MZP196596 NJL196596 NTH196596 ODD196596 OMZ196596 OWV196596 PGR196596 PQN196596 QAJ196596 QKF196596 QUB196596 RDX196596 RNT196596 RXP196596 SHL196596 SRH196596 TBD196596 TKZ196596 TUV196596 UER196596 UON196596 UYJ196596 VIF196596 VSB196596 WBX196596 WLT196596 WVP196596 JD262132 SZ262132 ACV262132 AMR262132 AWN262132 BGJ262132 BQF262132 CAB262132 CJX262132 CTT262132 DDP262132 DNL262132 DXH262132 EHD262132 EQZ262132 FAV262132 FKR262132 FUN262132 GEJ262132 GOF262132 GYB262132 HHX262132 HRT262132 IBP262132 ILL262132 IVH262132 JFD262132 JOZ262132 JYV262132 KIR262132 KSN262132 LCJ262132 LMF262132 LWB262132 MFX262132 MPT262132 MZP262132 NJL262132 NTH262132 ODD262132 OMZ262132 OWV262132 PGR262132 PQN262132 QAJ262132 QKF262132 QUB262132 RDX262132 RNT262132 RXP262132 SHL262132 SRH262132 TBD262132 TKZ262132 TUV262132 UER262132 UON262132 UYJ262132 VIF262132 VSB262132 WBX262132 WLT262132 WVP262132 JD327668 SZ327668 ACV327668 AMR327668 AWN327668 BGJ327668 BQF327668 CAB327668 CJX327668 CTT327668 DDP327668 DNL327668 DXH327668 EHD327668 EQZ327668 FAV327668 FKR327668 FUN327668 GEJ327668 GOF327668 GYB327668 HHX327668 HRT327668 IBP327668 ILL327668 IVH327668 JFD327668 JOZ327668 JYV327668 KIR327668 KSN327668 LCJ327668 LMF327668 LWB327668 MFX327668 MPT327668 MZP327668 NJL327668 NTH327668 ODD327668 OMZ327668 OWV327668 PGR327668 PQN327668 QAJ327668 QKF327668 QUB327668 RDX327668 RNT327668 RXP327668 SHL327668 SRH327668 TBD327668 TKZ327668 TUV327668 UER327668 UON327668 UYJ327668 VIF327668 VSB327668 WBX327668 WLT327668 WVP327668 JD393204 SZ393204 ACV393204 AMR393204 AWN393204 BGJ393204 BQF393204 CAB393204 CJX393204 CTT393204 DDP393204 DNL393204 DXH393204 EHD393204 EQZ393204 FAV393204 FKR393204 FUN393204 GEJ393204 GOF393204 GYB393204 HHX393204 HRT393204 IBP393204 ILL393204 IVH393204 JFD393204 JOZ393204 JYV393204 KIR393204 KSN393204 LCJ393204 LMF393204 LWB393204 MFX393204 MPT393204 MZP393204 NJL393204 NTH393204 ODD393204 OMZ393204 OWV393204 PGR393204 PQN393204 QAJ393204 QKF393204 QUB393204 RDX393204 RNT393204 RXP393204 SHL393204 SRH393204 TBD393204 TKZ393204 TUV393204 UER393204 UON393204 UYJ393204 VIF393204 VSB393204 WBX393204 WLT393204 WVP393204 JD458740 SZ458740 ACV458740 AMR458740 AWN458740 BGJ458740 BQF458740 CAB458740 CJX458740 CTT458740 DDP458740 DNL458740 DXH458740 EHD458740 EQZ458740 FAV458740 FKR458740 FUN458740 GEJ458740 GOF458740 GYB458740 HHX458740 HRT458740 IBP458740 ILL458740 IVH458740 JFD458740 JOZ458740 JYV458740 KIR458740 KSN458740 LCJ458740 LMF458740 LWB458740 MFX458740 MPT458740 MZP458740 NJL458740 NTH458740 ODD458740 OMZ458740 OWV458740 PGR458740 PQN458740 QAJ458740 QKF458740 QUB458740 RDX458740 RNT458740 RXP458740 SHL458740 SRH458740 TBD458740 TKZ458740 TUV458740 UER458740 UON458740 UYJ458740 VIF458740 VSB458740 WBX458740 WLT458740 WVP458740 JD524276 SZ524276 ACV524276 AMR524276 AWN524276 BGJ524276 BQF524276 CAB524276 CJX524276 CTT524276 DDP524276 DNL524276 DXH524276 EHD524276 EQZ524276 FAV524276 FKR524276 FUN524276 GEJ524276 GOF524276 GYB524276 HHX524276 HRT524276 IBP524276 ILL524276 IVH524276 JFD524276 JOZ524276 JYV524276 KIR524276 KSN524276 LCJ524276 LMF524276 LWB524276 MFX524276 MPT524276 MZP524276 NJL524276 NTH524276 ODD524276 OMZ524276 OWV524276 PGR524276 PQN524276 QAJ524276 QKF524276 QUB524276 RDX524276 RNT524276 RXP524276 SHL524276 SRH524276 TBD524276 TKZ524276 TUV524276 UER524276 UON524276 UYJ524276 VIF524276 VSB524276 WBX524276 WLT524276 WVP524276 JD589812 SZ589812 ACV589812 AMR589812 AWN589812 BGJ589812 BQF589812 CAB589812 CJX589812 CTT589812 DDP589812 DNL589812 DXH589812 EHD589812 EQZ589812 FAV589812 FKR589812 FUN589812 GEJ589812 GOF589812 GYB589812 HHX589812 HRT589812 IBP589812 ILL589812 IVH589812 JFD589812 JOZ589812 JYV589812 KIR589812 KSN589812 LCJ589812 LMF589812 LWB589812 MFX589812 MPT589812 MZP589812 NJL589812 NTH589812 ODD589812 OMZ589812 OWV589812 PGR589812 PQN589812 QAJ589812 QKF589812 QUB589812 RDX589812 RNT589812 RXP589812 SHL589812 SRH589812 TBD589812 TKZ589812 TUV589812 UER589812 UON589812 UYJ589812 VIF589812 VSB589812 WBX589812 WLT589812 WVP589812 JD655348 SZ655348 ACV655348 AMR655348 AWN655348 BGJ655348 BQF655348 CAB655348 CJX655348 CTT655348 DDP655348 DNL655348 DXH655348 EHD655348 EQZ655348 FAV655348 FKR655348 FUN655348 GEJ655348 GOF655348 GYB655348 HHX655348 HRT655348 IBP655348 ILL655348 IVH655348 JFD655348 JOZ655348 JYV655348 KIR655348 KSN655348 LCJ655348 LMF655348 LWB655348 MFX655348 MPT655348 MZP655348 NJL655348 NTH655348 ODD655348 OMZ655348 OWV655348 PGR655348 PQN655348 QAJ655348 QKF655348 QUB655348 RDX655348 RNT655348 RXP655348 SHL655348 SRH655348 TBD655348 TKZ655348 TUV655348 UER655348 UON655348 UYJ655348 VIF655348 VSB655348 WBX655348 WLT655348 WVP655348 JD720884 SZ720884 ACV720884 AMR720884 AWN720884 BGJ720884 BQF720884 CAB720884 CJX720884 CTT720884 DDP720884 DNL720884 DXH720884 EHD720884 EQZ720884 FAV720884 FKR720884 FUN720884 GEJ720884 GOF720884 GYB720884 HHX720884 HRT720884 IBP720884 ILL720884 IVH720884 JFD720884 JOZ720884 JYV720884 KIR720884 KSN720884 LCJ720884 LMF720884 LWB720884 MFX720884 MPT720884 MZP720884 NJL720884 NTH720884 ODD720884 OMZ720884 OWV720884 PGR720884 PQN720884 QAJ720884 QKF720884 QUB720884 RDX720884 RNT720884 RXP720884 SHL720884 SRH720884 TBD720884 TKZ720884 TUV720884 UER720884 UON720884 UYJ720884 VIF720884 VSB720884 WBX720884 WLT720884 WVP720884 JD786420 SZ786420 ACV786420 AMR786420 AWN786420 BGJ786420 BQF786420 CAB786420 CJX786420 CTT786420 DDP786420 DNL786420 DXH786420 EHD786420 EQZ786420 FAV786420 FKR786420 FUN786420 GEJ786420 GOF786420 GYB786420 HHX786420 HRT786420 IBP786420 ILL786420 IVH786420 JFD786420 JOZ786420 JYV786420 KIR786420 KSN786420 LCJ786420 LMF786420 LWB786420 MFX786420 MPT786420 MZP786420 NJL786420 NTH786420 ODD786420 OMZ786420 OWV786420 PGR786420 PQN786420 QAJ786420 QKF786420 QUB786420 RDX786420 RNT786420 RXP786420 SHL786420 SRH786420 TBD786420 TKZ786420 TUV786420 UER786420 UON786420 UYJ786420 VIF786420 VSB786420 WBX786420 WLT786420 WVP786420 JD851956 SZ851956 ACV851956 AMR851956 AWN851956 BGJ851956 BQF851956 CAB851956 CJX851956 CTT851956 DDP851956 DNL851956 DXH851956 EHD851956 EQZ851956 FAV851956 FKR851956 FUN851956 GEJ851956 GOF851956 GYB851956 HHX851956 HRT851956 IBP851956 ILL851956 IVH851956 JFD851956 JOZ851956 JYV851956 KIR851956 KSN851956 LCJ851956 LMF851956 LWB851956 MFX851956 MPT851956 MZP851956 NJL851956 NTH851956 ODD851956 OMZ851956 OWV851956 PGR851956 PQN851956 QAJ851956 QKF851956 QUB851956 RDX851956 RNT851956 RXP851956 SHL851956 SRH851956 TBD851956 TKZ851956 TUV851956 UER851956 UON851956 UYJ851956 VIF851956 VSB851956 WBX851956 WLT851956 WVP851956 JD917492 SZ917492 ACV917492 AMR917492 AWN917492 BGJ917492 BQF917492 CAB917492 CJX917492 CTT917492 DDP917492 DNL917492 DXH917492 EHD917492 EQZ917492 FAV917492 FKR917492 FUN917492 GEJ917492 GOF917492 GYB917492 HHX917492 HRT917492 IBP917492 ILL917492 IVH917492 JFD917492 JOZ917492 JYV917492 KIR917492 KSN917492 LCJ917492 LMF917492 LWB917492 MFX917492 MPT917492 MZP917492 NJL917492 NTH917492 ODD917492 OMZ917492 OWV917492 PGR917492 PQN917492 QAJ917492 QKF917492 QUB917492 RDX917492 RNT917492 RXP917492 SHL917492 SRH917492 TBD917492 TKZ917492 TUV917492 UER917492 UON917492 UYJ917492 VIF917492 VSB917492 WBX917492 WLT917492 WVP917492 JD983028 SZ983028 ACV983028 AMR983028 AWN983028 BGJ983028 BQF983028 CAB983028 CJX983028 CTT983028 DDP983028 DNL983028 DXH983028 EHD983028 EQZ983028 FAV983028 FKR983028 FUN983028 GEJ983028 GOF983028 GYB983028 HHX983028 HRT983028 IBP983028 ILL983028 IVH983028 JFD983028 JOZ983028 JYV983028 KIR983028 KSN983028 LCJ983028 LMF983028 LWB983028 MFX983028 MPT983028 MZP983028 NJL983028 NTH983028 ODD983028 OMZ983028 OWV983028 PGR983028 PQN983028 QAJ983028 QKF983028 QUB983028 RDX983028 RNT983028 RXP983028 SHL983028 SRH983028 TBD983028 TKZ983028 TUV983028 UER983028 UON983028 UYJ983028 VIF983028 VSB983028 WBX983028 WLT983028"/>
  </dataValidations>
  <pageMargins left="0.75" right="0.75" top="1" bottom="1" header="0.5" footer="0.5"/>
  <pageSetup scale="61" orientation="landscape" r:id="rId1"/>
  <headerFooter alignWithMargins="0"/>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M54"/>
  <sheetViews>
    <sheetView showGridLines="0" zoomScaleNormal="100" workbookViewId="0"/>
  </sheetViews>
  <sheetFormatPr defaultRowHeight="15" x14ac:dyDescent="0.25"/>
  <cols>
    <col min="1" max="1" width="51.7109375" style="530" customWidth="1"/>
    <col min="2" max="5" width="9.140625" style="530"/>
    <col min="6" max="6" width="10.28515625" style="530" bestFit="1" customWidth="1"/>
    <col min="7" max="7" width="13.85546875" style="530" customWidth="1"/>
    <col min="8" max="8" width="10.28515625" style="530" bestFit="1" customWidth="1"/>
    <col min="9" max="9" width="15.42578125" style="530" customWidth="1"/>
    <col min="10" max="10" width="11" style="530" bestFit="1" customWidth="1"/>
    <col min="11" max="11" width="9.28515625" style="530" bestFit="1" customWidth="1"/>
    <col min="12" max="257" width="9.140625" style="530"/>
    <col min="258" max="258" width="51.7109375" style="530" customWidth="1"/>
    <col min="259" max="264" width="9.140625" style="530"/>
    <col min="265" max="265" width="10.85546875" style="530" customWidth="1"/>
    <col min="266" max="513" width="9.140625" style="530"/>
    <col min="514" max="514" width="51.7109375" style="530" customWidth="1"/>
    <col min="515" max="520" width="9.140625" style="530"/>
    <col min="521" max="521" width="10.85546875" style="530" customWidth="1"/>
    <col min="522" max="769" width="9.140625" style="530"/>
    <col min="770" max="770" width="51.7109375" style="530" customWidth="1"/>
    <col min="771" max="776" width="9.140625" style="530"/>
    <col min="777" max="777" width="10.85546875" style="530" customWidth="1"/>
    <col min="778" max="1025" width="9.140625" style="530"/>
    <col min="1026" max="1026" width="51.7109375" style="530" customWidth="1"/>
    <col min="1027" max="1032" width="9.140625" style="530"/>
    <col min="1033" max="1033" width="10.85546875" style="530" customWidth="1"/>
    <col min="1034" max="1281" width="9.140625" style="530"/>
    <col min="1282" max="1282" width="51.7109375" style="530" customWidth="1"/>
    <col min="1283" max="1288" width="9.140625" style="530"/>
    <col min="1289" max="1289" width="10.85546875" style="530" customWidth="1"/>
    <col min="1290" max="1537" width="9.140625" style="530"/>
    <col min="1538" max="1538" width="51.7109375" style="530" customWidth="1"/>
    <col min="1539" max="1544" width="9.140625" style="530"/>
    <col min="1545" max="1545" width="10.85546875" style="530" customWidth="1"/>
    <col min="1546" max="1793" width="9.140625" style="530"/>
    <col min="1794" max="1794" width="51.7109375" style="530" customWidth="1"/>
    <col min="1795" max="1800" width="9.140625" style="530"/>
    <col min="1801" max="1801" width="10.85546875" style="530" customWidth="1"/>
    <col min="1802" max="2049" width="9.140625" style="530"/>
    <col min="2050" max="2050" width="51.7109375" style="530" customWidth="1"/>
    <col min="2051" max="2056" width="9.140625" style="530"/>
    <col min="2057" max="2057" width="10.85546875" style="530" customWidth="1"/>
    <col min="2058" max="2305" width="9.140625" style="530"/>
    <col min="2306" max="2306" width="51.7109375" style="530" customWidth="1"/>
    <col min="2307" max="2312" width="9.140625" style="530"/>
    <col min="2313" max="2313" width="10.85546875" style="530" customWidth="1"/>
    <col min="2314" max="2561" width="9.140625" style="530"/>
    <col min="2562" max="2562" width="51.7109375" style="530" customWidth="1"/>
    <col min="2563" max="2568" width="9.140625" style="530"/>
    <col min="2569" max="2569" width="10.85546875" style="530" customWidth="1"/>
    <col min="2570" max="2817" width="9.140625" style="530"/>
    <col min="2818" max="2818" width="51.7109375" style="530" customWidth="1"/>
    <col min="2819" max="2824" width="9.140625" style="530"/>
    <col min="2825" max="2825" width="10.85546875" style="530" customWidth="1"/>
    <col min="2826" max="3073" width="9.140625" style="530"/>
    <col min="3074" max="3074" width="51.7109375" style="530" customWidth="1"/>
    <col min="3075" max="3080" width="9.140625" style="530"/>
    <col min="3081" max="3081" width="10.85546875" style="530" customWidth="1"/>
    <col min="3082" max="3329" width="9.140625" style="530"/>
    <col min="3330" max="3330" width="51.7109375" style="530" customWidth="1"/>
    <col min="3331" max="3336" width="9.140625" style="530"/>
    <col min="3337" max="3337" width="10.85546875" style="530" customWidth="1"/>
    <col min="3338" max="3585" width="9.140625" style="530"/>
    <col min="3586" max="3586" width="51.7109375" style="530" customWidth="1"/>
    <col min="3587" max="3592" width="9.140625" style="530"/>
    <col min="3593" max="3593" width="10.85546875" style="530" customWidth="1"/>
    <col min="3594" max="3841" width="9.140625" style="530"/>
    <col min="3842" max="3842" width="51.7109375" style="530" customWidth="1"/>
    <col min="3843" max="3848" width="9.140625" style="530"/>
    <col min="3849" max="3849" width="10.85546875" style="530" customWidth="1"/>
    <col min="3850" max="4097" width="9.140625" style="530"/>
    <col min="4098" max="4098" width="51.7109375" style="530" customWidth="1"/>
    <col min="4099" max="4104" width="9.140625" style="530"/>
    <col min="4105" max="4105" width="10.85546875" style="530" customWidth="1"/>
    <col min="4106" max="4353" width="9.140625" style="530"/>
    <col min="4354" max="4354" width="51.7109375" style="530" customWidth="1"/>
    <col min="4355" max="4360" width="9.140625" style="530"/>
    <col min="4361" max="4361" width="10.85546875" style="530" customWidth="1"/>
    <col min="4362" max="4609" width="9.140625" style="530"/>
    <col min="4610" max="4610" width="51.7109375" style="530" customWidth="1"/>
    <col min="4611" max="4616" width="9.140625" style="530"/>
    <col min="4617" max="4617" width="10.85546875" style="530" customWidth="1"/>
    <col min="4618" max="4865" width="9.140625" style="530"/>
    <col min="4866" max="4866" width="51.7109375" style="530" customWidth="1"/>
    <col min="4867" max="4872" width="9.140625" style="530"/>
    <col min="4873" max="4873" width="10.85546875" style="530" customWidth="1"/>
    <col min="4874" max="5121" width="9.140625" style="530"/>
    <col min="5122" max="5122" width="51.7109375" style="530" customWidth="1"/>
    <col min="5123" max="5128" width="9.140625" style="530"/>
    <col min="5129" max="5129" width="10.85546875" style="530" customWidth="1"/>
    <col min="5130" max="5377" width="9.140625" style="530"/>
    <col min="5378" max="5378" width="51.7109375" style="530" customWidth="1"/>
    <col min="5379" max="5384" width="9.140625" style="530"/>
    <col min="5385" max="5385" width="10.85546875" style="530" customWidth="1"/>
    <col min="5386" max="5633" width="9.140625" style="530"/>
    <col min="5634" max="5634" width="51.7109375" style="530" customWidth="1"/>
    <col min="5635" max="5640" width="9.140625" style="530"/>
    <col min="5641" max="5641" width="10.85546875" style="530" customWidth="1"/>
    <col min="5642" max="5889" width="9.140625" style="530"/>
    <col min="5890" max="5890" width="51.7109375" style="530" customWidth="1"/>
    <col min="5891" max="5896" width="9.140625" style="530"/>
    <col min="5897" max="5897" width="10.85546875" style="530" customWidth="1"/>
    <col min="5898" max="6145" width="9.140625" style="530"/>
    <col min="6146" max="6146" width="51.7109375" style="530" customWidth="1"/>
    <col min="6147" max="6152" width="9.140625" style="530"/>
    <col min="6153" max="6153" width="10.85546875" style="530" customWidth="1"/>
    <col min="6154" max="6401" width="9.140625" style="530"/>
    <col min="6402" max="6402" width="51.7109375" style="530" customWidth="1"/>
    <col min="6403" max="6408" width="9.140625" style="530"/>
    <col min="6409" max="6409" width="10.85546875" style="530" customWidth="1"/>
    <col min="6410" max="6657" width="9.140625" style="530"/>
    <col min="6658" max="6658" width="51.7109375" style="530" customWidth="1"/>
    <col min="6659" max="6664" width="9.140625" style="530"/>
    <col min="6665" max="6665" width="10.85546875" style="530" customWidth="1"/>
    <col min="6666" max="6913" width="9.140625" style="530"/>
    <col min="6914" max="6914" width="51.7109375" style="530" customWidth="1"/>
    <col min="6915" max="6920" width="9.140625" style="530"/>
    <col min="6921" max="6921" width="10.85546875" style="530" customWidth="1"/>
    <col min="6922" max="7169" width="9.140625" style="530"/>
    <col min="7170" max="7170" width="51.7109375" style="530" customWidth="1"/>
    <col min="7171" max="7176" width="9.140625" style="530"/>
    <col min="7177" max="7177" width="10.85546875" style="530" customWidth="1"/>
    <col min="7178" max="7425" width="9.140625" style="530"/>
    <col min="7426" max="7426" width="51.7109375" style="530" customWidth="1"/>
    <col min="7427" max="7432" width="9.140625" style="530"/>
    <col min="7433" max="7433" width="10.85546875" style="530" customWidth="1"/>
    <col min="7434" max="7681" width="9.140625" style="530"/>
    <col min="7682" max="7682" width="51.7109375" style="530" customWidth="1"/>
    <col min="7683" max="7688" width="9.140625" style="530"/>
    <col min="7689" max="7689" width="10.85546875" style="530" customWidth="1"/>
    <col min="7690" max="7937" width="9.140625" style="530"/>
    <col min="7938" max="7938" width="51.7109375" style="530" customWidth="1"/>
    <col min="7939" max="7944" width="9.140625" style="530"/>
    <col min="7945" max="7945" width="10.85546875" style="530" customWidth="1"/>
    <col min="7946" max="8193" width="9.140625" style="530"/>
    <col min="8194" max="8194" width="51.7109375" style="530" customWidth="1"/>
    <col min="8195" max="8200" width="9.140625" style="530"/>
    <col min="8201" max="8201" width="10.85546875" style="530" customWidth="1"/>
    <col min="8202" max="8449" width="9.140625" style="530"/>
    <col min="8450" max="8450" width="51.7109375" style="530" customWidth="1"/>
    <col min="8451" max="8456" width="9.140625" style="530"/>
    <col min="8457" max="8457" width="10.85546875" style="530" customWidth="1"/>
    <col min="8458" max="8705" width="9.140625" style="530"/>
    <col min="8706" max="8706" width="51.7109375" style="530" customWidth="1"/>
    <col min="8707" max="8712" width="9.140625" style="530"/>
    <col min="8713" max="8713" width="10.85546875" style="530" customWidth="1"/>
    <col min="8714" max="8961" width="9.140625" style="530"/>
    <col min="8962" max="8962" width="51.7109375" style="530" customWidth="1"/>
    <col min="8963" max="8968" width="9.140625" style="530"/>
    <col min="8969" max="8969" width="10.85546875" style="530" customWidth="1"/>
    <col min="8970" max="9217" width="9.140625" style="530"/>
    <col min="9218" max="9218" width="51.7109375" style="530" customWidth="1"/>
    <col min="9219" max="9224" width="9.140625" style="530"/>
    <col min="9225" max="9225" width="10.85546875" style="530" customWidth="1"/>
    <col min="9226" max="9473" width="9.140625" style="530"/>
    <col min="9474" max="9474" width="51.7109375" style="530" customWidth="1"/>
    <col min="9475" max="9480" width="9.140625" style="530"/>
    <col min="9481" max="9481" width="10.85546875" style="530" customWidth="1"/>
    <col min="9482" max="9729" width="9.140625" style="530"/>
    <col min="9730" max="9730" width="51.7109375" style="530" customWidth="1"/>
    <col min="9731" max="9736" width="9.140625" style="530"/>
    <col min="9737" max="9737" width="10.85546875" style="530" customWidth="1"/>
    <col min="9738" max="9985" width="9.140625" style="530"/>
    <col min="9986" max="9986" width="51.7109375" style="530" customWidth="1"/>
    <col min="9987" max="9992" width="9.140625" style="530"/>
    <col min="9993" max="9993" width="10.85546875" style="530" customWidth="1"/>
    <col min="9994" max="10241" width="9.140625" style="530"/>
    <col min="10242" max="10242" width="51.7109375" style="530" customWidth="1"/>
    <col min="10243" max="10248" width="9.140625" style="530"/>
    <col min="10249" max="10249" width="10.85546875" style="530" customWidth="1"/>
    <col min="10250" max="10497" width="9.140625" style="530"/>
    <col min="10498" max="10498" width="51.7109375" style="530" customWidth="1"/>
    <col min="10499" max="10504" width="9.140625" style="530"/>
    <col min="10505" max="10505" width="10.85546875" style="530" customWidth="1"/>
    <col min="10506" max="10753" width="9.140625" style="530"/>
    <col min="10754" max="10754" width="51.7109375" style="530" customWidth="1"/>
    <col min="10755" max="10760" width="9.140625" style="530"/>
    <col min="10761" max="10761" width="10.85546875" style="530" customWidth="1"/>
    <col min="10762" max="11009" width="9.140625" style="530"/>
    <col min="11010" max="11010" width="51.7109375" style="530" customWidth="1"/>
    <col min="11011" max="11016" width="9.140625" style="530"/>
    <col min="11017" max="11017" width="10.85546875" style="530" customWidth="1"/>
    <col min="11018" max="11265" width="9.140625" style="530"/>
    <col min="11266" max="11266" width="51.7109375" style="530" customWidth="1"/>
    <col min="11267" max="11272" width="9.140625" style="530"/>
    <col min="11273" max="11273" width="10.85546875" style="530" customWidth="1"/>
    <col min="11274" max="11521" width="9.140625" style="530"/>
    <col min="11522" max="11522" width="51.7109375" style="530" customWidth="1"/>
    <col min="11523" max="11528" width="9.140625" style="530"/>
    <col min="11529" max="11529" width="10.85546875" style="530" customWidth="1"/>
    <col min="11530" max="11777" width="9.140625" style="530"/>
    <col min="11778" max="11778" width="51.7109375" style="530" customWidth="1"/>
    <col min="11779" max="11784" width="9.140625" style="530"/>
    <col min="11785" max="11785" width="10.85546875" style="530" customWidth="1"/>
    <col min="11786" max="12033" width="9.140625" style="530"/>
    <col min="12034" max="12034" width="51.7109375" style="530" customWidth="1"/>
    <col min="12035" max="12040" width="9.140625" style="530"/>
    <col min="12041" max="12041" width="10.85546875" style="530" customWidth="1"/>
    <col min="12042" max="12289" width="9.140625" style="530"/>
    <col min="12290" max="12290" width="51.7109375" style="530" customWidth="1"/>
    <col min="12291" max="12296" width="9.140625" style="530"/>
    <col min="12297" max="12297" width="10.85546875" style="530" customWidth="1"/>
    <col min="12298" max="12545" width="9.140625" style="530"/>
    <col min="12546" max="12546" width="51.7109375" style="530" customWidth="1"/>
    <col min="12547" max="12552" width="9.140625" style="530"/>
    <col min="12553" max="12553" width="10.85546875" style="530" customWidth="1"/>
    <col min="12554" max="12801" width="9.140625" style="530"/>
    <col min="12802" max="12802" width="51.7109375" style="530" customWidth="1"/>
    <col min="12803" max="12808" width="9.140625" style="530"/>
    <col min="12809" max="12809" width="10.85546875" style="530" customWidth="1"/>
    <col min="12810" max="13057" width="9.140625" style="530"/>
    <col min="13058" max="13058" width="51.7109375" style="530" customWidth="1"/>
    <col min="13059" max="13064" width="9.140625" style="530"/>
    <col min="13065" max="13065" width="10.85546875" style="530" customWidth="1"/>
    <col min="13066" max="13313" width="9.140625" style="530"/>
    <col min="13314" max="13314" width="51.7109375" style="530" customWidth="1"/>
    <col min="13315" max="13320" width="9.140625" style="530"/>
    <col min="13321" max="13321" width="10.85546875" style="530" customWidth="1"/>
    <col min="13322" max="13569" width="9.140625" style="530"/>
    <col min="13570" max="13570" width="51.7109375" style="530" customWidth="1"/>
    <col min="13571" max="13576" width="9.140625" style="530"/>
    <col min="13577" max="13577" width="10.85546875" style="530" customWidth="1"/>
    <col min="13578" max="13825" width="9.140625" style="530"/>
    <col min="13826" max="13826" width="51.7109375" style="530" customWidth="1"/>
    <col min="13827" max="13832" width="9.140625" style="530"/>
    <col min="13833" max="13833" width="10.85546875" style="530" customWidth="1"/>
    <col min="13834" max="14081" width="9.140625" style="530"/>
    <col min="14082" max="14082" width="51.7109375" style="530" customWidth="1"/>
    <col min="14083" max="14088" width="9.140625" style="530"/>
    <col min="14089" max="14089" width="10.85546875" style="530" customWidth="1"/>
    <col min="14090" max="14337" width="9.140625" style="530"/>
    <col min="14338" max="14338" width="51.7109375" style="530" customWidth="1"/>
    <col min="14339" max="14344" width="9.140625" style="530"/>
    <col min="14345" max="14345" width="10.85546875" style="530" customWidth="1"/>
    <col min="14346" max="14593" width="9.140625" style="530"/>
    <col min="14594" max="14594" width="51.7109375" style="530" customWidth="1"/>
    <col min="14595" max="14600" width="9.140625" style="530"/>
    <col min="14601" max="14601" width="10.85546875" style="530" customWidth="1"/>
    <col min="14602" max="14849" width="9.140625" style="530"/>
    <col min="14850" max="14850" width="51.7109375" style="530" customWidth="1"/>
    <col min="14851" max="14856" width="9.140625" style="530"/>
    <col min="14857" max="14857" width="10.85546875" style="530" customWidth="1"/>
    <col min="14858" max="15105" width="9.140625" style="530"/>
    <col min="15106" max="15106" width="51.7109375" style="530" customWidth="1"/>
    <col min="15107" max="15112" width="9.140625" style="530"/>
    <col min="15113" max="15113" width="10.85546875" style="530" customWidth="1"/>
    <col min="15114" max="15361" width="9.140625" style="530"/>
    <col min="15362" max="15362" width="51.7109375" style="530" customWidth="1"/>
    <col min="15363" max="15368" width="9.140625" style="530"/>
    <col min="15369" max="15369" width="10.85546875" style="530" customWidth="1"/>
    <col min="15370" max="15617" width="9.140625" style="530"/>
    <col min="15618" max="15618" width="51.7109375" style="530" customWidth="1"/>
    <col min="15619" max="15624" width="9.140625" style="530"/>
    <col min="15625" max="15625" width="10.85546875" style="530" customWidth="1"/>
    <col min="15626" max="15873" width="9.140625" style="530"/>
    <col min="15874" max="15874" width="51.7109375" style="530" customWidth="1"/>
    <col min="15875" max="15880" width="9.140625" style="530"/>
    <col min="15881" max="15881" width="10.85546875" style="530" customWidth="1"/>
    <col min="15882" max="16129" width="9.140625" style="530"/>
    <col min="16130" max="16130" width="51.7109375" style="530" customWidth="1"/>
    <col min="16131" max="16136" width="9.140625" style="530"/>
    <col min="16137" max="16137" width="10.85546875" style="530" customWidth="1"/>
    <col min="16138" max="16384" width="9.140625" style="530"/>
  </cols>
  <sheetData>
    <row r="1" spans="1:13" x14ac:dyDescent="0.25">
      <c r="A1" s="140"/>
      <c r="B1" s="140"/>
      <c r="C1" s="140"/>
      <c r="D1" s="140"/>
      <c r="E1" s="140"/>
      <c r="F1" s="140"/>
      <c r="G1" s="140"/>
      <c r="H1" s="140"/>
      <c r="I1" s="334" t="s">
        <v>394</v>
      </c>
      <c r="J1" s="1513" t="str">
        <f>EBNUMBER</f>
        <v>EB-2015-0089</v>
      </c>
    </row>
    <row r="2" spans="1:13" x14ac:dyDescent="0.25">
      <c r="A2" s="140"/>
      <c r="B2" s="140"/>
      <c r="C2" s="140"/>
      <c r="D2" s="140"/>
      <c r="E2" s="140"/>
      <c r="F2" s="140"/>
      <c r="G2" s="140"/>
      <c r="H2" s="140"/>
      <c r="I2" s="334" t="s">
        <v>395</v>
      </c>
      <c r="J2" s="136"/>
    </row>
    <row r="3" spans="1:13" x14ac:dyDescent="0.25">
      <c r="A3" s="140"/>
      <c r="B3" s="140"/>
      <c r="C3" s="140"/>
      <c r="D3" s="140"/>
      <c r="E3" s="140"/>
      <c r="F3" s="140"/>
      <c r="G3" s="140"/>
      <c r="H3" s="140"/>
      <c r="I3" s="334" t="s">
        <v>396</v>
      </c>
      <c r="J3" s="136"/>
    </row>
    <row r="4" spans="1:13" x14ac:dyDescent="0.25">
      <c r="A4" s="140"/>
      <c r="B4" s="140"/>
      <c r="C4" s="140"/>
      <c r="D4" s="140"/>
      <c r="E4" s="140"/>
      <c r="F4" s="140"/>
      <c r="G4" s="140"/>
      <c r="H4" s="140"/>
      <c r="I4" s="334" t="s">
        <v>397</v>
      </c>
      <c r="J4" s="136"/>
    </row>
    <row r="5" spans="1:13" x14ac:dyDescent="0.25">
      <c r="A5" s="140"/>
      <c r="B5" s="140"/>
      <c r="C5" s="140"/>
      <c r="D5" s="140"/>
      <c r="E5" s="140"/>
      <c r="F5" s="140"/>
      <c r="G5" s="140"/>
      <c r="H5" s="140"/>
      <c r="I5" s="334" t="s">
        <v>398</v>
      </c>
      <c r="J5" s="1514"/>
    </row>
    <row r="6" spans="1:13" x14ac:dyDescent="0.25">
      <c r="A6" s="140"/>
      <c r="B6" s="140"/>
      <c r="C6" s="140"/>
      <c r="D6" s="140"/>
      <c r="E6" s="140"/>
      <c r="F6" s="140"/>
      <c r="G6" s="140"/>
      <c r="H6" s="140"/>
      <c r="I6" s="334"/>
      <c r="J6" s="1513"/>
    </row>
    <row r="7" spans="1:13" x14ac:dyDescent="0.25">
      <c r="A7" s="140"/>
      <c r="B7" s="140"/>
      <c r="C7" s="140"/>
      <c r="D7" s="140"/>
      <c r="E7" s="140"/>
      <c r="F7" s="140"/>
      <c r="G7" s="140"/>
      <c r="H7" s="140"/>
      <c r="I7" s="334" t="s">
        <v>399</v>
      </c>
      <c r="J7" s="1514"/>
    </row>
    <row r="8" spans="1:13" x14ac:dyDescent="0.25">
      <c r="A8" s="140"/>
      <c r="B8" s="140"/>
      <c r="C8" s="140"/>
      <c r="D8" s="140"/>
      <c r="E8" s="140"/>
      <c r="F8" s="140"/>
      <c r="G8" s="140"/>
      <c r="H8" s="140"/>
      <c r="I8" s="140"/>
      <c r="J8" s="140"/>
    </row>
    <row r="9" spans="1:13" ht="18" x14ac:dyDescent="0.25">
      <c r="A9" s="1979" t="s">
        <v>533</v>
      </c>
      <c r="B9" s="2104"/>
      <c r="C9" s="2104"/>
      <c r="D9" s="2104"/>
      <c r="E9" s="2104"/>
      <c r="F9" s="2104"/>
      <c r="G9" s="2104"/>
      <c r="H9" s="2104"/>
      <c r="I9" s="2104"/>
      <c r="J9" s="2104"/>
    </row>
    <row r="10" spans="1:13" ht="18" x14ac:dyDescent="0.25">
      <c r="A10" s="1979" t="s">
        <v>519</v>
      </c>
      <c r="B10" s="2105"/>
      <c r="C10" s="2105"/>
      <c r="D10" s="2105"/>
      <c r="E10" s="2105"/>
      <c r="F10" s="2105"/>
      <c r="G10" s="2105"/>
      <c r="H10" s="2105"/>
      <c r="I10" s="2105"/>
      <c r="J10" s="2105"/>
    </row>
    <row r="11" spans="1:13" ht="18" x14ac:dyDescent="0.25">
      <c r="A11" s="1979" t="s">
        <v>1547</v>
      </c>
      <c r="B11" s="2105"/>
      <c r="C11" s="2105"/>
      <c r="D11" s="2105"/>
      <c r="E11" s="2105"/>
      <c r="F11" s="2105"/>
      <c r="G11" s="2105"/>
      <c r="H11" s="2105"/>
      <c r="I11" s="2105"/>
      <c r="J11" s="2105"/>
    </row>
    <row r="12" spans="1:13" x14ac:dyDescent="0.25">
      <c r="A12" s="140"/>
      <c r="B12" s="140"/>
      <c r="C12" s="140"/>
      <c r="D12" s="140"/>
      <c r="E12" s="140"/>
      <c r="F12" s="140"/>
      <c r="G12" s="140"/>
      <c r="H12" s="140"/>
      <c r="I12" s="140"/>
      <c r="J12" s="140"/>
    </row>
    <row r="13" spans="1:13" s="531" customFormat="1" x14ac:dyDescent="0.25">
      <c r="A13" s="2106" t="s">
        <v>1855</v>
      </c>
      <c r="B13" s="2106"/>
      <c r="C13" s="2106"/>
      <c r="D13" s="2106"/>
      <c r="E13" s="2106"/>
      <c r="F13" s="2106"/>
      <c r="G13" s="2106"/>
      <c r="H13" s="2106"/>
      <c r="I13" s="2106"/>
      <c r="J13" s="2106"/>
      <c r="K13" s="496"/>
      <c r="L13" s="496"/>
      <c r="M13" s="496"/>
    </row>
    <row r="14" spans="1:13" x14ac:dyDescent="0.25">
      <c r="A14" s="532"/>
      <c r="B14" s="532"/>
      <c r="C14" s="532"/>
      <c r="D14" s="532"/>
      <c r="E14" s="532"/>
      <c r="F14" s="532"/>
      <c r="G14" s="532"/>
      <c r="H14" s="532"/>
      <c r="I14" s="532"/>
      <c r="J14" s="532"/>
      <c r="K14" s="533"/>
      <c r="L14" s="533"/>
    </row>
    <row r="15" spans="1:13" ht="15.75" thickBot="1" x14ac:dyDescent="0.3">
      <c r="A15" s="2106"/>
      <c r="B15" s="2106"/>
      <c r="C15" s="2106"/>
      <c r="D15" s="2106"/>
      <c r="E15" s="2106"/>
      <c r="F15" s="2106"/>
      <c r="G15" s="2106"/>
      <c r="H15" s="2106"/>
      <c r="I15" s="2106"/>
      <c r="J15" s="2106"/>
      <c r="K15" s="533"/>
      <c r="L15" s="533"/>
    </row>
    <row r="16" spans="1:13" ht="15.75" thickBot="1" x14ac:dyDescent="0.3">
      <c r="A16" s="1679" t="s">
        <v>357</v>
      </c>
      <c r="B16" s="532"/>
      <c r="C16" s="532"/>
      <c r="D16" s="532"/>
      <c r="E16" s="532"/>
      <c r="F16" s="532"/>
      <c r="G16" s="532"/>
      <c r="H16" s="532"/>
      <c r="I16" s="532"/>
      <c r="J16" s="532"/>
      <c r="K16" s="533"/>
      <c r="L16" s="533"/>
    </row>
    <row r="17" spans="1:8" ht="39" x14ac:dyDescent="0.25">
      <c r="A17" s="532"/>
      <c r="B17" s="534" t="str">
        <f>RebaseYear &amp;" Rebasing Year"</f>
        <v>2011 Rebasing Year</v>
      </c>
      <c r="C17" s="534">
        <v>2012</v>
      </c>
      <c r="D17" s="534">
        <v>2013</v>
      </c>
      <c r="E17" s="534">
        <v>2014</v>
      </c>
      <c r="F17" s="534">
        <v>2015</v>
      </c>
      <c r="G17" s="534" t="s">
        <v>1797</v>
      </c>
      <c r="H17" s="533"/>
    </row>
    <row r="18" spans="1:8" x14ac:dyDescent="0.25">
      <c r="A18" s="535" t="s">
        <v>150</v>
      </c>
      <c r="B18" s="536" t="s">
        <v>151</v>
      </c>
      <c r="C18" s="536" t="s">
        <v>151</v>
      </c>
      <c r="D18" s="536" t="s">
        <v>151</v>
      </c>
      <c r="E18" s="536" t="s">
        <v>151</v>
      </c>
      <c r="F18" s="537" t="s">
        <v>152</v>
      </c>
      <c r="G18" s="537" t="s">
        <v>152</v>
      </c>
      <c r="H18" s="533"/>
    </row>
    <row r="19" spans="1:8" x14ac:dyDescent="0.25">
      <c r="A19" s="535"/>
      <c r="B19" s="536" t="s">
        <v>130</v>
      </c>
      <c r="C19" s="536" t="s">
        <v>513</v>
      </c>
      <c r="D19" s="536" t="s">
        <v>513</v>
      </c>
      <c r="E19" s="536" t="s">
        <v>513</v>
      </c>
      <c r="F19" s="536" t="s">
        <v>130</v>
      </c>
      <c r="G19" s="536" t="s">
        <v>130</v>
      </c>
      <c r="H19" s="533"/>
    </row>
    <row r="20" spans="1:8" x14ac:dyDescent="0.25">
      <c r="A20" s="532"/>
      <c r="B20" s="538"/>
      <c r="C20" s="538"/>
      <c r="D20" s="539"/>
      <c r="E20" s="539" t="s">
        <v>217</v>
      </c>
      <c r="F20" s="539" t="s">
        <v>217</v>
      </c>
      <c r="G20" s="539"/>
      <c r="H20" s="533"/>
    </row>
    <row r="21" spans="1:8" x14ac:dyDescent="0.25">
      <c r="A21" s="535" t="s">
        <v>514</v>
      </c>
      <c r="B21" s="2101"/>
      <c r="C21" s="2102"/>
      <c r="D21" s="2102"/>
      <c r="E21" s="2102"/>
      <c r="F21" s="2102"/>
      <c r="G21" s="2103"/>
      <c r="H21" s="533"/>
    </row>
    <row r="22" spans="1:8" x14ac:dyDescent="0.25">
      <c r="A22" s="538" t="s">
        <v>515</v>
      </c>
      <c r="B22" s="540"/>
      <c r="C22" s="540"/>
      <c r="D22" s="541"/>
      <c r="E22" s="542"/>
      <c r="F22" s="543">
        <f>+E25</f>
        <v>0</v>
      </c>
      <c r="G22" s="540"/>
      <c r="H22" s="533"/>
    </row>
    <row r="23" spans="1:8" x14ac:dyDescent="0.25">
      <c r="A23" s="538" t="s">
        <v>914</v>
      </c>
      <c r="B23" s="540"/>
      <c r="C23" s="540"/>
      <c r="D23" s="541"/>
      <c r="E23" s="542"/>
      <c r="F23" s="542"/>
      <c r="G23" s="540"/>
      <c r="H23" s="533"/>
    </row>
    <row r="24" spans="1:8" x14ac:dyDescent="0.25">
      <c r="A24" s="538" t="s">
        <v>915</v>
      </c>
      <c r="B24" s="540"/>
      <c r="C24" s="540"/>
      <c r="D24" s="541"/>
      <c r="E24" s="542"/>
      <c r="F24" s="542"/>
      <c r="G24" s="540"/>
      <c r="H24" s="533"/>
    </row>
    <row r="25" spans="1:8" x14ac:dyDescent="0.25">
      <c r="A25" s="544" t="s">
        <v>516</v>
      </c>
      <c r="B25" s="540"/>
      <c r="C25" s="540"/>
      <c r="D25" s="541"/>
      <c r="E25" s="545">
        <f>E22+E23+E24</f>
        <v>0</v>
      </c>
      <c r="F25" s="545">
        <f>SUM(F22:F24)</f>
        <v>0</v>
      </c>
      <c r="G25" s="540"/>
      <c r="H25" s="533"/>
    </row>
    <row r="26" spans="1:8" x14ac:dyDescent="0.25">
      <c r="A26" s="532"/>
      <c r="B26" s="2109"/>
      <c r="C26" s="2110"/>
      <c r="D26" s="2110"/>
      <c r="E26" s="2110"/>
      <c r="F26" s="2110"/>
      <c r="G26" s="2111"/>
      <c r="H26" s="533"/>
    </row>
    <row r="27" spans="1:8" ht="26.25" x14ac:dyDescent="0.25">
      <c r="A27" s="546" t="s">
        <v>1588</v>
      </c>
      <c r="B27" s="2112"/>
      <c r="C27" s="2113"/>
      <c r="D27" s="2113"/>
      <c r="E27" s="2113"/>
      <c r="F27" s="2113"/>
      <c r="G27" s="2114"/>
      <c r="H27" s="533"/>
    </row>
    <row r="28" spans="1:8" x14ac:dyDescent="0.25">
      <c r="A28" s="538" t="s">
        <v>517</v>
      </c>
      <c r="B28" s="540"/>
      <c r="C28" s="540"/>
      <c r="D28" s="541"/>
      <c r="E28" s="547"/>
      <c r="F28" s="543">
        <f>+E31</f>
        <v>0</v>
      </c>
      <c r="G28" s="540"/>
      <c r="H28" s="533"/>
    </row>
    <row r="29" spans="1:8" x14ac:dyDescent="0.25">
      <c r="A29" s="538" t="s">
        <v>914</v>
      </c>
      <c r="B29" s="540"/>
      <c r="C29" s="540"/>
      <c r="D29" s="541"/>
      <c r="E29" s="547"/>
      <c r="F29" s="542"/>
      <c r="G29" s="540"/>
      <c r="H29" s="533"/>
    </row>
    <row r="30" spans="1:8" x14ac:dyDescent="0.25">
      <c r="A30" s="538" t="s">
        <v>915</v>
      </c>
      <c r="B30" s="540"/>
      <c r="C30" s="540"/>
      <c r="D30" s="541"/>
      <c r="E30" s="547"/>
      <c r="F30" s="542"/>
      <c r="G30" s="540"/>
      <c r="H30" s="533"/>
    </row>
    <row r="31" spans="1:8" x14ac:dyDescent="0.25">
      <c r="A31" s="544" t="s">
        <v>518</v>
      </c>
      <c r="B31" s="540"/>
      <c r="C31" s="540"/>
      <c r="D31" s="541"/>
      <c r="E31" s="545">
        <f>SUM(E28:E30)</f>
        <v>0</v>
      </c>
      <c r="F31" s="545">
        <f>SUM(F28:F30)</f>
        <v>0</v>
      </c>
      <c r="G31" s="540"/>
      <c r="H31" s="533"/>
    </row>
    <row r="32" spans="1:8" x14ac:dyDescent="0.25">
      <c r="A32" s="532"/>
      <c r="B32" s="2101"/>
      <c r="C32" s="2102"/>
      <c r="D32" s="2102"/>
      <c r="E32" s="2102"/>
      <c r="F32" s="2102"/>
      <c r="G32" s="2103"/>
      <c r="H32" s="533"/>
    </row>
    <row r="33" spans="1:12" ht="26.25" x14ac:dyDescent="0.25">
      <c r="A33" s="548" t="s">
        <v>921</v>
      </c>
      <c r="B33" s="540"/>
      <c r="C33" s="540"/>
      <c r="D33" s="549"/>
      <c r="E33" s="550">
        <f>E25-E31</f>
        <v>0</v>
      </c>
      <c r="F33" s="550">
        <f>F25-F31</f>
        <v>0</v>
      </c>
      <c r="G33" s="540"/>
      <c r="H33" s="533"/>
    </row>
    <row r="34" spans="1:12" x14ac:dyDescent="0.25">
      <c r="A34" s="535"/>
      <c r="B34" s="532"/>
      <c r="C34" s="532"/>
      <c r="D34" s="551"/>
      <c r="E34" s="551"/>
      <c r="F34" s="551"/>
      <c r="G34" s="551"/>
      <c r="H34" s="551"/>
      <c r="I34" s="551"/>
      <c r="J34" s="532"/>
      <c r="K34" s="533"/>
      <c r="L34" s="533"/>
    </row>
    <row r="35" spans="1:12" x14ac:dyDescent="0.25">
      <c r="A35" s="535"/>
      <c r="B35" s="532"/>
      <c r="C35" s="532"/>
      <c r="D35" s="551"/>
      <c r="E35" s="551"/>
      <c r="F35" s="551"/>
      <c r="G35" s="551"/>
      <c r="H35" s="551"/>
      <c r="I35" s="551"/>
      <c r="J35" s="532"/>
      <c r="K35" s="533"/>
      <c r="L35" s="533"/>
    </row>
    <row r="36" spans="1:12" x14ac:dyDescent="0.25">
      <c r="A36" s="535" t="s">
        <v>916</v>
      </c>
      <c r="B36" s="532"/>
      <c r="C36" s="532"/>
      <c r="D36" s="551"/>
      <c r="E36" s="551"/>
      <c r="F36" s="551"/>
      <c r="G36" s="551"/>
      <c r="H36" s="551"/>
      <c r="I36" s="551"/>
      <c r="J36" s="532"/>
      <c r="K36" s="533"/>
      <c r="L36" s="533"/>
    </row>
    <row r="37" spans="1:12" s="557" customFormat="1" x14ac:dyDescent="0.25">
      <c r="A37" s="552" t="s">
        <v>922</v>
      </c>
      <c r="B37" s="553"/>
      <c r="C37" s="553"/>
      <c r="D37" s="553"/>
      <c r="E37" s="553"/>
      <c r="F37" s="553"/>
      <c r="G37" s="554">
        <f>IF(ISERROR(F33), 0, F33)</f>
        <v>0</v>
      </c>
      <c r="H37" s="532"/>
      <c r="I37" s="555" t="s">
        <v>520</v>
      </c>
      <c r="J37" s="556"/>
      <c r="K37" s="533"/>
      <c r="L37" s="533"/>
    </row>
    <row r="38" spans="1:12" s="557" customFormat="1" ht="26.25" x14ac:dyDescent="0.25">
      <c r="A38" s="552" t="s">
        <v>923</v>
      </c>
      <c r="B38" s="553"/>
      <c r="C38" s="553"/>
      <c r="D38" s="553"/>
      <c r="E38" s="553"/>
      <c r="F38" s="553"/>
      <c r="G38" s="554">
        <f>F33*J37*J38</f>
        <v>0</v>
      </c>
      <c r="H38" s="2115" t="s">
        <v>917</v>
      </c>
      <c r="I38" s="2115"/>
      <c r="J38" s="2116"/>
      <c r="K38" s="558"/>
      <c r="L38" s="533"/>
    </row>
    <row r="39" spans="1:12" x14ac:dyDescent="0.25">
      <c r="A39" s="559" t="s">
        <v>918</v>
      </c>
      <c r="B39" s="560"/>
      <c r="C39" s="560"/>
      <c r="D39" s="560"/>
      <c r="E39" s="560"/>
      <c r="F39" s="560"/>
      <c r="G39" s="561">
        <f>G37+G38</f>
        <v>0</v>
      </c>
      <c r="H39" s="2115"/>
      <c r="I39" s="2115"/>
      <c r="J39" s="2117"/>
      <c r="K39" s="533"/>
      <c r="L39" s="533"/>
    </row>
    <row r="40" spans="1:12" x14ac:dyDescent="0.25">
      <c r="A40" s="535"/>
      <c r="B40" s="532"/>
      <c r="C40" s="532"/>
      <c r="D40" s="532"/>
      <c r="E40" s="532"/>
      <c r="F40" s="532"/>
      <c r="G40" s="532"/>
      <c r="H40" s="532"/>
      <c r="I40" s="532"/>
      <c r="J40" s="532"/>
      <c r="K40" s="533"/>
      <c r="L40" s="533"/>
    </row>
    <row r="41" spans="1:12" x14ac:dyDescent="0.25">
      <c r="A41" s="535" t="s">
        <v>13</v>
      </c>
      <c r="B41" s="532"/>
      <c r="C41" s="532"/>
      <c r="D41" s="532"/>
      <c r="E41" s="532"/>
      <c r="F41" s="532"/>
      <c r="G41" s="532"/>
      <c r="H41" s="532"/>
      <c r="I41" s="532"/>
      <c r="J41" s="532"/>
      <c r="K41" s="533"/>
      <c r="L41" s="533"/>
    </row>
    <row r="42" spans="1:12" x14ac:dyDescent="0.25">
      <c r="A42" s="532" t="s">
        <v>1856</v>
      </c>
      <c r="B42" s="562"/>
      <c r="C42" s="562"/>
      <c r="D42" s="562"/>
      <c r="E42" s="562"/>
      <c r="F42" s="562"/>
      <c r="G42" s="562"/>
      <c r="H42" s="562"/>
      <c r="I42" s="562"/>
      <c r="J42" s="562"/>
      <c r="K42" s="562"/>
      <c r="L42" s="533"/>
    </row>
    <row r="43" spans="1:12" x14ac:dyDescent="0.25">
      <c r="A43" s="532" t="s">
        <v>919</v>
      </c>
      <c r="B43" s="532"/>
      <c r="C43" s="532"/>
      <c r="D43" s="532"/>
      <c r="E43" s="532"/>
      <c r="F43" s="532"/>
      <c r="G43" s="532"/>
      <c r="H43" s="532"/>
      <c r="I43" s="532"/>
      <c r="J43" s="532"/>
      <c r="K43" s="533"/>
      <c r="L43" s="533"/>
    </row>
    <row r="44" spans="1:12" x14ac:dyDescent="0.25">
      <c r="A44" s="532" t="s">
        <v>1798</v>
      </c>
      <c r="B44" s="532"/>
      <c r="C44" s="532"/>
      <c r="D44" s="532"/>
      <c r="E44" s="532"/>
      <c r="F44" s="532"/>
      <c r="G44" s="532"/>
      <c r="H44" s="532"/>
      <c r="I44" s="532"/>
      <c r="J44" s="532"/>
      <c r="K44" s="533"/>
      <c r="L44" s="533"/>
    </row>
    <row r="45" spans="1:12" x14ac:dyDescent="0.25">
      <c r="A45" s="532" t="s">
        <v>521</v>
      </c>
      <c r="B45" s="532"/>
      <c r="C45" s="532"/>
      <c r="D45" s="532"/>
      <c r="E45" s="532"/>
      <c r="F45" s="532"/>
      <c r="G45" s="532"/>
      <c r="H45" s="532"/>
      <c r="I45" s="532"/>
      <c r="J45" s="532"/>
      <c r="K45" s="533"/>
      <c r="L45" s="533"/>
    </row>
    <row r="46" spans="1:12" ht="20.25" customHeight="1" x14ac:dyDescent="0.25">
      <c r="A46" s="563" t="s">
        <v>920</v>
      </c>
      <c r="B46" s="564"/>
      <c r="C46" s="564"/>
      <c r="D46" s="564"/>
      <c r="E46" s="564"/>
      <c r="F46" s="564"/>
      <c r="G46" s="564"/>
      <c r="H46" s="564"/>
      <c r="I46" s="564"/>
      <c r="J46" s="532"/>
      <c r="K46" s="533"/>
      <c r="L46" s="533"/>
    </row>
    <row r="47" spans="1:12" ht="15.75" customHeight="1" x14ac:dyDescent="0.25">
      <c r="A47" s="532" t="s">
        <v>1499</v>
      </c>
      <c r="B47" s="533"/>
      <c r="C47" s="533"/>
      <c r="D47" s="533"/>
      <c r="E47" s="533"/>
      <c r="F47" s="533"/>
      <c r="G47" s="533"/>
      <c r="H47" s="533"/>
      <c r="I47" s="533"/>
      <c r="J47" s="1481"/>
      <c r="K47" s="533"/>
      <c r="L47" s="533"/>
    </row>
    <row r="48" spans="1:12" x14ac:dyDescent="0.25">
      <c r="A48" s="2107"/>
      <c r="B48" s="2107"/>
      <c r="C48" s="2107"/>
      <c r="D48" s="2107"/>
      <c r="E48" s="2107"/>
      <c r="F48" s="2107"/>
      <c r="G48" s="2107"/>
      <c r="H48" s="2107"/>
      <c r="I48" s="2107"/>
      <c r="J48" s="2107"/>
      <c r="K48" s="2107"/>
      <c r="L48" s="533"/>
    </row>
    <row r="49" spans="1:12" x14ac:dyDescent="0.25">
      <c r="A49" s="532"/>
      <c r="B49" s="532"/>
      <c r="C49" s="532"/>
      <c r="D49" s="532"/>
      <c r="E49" s="532"/>
      <c r="F49" s="532"/>
      <c r="G49" s="532"/>
      <c r="H49" s="532"/>
      <c r="I49" s="532"/>
      <c r="J49" s="532"/>
      <c r="K49" s="533"/>
      <c r="L49" s="533"/>
    </row>
    <row r="50" spans="1:12" x14ac:dyDescent="0.25">
      <c r="A50" s="532"/>
      <c r="B50" s="532"/>
      <c r="C50" s="532"/>
      <c r="D50" s="532"/>
      <c r="E50" s="532"/>
      <c r="F50" s="532"/>
      <c r="G50" s="532"/>
      <c r="H50" s="532"/>
      <c r="I50" s="532"/>
      <c r="J50" s="532"/>
      <c r="K50" s="533"/>
      <c r="L50" s="533"/>
    </row>
    <row r="51" spans="1:12" x14ac:dyDescent="0.25">
      <c r="A51" s="532"/>
      <c r="B51" s="532"/>
      <c r="C51" s="532"/>
      <c r="D51" s="532"/>
      <c r="E51" s="532"/>
      <c r="F51" s="532"/>
      <c r="G51" s="532"/>
      <c r="H51" s="532"/>
      <c r="I51" s="532"/>
      <c r="J51" s="532"/>
      <c r="K51" s="533"/>
      <c r="L51" s="533"/>
    </row>
    <row r="52" spans="1:12" x14ac:dyDescent="0.25">
      <c r="A52" s="532"/>
      <c r="B52" s="532"/>
      <c r="C52" s="532"/>
      <c r="D52" s="532"/>
      <c r="E52" s="532"/>
      <c r="F52" s="532"/>
      <c r="G52" s="532"/>
      <c r="H52" s="532"/>
      <c r="I52" s="532"/>
      <c r="J52" s="532"/>
      <c r="K52" s="533"/>
      <c r="L52" s="533"/>
    </row>
    <row r="53" spans="1:12" ht="24.75" customHeight="1" x14ac:dyDescent="0.25">
      <c r="A53" s="2108"/>
      <c r="B53" s="2108"/>
      <c r="C53" s="2108"/>
      <c r="D53" s="2108"/>
      <c r="E53" s="2108"/>
      <c r="F53" s="2108"/>
      <c r="G53" s="2108"/>
      <c r="H53" s="2108"/>
      <c r="I53" s="2108"/>
      <c r="J53" s="2108"/>
      <c r="K53" s="533"/>
      <c r="L53" s="533"/>
    </row>
    <row r="54" spans="1:12" ht="24.75" customHeight="1" x14ac:dyDescent="0.25">
      <c r="A54" s="2108"/>
      <c r="B54" s="2108"/>
      <c r="C54" s="2108"/>
      <c r="D54" s="2108"/>
      <c r="E54" s="2108"/>
      <c r="F54" s="2108"/>
      <c r="G54" s="2108"/>
      <c r="H54" s="2108"/>
      <c r="I54" s="2108"/>
      <c r="J54" s="2108"/>
    </row>
  </sheetData>
  <mergeCells count="12">
    <mergeCell ref="A48:K48"/>
    <mergeCell ref="A53:J54"/>
    <mergeCell ref="B26:G27"/>
    <mergeCell ref="B32:G32"/>
    <mergeCell ref="H38:I39"/>
    <mergeCell ref="J38:J39"/>
    <mergeCell ref="B21:G21"/>
    <mergeCell ref="A9:J9"/>
    <mergeCell ref="A10:J10"/>
    <mergeCell ref="A11:J11"/>
    <mergeCell ref="A13:J13"/>
    <mergeCell ref="A15:J15"/>
  </mergeCells>
  <dataValidations count="1">
    <dataValidation allowBlank="1" showInputMessage="1" showErrorMessage="1" promptTitle="Date Format" prompt="E.g:  &quot;August 1, 2011&quot;" sqref="WVN983042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38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F131074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F196610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F262146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F327682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F393218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F458754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F524290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F589826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F655362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F720898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F786434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F851970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F917506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F983042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RDV983042 RNR983042 RXN983042 SHJ983042 SRF983042 TBB983042 TKX983042 TUT983042 UEP983042 UOL983042 UYH983042 VID983042 VRZ983042 WBV983042 WLR983042"/>
  </dataValidations>
  <pageMargins left="0.7" right="0.7" top="0.75" bottom="0.75" header="0.3" footer="0.3"/>
  <pageSetup scale="58"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M55"/>
  <sheetViews>
    <sheetView showGridLines="0" zoomScaleNormal="100" workbookViewId="0"/>
  </sheetViews>
  <sheetFormatPr defaultRowHeight="15" x14ac:dyDescent="0.25"/>
  <cols>
    <col min="1" max="1" width="51.7109375" style="530" customWidth="1"/>
    <col min="2" max="2" width="9.140625" style="530"/>
    <col min="3" max="3" width="10.140625" style="530" bestFit="1" customWidth="1"/>
    <col min="4" max="4" width="10.28515625" style="530" bestFit="1" customWidth="1"/>
    <col min="5" max="5" width="10.28515625" style="530" customWidth="1"/>
    <col min="6" max="6" width="10.28515625" style="530" bestFit="1" customWidth="1"/>
    <col min="7" max="7" width="12.7109375" style="530" customWidth="1"/>
    <col min="8" max="8" width="10.28515625" style="530" bestFit="1" customWidth="1"/>
    <col min="9" max="9" width="13.7109375" style="530" customWidth="1"/>
    <col min="10" max="10" width="11" style="530" bestFit="1" customWidth="1"/>
    <col min="11" max="11" width="9.28515625" style="530" bestFit="1" customWidth="1"/>
    <col min="12" max="257" width="9.140625" style="530"/>
    <col min="258" max="258" width="51.7109375" style="530" customWidth="1"/>
    <col min="259" max="264" width="9.140625" style="530"/>
    <col min="265" max="265" width="11.28515625" style="530" customWidth="1"/>
    <col min="266" max="513" width="9.140625" style="530"/>
    <col min="514" max="514" width="51.7109375" style="530" customWidth="1"/>
    <col min="515" max="520" width="9.140625" style="530"/>
    <col min="521" max="521" width="11.28515625" style="530" customWidth="1"/>
    <col min="522" max="769" width="9.140625" style="530"/>
    <col min="770" max="770" width="51.7109375" style="530" customWidth="1"/>
    <col min="771" max="776" width="9.140625" style="530"/>
    <col min="777" max="777" width="11.28515625" style="530" customWidth="1"/>
    <col min="778" max="1025" width="9.140625" style="530"/>
    <col min="1026" max="1026" width="51.7109375" style="530" customWidth="1"/>
    <col min="1027" max="1032" width="9.140625" style="530"/>
    <col min="1033" max="1033" width="11.28515625" style="530" customWidth="1"/>
    <col min="1034" max="1281" width="9.140625" style="530"/>
    <col min="1282" max="1282" width="51.7109375" style="530" customWidth="1"/>
    <col min="1283" max="1288" width="9.140625" style="530"/>
    <col min="1289" max="1289" width="11.28515625" style="530" customWidth="1"/>
    <col min="1290" max="1537" width="9.140625" style="530"/>
    <col min="1538" max="1538" width="51.7109375" style="530" customWidth="1"/>
    <col min="1539" max="1544" width="9.140625" style="530"/>
    <col min="1545" max="1545" width="11.28515625" style="530" customWidth="1"/>
    <col min="1546" max="1793" width="9.140625" style="530"/>
    <col min="1794" max="1794" width="51.7109375" style="530" customWidth="1"/>
    <col min="1795" max="1800" width="9.140625" style="530"/>
    <col min="1801" max="1801" width="11.28515625" style="530" customWidth="1"/>
    <col min="1802" max="2049" width="9.140625" style="530"/>
    <col min="2050" max="2050" width="51.7109375" style="530" customWidth="1"/>
    <col min="2051" max="2056" width="9.140625" style="530"/>
    <col min="2057" max="2057" width="11.28515625" style="530" customWidth="1"/>
    <col min="2058" max="2305" width="9.140625" style="530"/>
    <col min="2306" max="2306" width="51.7109375" style="530" customWidth="1"/>
    <col min="2307" max="2312" width="9.140625" style="530"/>
    <col min="2313" max="2313" width="11.28515625" style="530" customWidth="1"/>
    <col min="2314" max="2561" width="9.140625" style="530"/>
    <col min="2562" max="2562" width="51.7109375" style="530" customWidth="1"/>
    <col min="2563" max="2568" width="9.140625" style="530"/>
    <col min="2569" max="2569" width="11.28515625" style="530" customWidth="1"/>
    <col min="2570" max="2817" width="9.140625" style="530"/>
    <col min="2818" max="2818" width="51.7109375" style="530" customWidth="1"/>
    <col min="2819" max="2824" width="9.140625" style="530"/>
    <col min="2825" max="2825" width="11.28515625" style="530" customWidth="1"/>
    <col min="2826" max="3073" width="9.140625" style="530"/>
    <col min="3074" max="3074" width="51.7109375" style="530" customWidth="1"/>
    <col min="3075" max="3080" width="9.140625" style="530"/>
    <col min="3081" max="3081" width="11.28515625" style="530" customWidth="1"/>
    <col min="3082" max="3329" width="9.140625" style="530"/>
    <col min="3330" max="3330" width="51.7109375" style="530" customWidth="1"/>
    <col min="3331" max="3336" width="9.140625" style="530"/>
    <col min="3337" max="3337" width="11.28515625" style="530" customWidth="1"/>
    <col min="3338" max="3585" width="9.140625" style="530"/>
    <col min="3586" max="3586" width="51.7109375" style="530" customWidth="1"/>
    <col min="3587" max="3592" width="9.140625" style="530"/>
    <col min="3593" max="3593" width="11.28515625" style="530" customWidth="1"/>
    <col min="3594" max="3841" width="9.140625" style="530"/>
    <col min="3842" max="3842" width="51.7109375" style="530" customWidth="1"/>
    <col min="3843" max="3848" width="9.140625" style="530"/>
    <col min="3849" max="3849" width="11.28515625" style="530" customWidth="1"/>
    <col min="3850" max="4097" width="9.140625" style="530"/>
    <col min="4098" max="4098" width="51.7109375" style="530" customWidth="1"/>
    <col min="4099" max="4104" width="9.140625" style="530"/>
    <col min="4105" max="4105" width="11.28515625" style="530" customWidth="1"/>
    <col min="4106" max="4353" width="9.140625" style="530"/>
    <col min="4354" max="4354" width="51.7109375" style="530" customWidth="1"/>
    <col min="4355" max="4360" width="9.140625" style="530"/>
    <col min="4361" max="4361" width="11.28515625" style="530" customWidth="1"/>
    <col min="4362" max="4609" width="9.140625" style="530"/>
    <col min="4610" max="4610" width="51.7109375" style="530" customWidth="1"/>
    <col min="4611" max="4616" width="9.140625" style="530"/>
    <col min="4617" max="4617" width="11.28515625" style="530" customWidth="1"/>
    <col min="4618" max="4865" width="9.140625" style="530"/>
    <col min="4866" max="4866" width="51.7109375" style="530" customWidth="1"/>
    <col min="4867" max="4872" width="9.140625" style="530"/>
    <col min="4873" max="4873" width="11.28515625" style="530" customWidth="1"/>
    <col min="4874" max="5121" width="9.140625" style="530"/>
    <col min="5122" max="5122" width="51.7109375" style="530" customWidth="1"/>
    <col min="5123" max="5128" width="9.140625" style="530"/>
    <col min="5129" max="5129" width="11.28515625" style="530" customWidth="1"/>
    <col min="5130" max="5377" width="9.140625" style="530"/>
    <col min="5378" max="5378" width="51.7109375" style="530" customWidth="1"/>
    <col min="5379" max="5384" width="9.140625" style="530"/>
    <col min="5385" max="5385" width="11.28515625" style="530" customWidth="1"/>
    <col min="5386" max="5633" width="9.140625" style="530"/>
    <col min="5634" max="5634" width="51.7109375" style="530" customWidth="1"/>
    <col min="5635" max="5640" width="9.140625" style="530"/>
    <col min="5641" max="5641" width="11.28515625" style="530" customWidth="1"/>
    <col min="5642" max="5889" width="9.140625" style="530"/>
    <col min="5890" max="5890" width="51.7109375" style="530" customWidth="1"/>
    <col min="5891" max="5896" width="9.140625" style="530"/>
    <col min="5897" max="5897" width="11.28515625" style="530" customWidth="1"/>
    <col min="5898" max="6145" width="9.140625" style="530"/>
    <col min="6146" max="6146" width="51.7109375" style="530" customWidth="1"/>
    <col min="6147" max="6152" width="9.140625" style="530"/>
    <col min="6153" max="6153" width="11.28515625" style="530" customWidth="1"/>
    <col min="6154" max="6401" width="9.140625" style="530"/>
    <col min="6402" max="6402" width="51.7109375" style="530" customWidth="1"/>
    <col min="6403" max="6408" width="9.140625" style="530"/>
    <col min="6409" max="6409" width="11.28515625" style="530" customWidth="1"/>
    <col min="6410" max="6657" width="9.140625" style="530"/>
    <col min="6658" max="6658" width="51.7109375" style="530" customWidth="1"/>
    <col min="6659" max="6664" width="9.140625" style="530"/>
    <col min="6665" max="6665" width="11.28515625" style="530" customWidth="1"/>
    <col min="6666" max="6913" width="9.140625" style="530"/>
    <col min="6914" max="6914" width="51.7109375" style="530" customWidth="1"/>
    <col min="6915" max="6920" width="9.140625" style="530"/>
    <col min="6921" max="6921" width="11.28515625" style="530" customWidth="1"/>
    <col min="6922" max="7169" width="9.140625" style="530"/>
    <col min="7170" max="7170" width="51.7109375" style="530" customWidth="1"/>
    <col min="7171" max="7176" width="9.140625" style="530"/>
    <col min="7177" max="7177" width="11.28515625" style="530" customWidth="1"/>
    <col min="7178" max="7425" width="9.140625" style="530"/>
    <col min="7426" max="7426" width="51.7109375" style="530" customWidth="1"/>
    <col min="7427" max="7432" width="9.140625" style="530"/>
    <col min="7433" max="7433" width="11.28515625" style="530" customWidth="1"/>
    <col min="7434" max="7681" width="9.140625" style="530"/>
    <col min="7682" max="7682" width="51.7109375" style="530" customWidth="1"/>
    <col min="7683" max="7688" width="9.140625" style="530"/>
    <col min="7689" max="7689" width="11.28515625" style="530" customWidth="1"/>
    <col min="7690" max="7937" width="9.140625" style="530"/>
    <col min="7938" max="7938" width="51.7109375" style="530" customWidth="1"/>
    <col min="7939" max="7944" width="9.140625" style="530"/>
    <col min="7945" max="7945" width="11.28515625" style="530" customWidth="1"/>
    <col min="7946" max="8193" width="9.140625" style="530"/>
    <col min="8194" max="8194" width="51.7109375" style="530" customWidth="1"/>
    <col min="8195" max="8200" width="9.140625" style="530"/>
    <col min="8201" max="8201" width="11.28515625" style="530" customWidth="1"/>
    <col min="8202" max="8449" width="9.140625" style="530"/>
    <col min="8450" max="8450" width="51.7109375" style="530" customWidth="1"/>
    <col min="8451" max="8456" width="9.140625" style="530"/>
    <col min="8457" max="8457" width="11.28515625" style="530" customWidth="1"/>
    <col min="8458" max="8705" width="9.140625" style="530"/>
    <col min="8706" max="8706" width="51.7109375" style="530" customWidth="1"/>
    <col min="8707" max="8712" width="9.140625" style="530"/>
    <col min="8713" max="8713" width="11.28515625" style="530" customWidth="1"/>
    <col min="8714" max="8961" width="9.140625" style="530"/>
    <col min="8962" max="8962" width="51.7109375" style="530" customWidth="1"/>
    <col min="8963" max="8968" width="9.140625" style="530"/>
    <col min="8969" max="8969" width="11.28515625" style="530" customWidth="1"/>
    <col min="8970" max="9217" width="9.140625" style="530"/>
    <col min="9218" max="9218" width="51.7109375" style="530" customWidth="1"/>
    <col min="9219" max="9224" width="9.140625" style="530"/>
    <col min="9225" max="9225" width="11.28515625" style="530" customWidth="1"/>
    <col min="9226" max="9473" width="9.140625" style="530"/>
    <col min="9474" max="9474" width="51.7109375" style="530" customWidth="1"/>
    <col min="9475" max="9480" width="9.140625" style="530"/>
    <col min="9481" max="9481" width="11.28515625" style="530" customWidth="1"/>
    <col min="9482" max="9729" width="9.140625" style="530"/>
    <col min="9730" max="9730" width="51.7109375" style="530" customWidth="1"/>
    <col min="9731" max="9736" width="9.140625" style="530"/>
    <col min="9737" max="9737" width="11.28515625" style="530" customWidth="1"/>
    <col min="9738" max="9985" width="9.140625" style="530"/>
    <col min="9986" max="9986" width="51.7109375" style="530" customWidth="1"/>
    <col min="9987" max="9992" width="9.140625" style="530"/>
    <col min="9993" max="9993" width="11.28515625" style="530" customWidth="1"/>
    <col min="9994" max="10241" width="9.140625" style="530"/>
    <col min="10242" max="10242" width="51.7109375" style="530" customWidth="1"/>
    <col min="10243" max="10248" width="9.140625" style="530"/>
    <col min="10249" max="10249" width="11.28515625" style="530" customWidth="1"/>
    <col min="10250" max="10497" width="9.140625" style="530"/>
    <col min="10498" max="10498" width="51.7109375" style="530" customWidth="1"/>
    <col min="10499" max="10504" width="9.140625" style="530"/>
    <col min="10505" max="10505" width="11.28515625" style="530" customWidth="1"/>
    <col min="10506" max="10753" width="9.140625" style="530"/>
    <col min="10754" max="10754" width="51.7109375" style="530" customWidth="1"/>
    <col min="10755" max="10760" width="9.140625" style="530"/>
    <col min="10761" max="10761" width="11.28515625" style="530" customWidth="1"/>
    <col min="10762" max="11009" width="9.140625" style="530"/>
    <col min="11010" max="11010" width="51.7109375" style="530" customWidth="1"/>
    <col min="11011" max="11016" width="9.140625" style="530"/>
    <col min="11017" max="11017" width="11.28515625" style="530" customWidth="1"/>
    <col min="11018" max="11265" width="9.140625" style="530"/>
    <col min="11266" max="11266" width="51.7109375" style="530" customWidth="1"/>
    <col min="11267" max="11272" width="9.140625" style="530"/>
    <col min="11273" max="11273" width="11.28515625" style="530" customWidth="1"/>
    <col min="11274" max="11521" width="9.140625" style="530"/>
    <col min="11522" max="11522" width="51.7109375" style="530" customWidth="1"/>
    <col min="11523" max="11528" width="9.140625" style="530"/>
    <col min="11529" max="11529" width="11.28515625" style="530" customWidth="1"/>
    <col min="11530" max="11777" width="9.140625" style="530"/>
    <col min="11778" max="11778" width="51.7109375" style="530" customWidth="1"/>
    <col min="11779" max="11784" width="9.140625" style="530"/>
    <col min="11785" max="11785" width="11.28515625" style="530" customWidth="1"/>
    <col min="11786" max="12033" width="9.140625" style="530"/>
    <col min="12034" max="12034" width="51.7109375" style="530" customWidth="1"/>
    <col min="12035" max="12040" width="9.140625" style="530"/>
    <col min="12041" max="12041" width="11.28515625" style="530" customWidth="1"/>
    <col min="12042" max="12289" width="9.140625" style="530"/>
    <col min="12290" max="12290" width="51.7109375" style="530" customWidth="1"/>
    <col min="12291" max="12296" width="9.140625" style="530"/>
    <col min="12297" max="12297" width="11.28515625" style="530" customWidth="1"/>
    <col min="12298" max="12545" width="9.140625" style="530"/>
    <col min="12546" max="12546" width="51.7109375" style="530" customWidth="1"/>
    <col min="12547" max="12552" width="9.140625" style="530"/>
    <col min="12553" max="12553" width="11.28515625" style="530" customWidth="1"/>
    <col min="12554" max="12801" width="9.140625" style="530"/>
    <col min="12802" max="12802" width="51.7109375" style="530" customWidth="1"/>
    <col min="12803" max="12808" width="9.140625" style="530"/>
    <col min="12809" max="12809" width="11.28515625" style="530" customWidth="1"/>
    <col min="12810" max="13057" width="9.140625" style="530"/>
    <col min="13058" max="13058" width="51.7109375" style="530" customWidth="1"/>
    <col min="13059" max="13064" width="9.140625" style="530"/>
    <col min="13065" max="13065" width="11.28515625" style="530" customWidth="1"/>
    <col min="13066" max="13313" width="9.140625" style="530"/>
    <col min="13314" max="13314" width="51.7109375" style="530" customWidth="1"/>
    <col min="13315" max="13320" width="9.140625" style="530"/>
    <col min="13321" max="13321" width="11.28515625" style="530" customWidth="1"/>
    <col min="13322" max="13569" width="9.140625" style="530"/>
    <col min="13570" max="13570" width="51.7109375" style="530" customWidth="1"/>
    <col min="13571" max="13576" width="9.140625" style="530"/>
    <col min="13577" max="13577" width="11.28515625" style="530" customWidth="1"/>
    <col min="13578" max="13825" width="9.140625" style="530"/>
    <col min="13826" max="13826" width="51.7109375" style="530" customWidth="1"/>
    <col min="13827" max="13832" width="9.140625" style="530"/>
    <col min="13833" max="13833" width="11.28515625" style="530" customWidth="1"/>
    <col min="13834" max="14081" width="9.140625" style="530"/>
    <col min="14082" max="14082" width="51.7109375" style="530" customWidth="1"/>
    <col min="14083" max="14088" width="9.140625" style="530"/>
    <col min="14089" max="14089" width="11.28515625" style="530" customWidth="1"/>
    <col min="14090" max="14337" width="9.140625" style="530"/>
    <col min="14338" max="14338" width="51.7109375" style="530" customWidth="1"/>
    <col min="14339" max="14344" width="9.140625" style="530"/>
    <col min="14345" max="14345" width="11.28515625" style="530" customWidth="1"/>
    <col min="14346" max="14593" width="9.140625" style="530"/>
    <col min="14594" max="14594" width="51.7109375" style="530" customWidth="1"/>
    <col min="14595" max="14600" width="9.140625" style="530"/>
    <col min="14601" max="14601" width="11.28515625" style="530" customWidth="1"/>
    <col min="14602" max="14849" width="9.140625" style="530"/>
    <col min="14850" max="14850" width="51.7109375" style="530" customWidth="1"/>
    <col min="14851" max="14856" width="9.140625" style="530"/>
    <col min="14857" max="14857" width="11.28515625" style="530" customWidth="1"/>
    <col min="14858" max="15105" width="9.140625" style="530"/>
    <col min="15106" max="15106" width="51.7109375" style="530" customWidth="1"/>
    <col min="15107" max="15112" width="9.140625" style="530"/>
    <col min="15113" max="15113" width="11.28515625" style="530" customWidth="1"/>
    <col min="15114" max="15361" width="9.140625" style="530"/>
    <col min="15362" max="15362" width="51.7109375" style="530" customWidth="1"/>
    <col min="15363" max="15368" width="9.140625" style="530"/>
    <col min="15369" max="15369" width="11.28515625" style="530" customWidth="1"/>
    <col min="15370" max="15617" width="9.140625" style="530"/>
    <col min="15618" max="15618" width="51.7109375" style="530" customWidth="1"/>
    <col min="15619" max="15624" width="9.140625" style="530"/>
    <col min="15625" max="15625" width="11.28515625" style="530" customWidth="1"/>
    <col min="15626" max="15873" width="9.140625" style="530"/>
    <col min="15874" max="15874" width="51.7109375" style="530" customWidth="1"/>
    <col min="15875" max="15880" width="9.140625" style="530"/>
    <col min="15881" max="15881" width="11.28515625" style="530" customWidth="1"/>
    <col min="15882" max="16129" width="9.140625" style="530"/>
    <col min="16130" max="16130" width="51.7109375" style="530" customWidth="1"/>
    <col min="16131" max="16136" width="9.140625" style="530"/>
    <col min="16137" max="16137" width="11.28515625" style="530" customWidth="1"/>
    <col min="16138" max="16384" width="9.140625" style="530"/>
  </cols>
  <sheetData>
    <row r="1" spans="1:13" x14ac:dyDescent="0.25">
      <c r="A1" s="140"/>
      <c r="B1" s="337"/>
      <c r="C1" s="337"/>
      <c r="D1" s="337"/>
      <c r="E1" s="337"/>
      <c r="F1" s="337"/>
      <c r="G1" s="337"/>
      <c r="H1" s="140"/>
      <c r="I1" s="334" t="s">
        <v>394</v>
      </c>
      <c r="J1" s="1513" t="str">
        <f>EBNUMBER</f>
        <v>EB-2015-0089</v>
      </c>
    </row>
    <row r="2" spans="1:13" x14ac:dyDescent="0.25">
      <c r="A2" s="140"/>
      <c r="B2" s="337"/>
      <c r="C2" s="337"/>
      <c r="D2" s="337"/>
      <c r="E2" s="337"/>
      <c r="F2" s="337"/>
      <c r="G2" s="337"/>
      <c r="H2" s="140"/>
      <c r="I2" s="334" t="s">
        <v>395</v>
      </c>
      <c r="J2" s="136"/>
    </row>
    <row r="3" spans="1:13" x14ac:dyDescent="0.25">
      <c r="A3" s="140"/>
      <c r="B3" s="337"/>
      <c r="C3" s="337"/>
      <c r="D3" s="337"/>
      <c r="E3" s="337"/>
      <c r="F3" s="337"/>
      <c r="G3" s="337"/>
      <c r="H3" s="140"/>
      <c r="I3" s="334" t="s">
        <v>396</v>
      </c>
      <c r="J3" s="136"/>
    </row>
    <row r="4" spans="1:13" x14ac:dyDescent="0.25">
      <c r="A4" s="140"/>
      <c r="B4" s="337"/>
      <c r="C4" s="337"/>
      <c r="D4" s="337"/>
      <c r="E4" s="337"/>
      <c r="F4" s="337"/>
      <c r="G4" s="337"/>
      <c r="H4" s="140"/>
      <c r="I4" s="334" t="s">
        <v>397</v>
      </c>
      <c r="J4" s="136"/>
    </row>
    <row r="5" spans="1:13" x14ac:dyDescent="0.25">
      <c r="A5" s="140"/>
      <c r="B5" s="337"/>
      <c r="C5" s="337"/>
      <c r="D5" s="337"/>
      <c r="E5" s="337"/>
      <c r="F5" s="337"/>
      <c r="G5" s="337"/>
      <c r="H5" s="140"/>
      <c r="I5" s="334" t="s">
        <v>398</v>
      </c>
      <c r="J5" s="1514"/>
    </row>
    <row r="6" spans="1:13" x14ac:dyDescent="0.25">
      <c r="A6" s="140"/>
      <c r="B6" s="337"/>
      <c r="C6" s="337"/>
      <c r="D6" s="337"/>
      <c r="E6" s="337"/>
      <c r="F6" s="337"/>
      <c r="G6" s="337"/>
      <c r="H6" s="140"/>
      <c r="I6" s="334"/>
      <c r="J6" s="1513"/>
    </row>
    <row r="7" spans="1:13" x14ac:dyDescent="0.25">
      <c r="A7" s="140"/>
      <c r="B7" s="337"/>
      <c r="C7" s="337"/>
      <c r="D7" s="337"/>
      <c r="E7" s="337"/>
      <c r="F7" s="337"/>
      <c r="G7" s="337"/>
      <c r="H7" s="140"/>
      <c r="I7" s="334" t="s">
        <v>399</v>
      </c>
      <c r="J7" s="1514"/>
    </row>
    <row r="8" spans="1:13" x14ac:dyDescent="0.25">
      <c r="A8" s="140"/>
      <c r="B8" s="140"/>
      <c r="C8" s="140"/>
      <c r="D8" s="140"/>
      <c r="E8" s="140"/>
      <c r="F8" s="140"/>
      <c r="G8" s="140"/>
      <c r="H8" s="140"/>
      <c r="I8" s="140"/>
      <c r="J8" s="140"/>
    </row>
    <row r="9" spans="1:13" ht="18" x14ac:dyDescent="0.25">
      <c r="A9" s="1979" t="s">
        <v>532</v>
      </c>
      <c r="B9" s="2104"/>
      <c r="C9" s="2104"/>
      <c r="D9" s="2104"/>
      <c r="E9" s="2104"/>
      <c r="F9" s="2104"/>
      <c r="G9" s="2104"/>
      <c r="H9" s="2104"/>
      <c r="I9" s="2104"/>
      <c r="J9" s="2104"/>
    </row>
    <row r="10" spans="1:13" ht="18" x14ac:dyDescent="0.25">
      <c r="A10" s="1979" t="s">
        <v>669</v>
      </c>
      <c r="B10" s="2105"/>
      <c r="C10" s="2105"/>
      <c r="D10" s="2105"/>
      <c r="E10" s="2105"/>
      <c r="F10" s="2105"/>
      <c r="G10" s="2105"/>
      <c r="H10" s="2105"/>
      <c r="I10" s="2105"/>
      <c r="J10" s="2105"/>
    </row>
    <row r="11" spans="1:13" ht="18" x14ac:dyDescent="0.25">
      <c r="A11" s="1979" t="s">
        <v>670</v>
      </c>
      <c r="B11" s="2105"/>
      <c r="C11" s="2105"/>
      <c r="D11" s="2105"/>
      <c r="E11" s="2105"/>
      <c r="F11" s="2105"/>
      <c r="G11" s="2105"/>
      <c r="H11" s="2105"/>
      <c r="I11" s="2105"/>
      <c r="J11" s="2105"/>
    </row>
    <row r="12" spans="1:13" x14ac:dyDescent="0.25">
      <c r="A12" s="140"/>
      <c r="B12" s="140"/>
      <c r="C12" s="140"/>
      <c r="D12" s="140"/>
      <c r="E12" s="140"/>
      <c r="F12" s="140"/>
      <c r="G12" s="140"/>
      <c r="H12" s="140"/>
      <c r="I12" s="140"/>
      <c r="J12" s="140"/>
    </row>
    <row r="13" spans="1:13" s="531" customFormat="1" x14ac:dyDescent="0.25">
      <c r="A13" s="2118" t="s">
        <v>1640</v>
      </c>
      <c r="B13" s="2118"/>
      <c r="C13" s="2118"/>
      <c r="D13" s="2118"/>
      <c r="E13" s="2118"/>
      <c r="F13" s="2118"/>
      <c r="G13" s="2118"/>
      <c r="H13" s="2118"/>
      <c r="I13" s="2118"/>
      <c r="J13" s="2118"/>
      <c r="K13" s="496"/>
      <c r="L13" s="496"/>
      <c r="M13" s="496"/>
    </row>
    <row r="14" spans="1:13" x14ac:dyDescent="0.25">
      <c r="A14" s="532"/>
      <c r="B14" s="532"/>
      <c r="C14" s="532"/>
      <c r="D14" s="532"/>
      <c r="E14" s="532"/>
      <c r="F14" s="532"/>
      <c r="G14" s="532"/>
      <c r="H14" s="532"/>
      <c r="I14" s="532"/>
      <c r="J14" s="532"/>
      <c r="K14" s="533"/>
      <c r="L14" s="533"/>
    </row>
    <row r="15" spans="1:13" x14ac:dyDescent="0.25">
      <c r="A15" s="2106"/>
      <c r="B15" s="2106"/>
      <c r="C15" s="2106"/>
      <c r="D15" s="2106"/>
      <c r="E15" s="2106"/>
      <c r="F15" s="2106"/>
      <c r="G15" s="2106"/>
      <c r="H15" s="2106"/>
      <c r="I15" s="2106"/>
      <c r="J15" s="2106"/>
      <c r="K15" s="533"/>
      <c r="L15" s="533"/>
    </row>
    <row r="16" spans="1:13" x14ac:dyDescent="0.25">
      <c r="A16" s="532"/>
      <c r="B16" s="532"/>
      <c r="C16" s="532"/>
      <c r="D16" s="532"/>
      <c r="E16" s="532"/>
      <c r="F16" s="532"/>
      <c r="G16" s="532"/>
      <c r="H16" s="532"/>
      <c r="I16" s="532"/>
      <c r="J16" s="532"/>
      <c r="K16" s="533"/>
      <c r="L16" s="533"/>
    </row>
    <row r="17" spans="1:8" ht="39" x14ac:dyDescent="0.25">
      <c r="A17" s="532"/>
      <c r="B17" s="534" t="str">
        <f>RebaseYear &amp;" Rebasing Year"</f>
        <v>2011 Rebasing Year</v>
      </c>
      <c r="C17" s="534">
        <v>2012</v>
      </c>
      <c r="D17" s="534">
        <v>2013</v>
      </c>
      <c r="E17" s="534">
        <v>2014</v>
      </c>
      <c r="F17" s="534">
        <v>2015</v>
      </c>
      <c r="G17" s="534" t="s">
        <v>1797</v>
      </c>
      <c r="H17" s="533"/>
    </row>
    <row r="18" spans="1:8" x14ac:dyDescent="0.25">
      <c r="A18" s="535" t="s">
        <v>150</v>
      </c>
      <c r="B18" s="536" t="s">
        <v>151</v>
      </c>
      <c r="C18" s="536" t="s">
        <v>151</v>
      </c>
      <c r="D18" s="536" t="s">
        <v>151</v>
      </c>
      <c r="E18" s="536" t="s">
        <v>151</v>
      </c>
      <c r="F18" s="536" t="s">
        <v>152</v>
      </c>
      <c r="G18" s="537" t="s">
        <v>152</v>
      </c>
      <c r="H18" s="533"/>
    </row>
    <row r="19" spans="1:8" x14ac:dyDescent="0.25">
      <c r="A19" s="535"/>
      <c r="B19" s="536" t="s">
        <v>130</v>
      </c>
      <c r="C19" s="536" t="s">
        <v>513</v>
      </c>
      <c r="D19" s="536" t="s">
        <v>513</v>
      </c>
      <c r="E19" s="536" t="s">
        <v>513</v>
      </c>
      <c r="F19" s="536" t="s">
        <v>130</v>
      </c>
      <c r="G19" s="536" t="s">
        <v>130</v>
      </c>
      <c r="H19" s="533"/>
    </row>
    <row r="20" spans="1:8" x14ac:dyDescent="0.25">
      <c r="A20" s="532"/>
      <c r="B20" s="565"/>
      <c r="C20" s="539" t="s">
        <v>217</v>
      </c>
      <c r="D20" s="539" t="s">
        <v>217</v>
      </c>
      <c r="E20" s="539" t="s">
        <v>217</v>
      </c>
      <c r="F20" s="539" t="s">
        <v>217</v>
      </c>
      <c r="G20" s="539"/>
      <c r="H20" s="533"/>
    </row>
    <row r="21" spans="1:8" x14ac:dyDescent="0.25">
      <c r="A21" s="535" t="s">
        <v>671</v>
      </c>
      <c r="B21" s="2101"/>
      <c r="C21" s="2102"/>
      <c r="D21" s="2102"/>
      <c r="E21" s="2102"/>
      <c r="F21" s="2102"/>
      <c r="G21" s="2103"/>
      <c r="H21" s="533"/>
    </row>
    <row r="22" spans="1:8" x14ac:dyDescent="0.25">
      <c r="A22" s="538" t="s">
        <v>515</v>
      </c>
      <c r="B22" s="566"/>
      <c r="C22" s="542"/>
      <c r="D22" s="545">
        <f>+C25</f>
        <v>0</v>
      </c>
      <c r="E22" s="545">
        <f>+D25</f>
        <v>0</v>
      </c>
      <c r="F22" s="545">
        <f>+E25</f>
        <v>0</v>
      </c>
      <c r="G22" s="540"/>
      <c r="H22" s="533"/>
    </row>
    <row r="23" spans="1:8" x14ac:dyDescent="0.25">
      <c r="A23" s="538" t="s">
        <v>914</v>
      </c>
      <c r="B23" s="566"/>
      <c r="C23" s="542"/>
      <c r="D23" s="542"/>
      <c r="E23" s="542"/>
      <c r="F23" s="567"/>
      <c r="G23" s="540"/>
      <c r="H23" s="533"/>
    </row>
    <row r="24" spans="1:8" x14ac:dyDescent="0.25">
      <c r="A24" s="538" t="s">
        <v>915</v>
      </c>
      <c r="B24" s="566"/>
      <c r="C24" s="542"/>
      <c r="D24" s="542"/>
      <c r="E24" s="542"/>
      <c r="F24" s="567"/>
      <c r="G24" s="540"/>
      <c r="H24" s="533"/>
    </row>
    <row r="25" spans="1:8" x14ac:dyDescent="0.25">
      <c r="A25" s="544" t="s">
        <v>516</v>
      </c>
      <c r="B25" s="566"/>
      <c r="C25" s="545"/>
      <c r="D25" s="545">
        <f>D22+D23+D24</f>
        <v>0</v>
      </c>
      <c r="E25" s="545">
        <f>E22+E23+E24</f>
        <v>0</v>
      </c>
      <c r="F25" s="545">
        <f>F22+F23+F24</f>
        <v>0</v>
      </c>
      <c r="G25" s="540"/>
      <c r="H25" s="533"/>
    </row>
    <row r="26" spans="1:8" x14ac:dyDescent="0.25">
      <c r="A26" s="532"/>
      <c r="B26" s="2109"/>
      <c r="C26" s="2110"/>
      <c r="D26" s="2110"/>
      <c r="E26" s="2110"/>
      <c r="F26" s="2110"/>
      <c r="G26" s="2111"/>
      <c r="H26" s="533"/>
    </row>
    <row r="27" spans="1:8" x14ac:dyDescent="0.25">
      <c r="A27" s="546" t="s">
        <v>672</v>
      </c>
      <c r="B27" s="2112"/>
      <c r="C27" s="2113"/>
      <c r="D27" s="2113"/>
      <c r="E27" s="2113"/>
      <c r="F27" s="2113"/>
      <c r="G27" s="2114"/>
      <c r="H27" s="533"/>
    </row>
    <row r="28" spans="1:8" x14ac:dyDescent="0.25">
      <c r="A28" s="538" t="s">
        <v>517</v>
      </c>
      <c r="B28" s="540"/>
      <c r="C28" s="547"/>
      <c r="D28" s="545">
        <f>+C31</f>
        <v>0</v>
      </c>
      <c r="E28" s="545">
        <f>+D31</f>
        <v>0</v>
      </c>
      <c r="F28" s="545">
        <f>+E31</f>
        <v>0</v>
      </c>
      <c r="G28" s="540"/>
      <c r="H28" s="533"/>
    </row>
    <row r="29" spans="1:8" x14ac:dyDescent="0.25">
      <c r="A29" s="538" t="s">
        <v>914</v>
      </c>
      <c r="B29" s="540"/>
      <c r="C29" s="547"/>
      <c r="D29" s="547"/>
      <c r="E29" s="547"/>
      <c r="F29" s="567"/>
      <c r="G29" s="540"/>
      <c r="H29" s="533"/>
    </row>
    <row r="30" spans="1:8" x14ac:dyDescent="0.25">
      <c r="A30" s="538" t="s">
        <v>915</v>
      </c>
      <c r="B30" s="540"/>
      <c r="C30" s="547"/>
      <c r="D30" s="547"/>
      <c r="E30" s="547"/>
      <c r="F30" s="567"/>
      <c r="G30" s="540"/>
      <c r="H30" s="533"/>
    </row>
    <row r="31" spans="1:8" x14ac:dyDescent="0.25">
      <c r="A31" s="544" t="s">
        <v>518</v>
      </c>
      <c r="B31" s="540"/>
      <c r="C31" s="545"/>
      <c r="D31" s="545">
        <f>SUM(D28:D30)</f>
        <v>0</v>
      </c>
      <c r="E31" s="545">
        <f>SUM(E28:E30)</f>
        <v>0</v>
      </c>
      <c r="F31" s="545">
        <f>SUM(F28:F30)</f>
        <v>0</v>
      </c>
      <c r="G31" s="540"/>
      <c r="H31" s="533"/>
    </row>
    <row r="32" spans="1:8" x14ac:dyDescent="0.25">
      <c r="A32" s="532"/>
      <c r="B32" s="2101"/>
      <c r="C32" s="2102"/>
      <c r="D32" s="2102"/>
      <c r="E32" s="2102"/>
      <c r="F32" s="2102"/>
      <c r="G32" s="2103"/>
      <c r="H32" s="533"/>
    </row>
    <row r="33" spans="1:12" ht="26.25" x14ac:dyDescent="0.25">
      <c r="A33" s="548" t="s">
        <v>921</v>
      </c>
      <c r="B33" s="540"/>
      <c r="C33" s="550">
        <f>C25-C31</f>
        <v>0</v>
      </c>
      <c r="D33" s="550">
        <f>D25-D31</f>
        <v>0</v>
      </c>
      <c r="E33" s="550">
        <f>E25-E31</f>
        <v>0</v>
      </c>
      <c r="F33" s="550">
        <f>F25-F31</f>
        <v>0</v>
      </c>
      <c r="G33" s="540"/>
      <c r="H33" s="533"/>
    </row>
    <row r="34" spans="1:12" x14ac:dyDescent="0.25">
      <c r="A34" s="535"/>
      <c r="B34" s="532"/>
      <c r="C34" s="532"/>
      <c r="D34" s="551"/>
      <c r="E34" s="551"/>
      <c r="F34" s="551"/>
      <c r="G34" s="551"/>
      <c r="H34" s="551"/>
      <c r="I34" s="551"/>
      <c r="J34" s="532"/>
      <c r="K34" s="533"/>
      <c r="L34" s="533"/>
    </row>
    <row r="35" spans="1:12" x14ac:dyDescent="0.25">
      <c r="A35" s="535"/>
      <c r="B35" s="532"/>
      <c r="C35" s="532"/>
      <c r="D35" s="551"/>
      <c r="E35" s="551"/>
      <c r="F35" s="551"/>
      <c r="G35" s="551"/>
      <c r="H35" s="551"/>
      <c r="I35" s="551"/>
      <c r="J35" s="532"/>
      <c r="K35" s="533"/>
      <c r="L35" s="533"/>
    </row>
    <row r="36" spans="1:12" x14ac:dyDescent="0.25">
      <c r="A36" s="535" t="s">
        <v>916</v>
      </c>
      <c r="B36" s="532"/>
      <c r="C36" s="532"/>
      <c r="D36" s="551"/>
      <c r="E36" s="551"/>
      <c r="F36" s="551"/>
      <c r="G36" s="551"/>
      <c r="H36" s="551"/>
      <c r="I36" s="551"/>
      <c r="J36" s="532"/>
      <c r="K36" s="533"/>
      <c r="L36" s="533"/>
    </row>
    <row r="37" spans="1:12" s="557" customFormat="1" x14ac:dyDescent="0.25">
      <c r="A37" s="552" t="s">
        <v>922</v>
      </c>
      <c r="B37" s="553"/>
      <c r="C37" s="553"/>
      <c r="D37" s="553"/>
      <c r="E37" s="553"/>
      <c r="F37" s="553"/>
      <c r="G37" s="554">
        <f>IF(ISERROR(F33), 0, F33)</f>
        <v>0</v>
      </c>
      <c r="H37" s="532"/>
      <c r="I37" s="555" t="s">
        <v>520</v>
      </c>
      <c r="J37" s="556"/>
      <c r="K37" s="533"/>
      <c r="L37" s="533"/>
    </row>
    <row r="38" spans="1:12" s="557" customFormat="1" ht="26.25" x14ac:dyDescent="0.25">
      <c r="A38" s="552" t="s">
        <v>923</v>
      </c>
      <c r="B38" s="553"/>
      <c r="C38" s="553"/>
      <c r="D38" s="553"/>
      <c r="E38" s="553"/>
      <c r="F38" s="553"/>
      <c r="G38" s="554">
        <f>F33*J37*J38</f>
        <v>0</v>
      </c>
      <c r="H38" s="2115" t="s">
        <v>917</v>
      </c>
      <c r="I38" s="2115"/>
      <c r="J38" s="2116"/>
      <c r="K38" s="558"/>
      <c r="L38" s="533"/>
    </row>
    <row r="39" spans="1:12" x14ac:dyDescent="0.25">
      <c r="A39" s="559" t="s">
        <v>918</v>
      </c>
      <c r="B39" s="560"/>
      <c r="C39" s="560"/>
      <c r="D39" s="560"/>
      <c r="E39" s="560"/>
      <c r="F39" s="560"/>
      <c r="G39" s="561">
        <f>G37+G38</f>
        <v>0</v>
      </c>
      <c r="H39" s="2115"/>
      <c r="I39" s="2115"/>
      <c r="J39" s="2117"/>
      <c r="K39" s="533"/>
      <c r="L39" s="533"/>
    </row>
    <row r="40" spans="1:12" x14ac:dyDescent="0.25">
      <c r="A40" s="535"/>
      <c r="B40" s="532"/>
      <c r="C40" s="532"/>
      <c r="D40" s="532"/>
      <c r="E40" s="532"/>
      <c r="F40" s="532"/>
      <c r="G40" s="568"/>
      <c r="H40" s="532"/>
      <c r="I40" s="532"/>
      <c r="J40" s="532"/>
      <c r="K40" s="533"/>
      <c r="L40" s="533"/>
    </row>
    <row r="41" spans="1:12" x14ac:dyDescent="0.25">
      <c r="A41" s="535" t="s">
        <v>13</v>
      </c>
      <c r="B41" s="532"/>
      <c r="C41" s="532"/>
      <c r="D41" s="532"/>
      <c r="E41" s="532"/>
      <c r="F41" s="532"/>
      <c r="G41" s="532"/>
      <c r="H41" s="532"/>
      <c r="I41" s="532"/>
      <c r="J41" s="532"/>
      <c r="K41" s="533"/>
      <c r="L41" s="533"/>
    </row>
    <row r="42" spans="1:12" ht="27.75" customHeight="1" x14ac:dyDescent="0.25">
      <c r="A42" s="2119" t="s">
        <v>673</v>
      </c>
      <c r="B42" s="2119"/>
      <c r="C42" s="2119"/>
      <c r="D42" s="2119"/>
      <c r="E42" s="2119"/>
      <c r="F42" s="2119"/>
      <c r="G42" s="2119"/>
      <c r="H42" s="2119"/>
      <c r="I42" s="2119"/>
      <c r="J42" s="2119"/>
      <c r="K42" s="2119"/>
      <c r="L42" s="533"/>
    </row>
    <row r="43" spans="1:12" x14ac:dyDescent="0.25">
      <c r="A43" s="532" t="s">
        <v>924</v>
      </c>
      <c r="B43" s="532"/>
      <c r="C43" s="532"/>
      <c r="D43" s="532"/>
      <c r="E43" s="532"/>
      <c r="F43" s="532"/>
      <c r="G43" s="532"/>
      <c r="H43" s="532"/>
      <c r="I43" s="532"/>
      <c r="J43" s="532"/>
      <c r="K43" s="533"/>
      <c r="L43" s="533"/>
    </row>
    <row r="44" spans="1:12" x14ac:dyDescent="0.25">
      <c r="A44" s="532" t="s">
        <v>1799</v>
      </c>
      <c r="B44" s="532"/>
      <c r="C44" s="532"/>
      <c r="D44" s="532"/>
      <c r="E44" s="532"/>
      <c r="F44" s="532"/>
      <c r="G44" s="532"/>
      <c r="H44" s="532"/>
      <c r="I44" s="532"/>
      <c r="J44" s="532"/>
      <c r="K44" s="533"/>
      <c r="L44" s="533"/>
    </row>
    <row r="45" spans="1:12" x14ac:dyDescent="0.25">
      <c r="A45" s="532" t="s">
        <v>521</v>
      </c>
      <c r="B45" s="532"/>
      <c r="C45" s="532"/>
      <c r="D45" s="532"/>
      <c r="E45" s="532"/>
      <c r="F45" s="532"/>
      <c r="G45" s="532"/>
      <c r="H45" s="532"/>
      <c r="I45" s="532"/>
      <c r="J45" s="532"/>
      <c r="K45" s="533"/>
      <c r="L45" s="533"/>
    </row>
    <row r="46" spans="1:12" x14ac:dyDescent="0.25">
      <c r="A46" s="2108" t="s">
        <v>925</v>
      </c>
      <c r="B46" s="2108"/>
      <c r="C46" s="2108"/>
      <c r="D46" s="2108"/>
      <c r="E46" s="2108"/>
      <c r="F46" s="2108"/>
      <c r="G46" s="2108"/>
      <c r="H46" s="2108"/>
      <c r="I46" s="2108"/>
      <c r="J46" s="532"/>
      <c r="K46" s="533"/>
      <c r="L46" s="533"/>
    </row>
    <row r="47" spans="1:12" x14ac:dyDescent="0.25">
      <c r="A47" s="532" t="s">
        <v>1499</v>
      </c>
      <c r="B47" s="533"/>
      <c r="C47" s="533"/>
      <c r="D47" s="533"/>
      <c r="E47" s="533"/>
      <c r="F47" s="533"/>
      <c r="G47" s="533"/>
      <c r="H47" s="533"/>
      <c r="I47" s="533"/>
      <c r="J47" s="532"/>
      <c r="K47" s="533"/>
      <c r="L47" s="533"/>
    </row>
    <row r="48" spans="1:12" x14ac:dyDescent="0.25">
      <c r="A48" s="532"/>
      <c r="B48" s="532"/>
      <c r="C48" s="532"/>
      <c r="D48" s="532"/>
      <c r="E48" s="532"/>
      <c r="F48" s="532"/>
      <c r="G48" s="532"/>
      <c r="H48" s="532"/>
      <c r="I48" s="532"/>
      <c r="J48" s="532"/>
      <c r="K48" s="533"/>
      <c r="L48" s="533"/>
    </row>
    <row r="49" spans="1:12" x14ac:dyDescent="0.25">
      <c r="A49" s="532"/>
      <c r="B49" s="532"/>
      <c r="C49" s="532"/>
      <c r="D49" s="532"/>
      <c r="E49" s="532"/>
      <c r="F49" s="532"/>
      <c r="G49" s="532"/>
      <c r="H49" s="532"/>
      <c r="I49" s="532"/>
      <c r="J49" s="532"/>
      <c r="K49" s="533"/>
      <c r="L49" s="533"/>
    </row>
    <row r="50" spans="1:12" x14ac:dyDescent="0.25">
      <c r="A50" s="532"/>
      <c r="B50" s="532"/>
      <c r="C50" s="532"/>
      <c r="D50" s="532"/>
      <c r="E50" s="532"/>
      <c r="F50" s="532"/>
      <c r="G50" s="532"/>
      <c r="H50" s="532"/>
      <c r="I50" s="532"/>
      <c r="J50" s="532"/>
      <c r="K50" s="533"/>
      <c r="L50" s="533"/>
    </row>
    <row r="51" spans="1:12" x14ac:dyDescent="0.25">
      <c r="A51" s="532"/>
      <c r="B51" s="532"/>
      <c r="C51" s="532"/>
      <c r="D51" s="532"/>
      <c r="E51" s="532"/>
      <c r="F51" s="532"/>
      <c r="G51" s="532"/>
      <c r="H51" s="532"/>
      <c r="I51" s="532"/>
      <c r="J51" s="532"/>
      <c r="K51" s="533"/>
      <c r="L51" s="533"/>
    </row>
    <row r="52" spans="1:12" x14ac:dyDescent="0.25">
      <c r="A52" s="532"/>
      <c r="B52" s="532"/>
      <c r="C52" s="532"/>
      <c r="D52" s="532"/>
      <c r="E52" s="532"/>
      <c r="F52" s="532"/>
      <c r="G52" s="532"/>
      <c r="H52" s="532"/>
      <c r="I52" s="532"/>
      <c r="J52" s="532"/>
      <c r="K52" s="533"/>
      <c r="L52" s="533"/>
    </row>
    <row r="53" spans="1:12" x14ac:dyDescent="0.25">
      <c r="A53" s="532"/>
      <c r="B53" s="532"/>
      <c r="C53" s="532"/>
      <c r="D53" s="532"/>
      <c r="E53" s="532"/>
      <c r="F53" s="532"/>
      <c r="G53" s="532"/>
      <c r="H53" s="532"/>
      <c r="I53" s="532"/>
      <c r="J53" s="532"/>
      <c r="K53" s="533"/>
      <c r="L53" s="533"/>
    </row>
    <row r="54" spans="1:12" x14ac:dyDescent="0.25">
      <c r="A54" s="532"/>
      <c r="B54" s="532"/>
      <c r="C54" s="532"/>
      <c r="D54" s="532"/>
      <c r="E54" s="532"/>
      <c r="F54" s="532"/>
      <c r="G54" s="532"/>
      <c r="H54" s="532"/>
      <c r="I54" s="532"/>
      <c r="J54" s="532"/>
      <c r="K54" s="533"/>
      <c r="L54" s="533"/>
    </row>
    <row r="55" spans="1:12" x14ac:dyDescent="0.25">
      <c r="A55" s="532"/>
      <c r="B55" s="533"/>
      <c r="C55" s="533"/>
      <c r="D55" s="533"/>
      <c r="E55" s="533"/>
      <c r="F55" s="533"/>
      <c r="G55" s="533"/>
      <c r="H55" s="533"/>
      <c r="I55" s="533"/>
      <c r="J55" s="533"/>
      <c r="K55" s="533"/>
      <c r="L55" s="533"/>
    </row>
  </sheetData>
  <mergeCells count="12">
    <mergeCell ref="A46:I46"/>
    <mergeCell ref="A42:K42"/>
    <mergeCell ref="B32:G32"/>
    <mergeCell ref="B26:G27"/>
    <mergeCell ref="B21:G21"/>
    <mergeCell ref="H38:I39"/>
    <mergeCell ref="J38:J39"/>
    <mergeCell ref="A9:J9"/>
    <mergeCell ref="A10:J10"/>
    <mergeCell ref="A11:J11"/>
    <mergeCell ref="A15:J15"/>
    <mergeCell ref="A13:J13"/>
  </mergeCells>
  <dataValidations disablePrompts="1" count="1">
    <dataValidation allowBlank="1" showInputMessage="1" showErrorMessage="1" promptTitle="Date Format" prompt="E.g:  &quot;August 1, 2011&quot;" sqref="WVN983044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dataValidations>
  <pageMargins left="0.7" right="0.7" top="0.75" bottom="0.75" header="0.3" footer="0.3"/>
  <pageSetup scale="58" orientation="portrait" verticalDpi="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M55"/>
  <sheetViews>
    <sheetView showGridLines="0" zoomScaleNormal="100" workbookViewId="0"/>
  </sheetViews>
  <sheetFormatPr defaultRowHeight="15" x14ac:dyDescent="0.25"/>
  <cols>
    <col min="1" max="1" width="51.7109375" style="530" customWidth="1"/>
    <col min="2" max="3" width="9.140625" style="530"/>
    <col min="4" max="4" width="10.28515625" style="530" bestFit="1" customWidth="1"/>
    <col min="5" max="5" width="10.28515625" style="530" customWidth="1"/>
    <col min="6" max="6" width="14" style="530" bestFit="1" customWidth="1"/>
    <col min="7" max="7" width="12.7109375" style="530" customWidth="1"/>
    <col min="8" max="8" width="10.28515625" style="530" bestFit="1" customWidth="1"/>
    <col min="9" max="9" width="13.7109375" style="530" customWidth="1"/>
    <col min="10" max="10" width="11" style="530" bestFit="1" customWidth="1"/>
    <col min="11" max="11" width="9.28515625" style="530" bestFit="1" customWidth="1"/>
    <col min="12" max="257" width="9.140625" style="530"/>
    <col min="258" max="258" width="51.7109375" style="530" customWidth="1"/>
    <col min="259" max="264" width="9.140625" style="530"/>
    <col min="265" max="265" width="11.28515625" style="530" customWidth="1"/>
    <col min="266" max="513" width="9.140625" style="530"/>
    <col min="514" max="514" width="51.7109375" style="530" customWidth="1"/>
    <col min="515" max="520" width="9.140625" style="530"/>
    <col min="521" max="521" width="11.28515625" style="530" customWidth="1"/>
    <col min="522" max="769" width="9.140625" style="530"/>
    <col min="770" max="770" width="51.7109375" style="530" customWidth="1"/>
    <col min="771" max="776" width="9.140625" style="530"/>
    <col min="777" max="777" width="11.28515625" style="530" customWidth="1"/>
    <col min="778" max="1025" width="9.140625" style="530"/>
    <col min="1026" max="1026" width="51.7109375" style="530" customWidth="1"/>
    <col min="1027" max="1032" width="9.140625" style="530"/>
    <col min="1033" max="1033" width="11.28515625" style="530" customWidth="1"/>
    <col min="1034" max="1281" width="9.140625" style="530"/>
    <col min="1282" max="1282" width="51.7109375" style="530" customWidth="1"/>
    <col min="1283" max="1288" width="9.140625" style="530"/>
    <col min="1289" max="1289" width="11.28515625" style="530" customWidth="1"/>
    <col min="1290" max="1537" width="9.140625" style="530"/>
    <col min="1538" max="1538" width="51.7109375" style="530" customWidth="1"/>
    <col min="1539" max="1544" width="9.140625" style="530"/>
    <col min="1545" max="1545" width="11.28515625" style="530" customWidth="1"/>
    <col min="1546" max="1793" width="9.140625" style="530"/>
    <col min="1794" max="1794" width="51.7109375" style="530" customWidth="1"/>
    <col min="1795" max="1800" width="9.140625" style="530"/>
    <col min="1801" max="1801" width="11.28515625" style="530" customWidth="1"/>
    <col min="1802" max="2049" width="9.140625" style="530"/>
    <col min="2050" max="2050" width="51.7109375" style="530" customWidth="1"/>
    <col min="2051" max="2056" width="9.140625" style="530"/>
    <col min="2057" max="2057" width="11.28515625" style="530" customWidth="1"/>
    <col min="2058" max="2305" width="9.140625" style="530"/>
    <col min="2306" max="2306" width="51.7109375" style="530" customWidth="1"/>
    <col min="2307" max="2312" width="9.140625" style="530"/>
    <col min="2313" max="2313" width="11.28515625" style="530" customWidth="1"/>
    <col min="2314" max="2561" width="9.140625" style="530"/>
    <col min="2562" max="2562" width="51.7109375" style="530" customWidth="1"/>
    <col min="2563" max="2568" width="9.140625" style="530"/>
    <col min="2569" max="2569" width="11.28515625" style="530" customWidth="1"/>
    <col min="2570" max="2817" width="9.140625" style="530"/>
    <col min="2818" max="2818" width="51.7109375" style="530" customWidth="1"/>
    <col min="2819" max="2824" width="9.140625" style="530"/>
    <col min="2825" max="2825" width="11.28515625" style="530" customWidth="1"/>
    <col min="2826" max="3073" width="9.140625" style="530"/>
    <col min="3074" max="3074" width="51.7109375" style="530" customWidth="1"/>
    <col min="3075" max="3080" width="9.140625" style="530"/>
    <col min="3081" max="3081" width="11.28515625" style="530" customWidth="1"/>
    <col min="3082" max="3329" width="9.140625" style="530"/>
    <col min="3330" max="3330" width="51.7109375" style="530" customWidth="1"/>
    <col min="3331" max="3336" width="9.140625" style="530"/>
    <col min="3337" max="3337" width="11.28515625" style="530" customWidth="1"/>
    <col min="3338" max="3585" width="9.140625" style="530"/>
    <col min="3586" max="3586" width="51.7109375" style="530" customWidth="1"/>
    <col min="3587" max="3592" width="9.140625" style="530"/>
    <col min="3593" max="3593" width="11.28515625" style="530" customWidth="1"/>
    <col min="3594" max="3841" width="9.140625" style="530"/>
    <col min="3842" max="3842" width="51.7109375" style="530" customWidth="1"/>
    <col min="3843" max="3848" width="9.140625" style="530"/>
    <col min="3849" max="3849" width="11.28515625" style="530" customWidth="1"/>
    <col min="3850" max="4097" width="9.140625" style="530"/>
    <col min="4098" max="4098" width="51.7109375" style="530" customWidth="1"/>
    <col min="4099" max="4104" width="9.140625" style="530"/>
    <col min="4105" max="4105" width="11.28515625" style="530" customWidth="1"/>
    <col min="4106" max="4353" width="9.140625" style="530"/>
    <col min="4354" max="4354" width="51.7109375" style="530" customWidth="1"/>
    <col min="4355" max="4360" width="9.140625" style="530"/>
    <col min="4361" max="4361" width="11.28515625" style="530" customWidth="1"/>
    <col min="4362" max="4609" width="9.140625" style="530"/>
    <col min="4610" max="4610" width="51.7109375" style="530" customWidth="1"/>
    <col min="4611" max="4616" width="9.140625" style="530"/>
    <col min="4617" max="4617" width="11.28515625" style="530" customWidth="1"/>
    <col min="4618" max="4865" width="9.140625" style="530"/>
    <col min="4866" max="4866" width="51.7109375" style="530" customWidth="1"/>
    <col min="4867" max="4872" width="9.140625" style="530"/>
    <col min="4873" max="4873" width="11.28515625" style="530" customWidth="1"/>
    <col min="4874" max="5121" width="9.140625" style="530"/>
    <col min="5122" max="5122" width="51.7109375" style="530" customWidth="1"/>
    <col min="5123" max="5128" width="9.140625" style="530"/>
    <col min="5129" max="5129" width="11.28515625" style="530" customWidth="1"/>
    <col min="5130" max="5377" width="9.140625" style="530"/>
    <col min="5378" max="5378" width="51.7109375" style="530" customWidth="1"/>
    <col min="5379" max="5384" width="9.140625" style="530"/>
    <col min="5385" max="5385" width="11.28515625" style="530" customWidth="1"/>
    <col min="5386" max="5633" width="9.140625" style="530"/>
    <col min="5634" max="5634" width="51.7109375" style="530" customWidth="1"/>
    <col min="5635" max="5640" width="9.140625" style="530"/>
    <col min="5641" max="5641" width="11.28515625" style="530" customWidth="1"/>
    <col min="5642" max="5889" width="9.140625" style="530"/>
    <col min="5890" max="5890" width="51.7109375" style="530" customWidth="1"/>
    <col min="5891" max="5896" width="9.140625" style="530"/>
    <col min="5897" max="5897" width="11.28515625" style="530" customWidth="1"/>
    <col min="5898" max="6145" width="9.140625" style="530"/>
    <col min="6146" max="6146" width="51.7109375" style="530" customWidth="1"/>
    <col min="6147" max="6152" width="9.140625" style="530"/>
    <col min="6153" max="6153" width="11.28515625" style="530" customWidth="1"/>
    <col min="6154" max="6401" width="9.140625" style="530"/>
    <col min="6402" max="6402" width="51.7109375" style="530" customWidth="1"/>
    <col min="6403" max="6408" width="9.140625" style="530"/>
    <col min="6409" max="6409" width="11.28515625" style="530" customWidth="1"/>
    <col min="6410" max="6657" width="9.140625" style="530"/>
    <col min="6658" max="6658" width="51.7109375" style="530" customWidth="1"/>
    <col min="6659" max="6664" width="9.140625" style="530"/>
    <col min="6665" max="6665" width="11.28515625" style="530" customWidth="1"/>
    <col min="6666" max="6913" width="9.140625" style="530"/>
    <col min="6914" max="6914" width="51.7109375" style="530" customWidth="1"/>
    <col min="6915" max="6920" width="9.140625" style="530"/>
    <col min="6921" max="6921" width="11.28515625" style="530" customWidth="1"/>
    <col min="6922" max="7169" width="9.140625" style="530"/>
    <col min="7170" max="7170" width="51.7109375" style="530" customWidth="1"/>
    <col min="7171" max="7176" width="9.140625" style="530"/>
    <col min="7177" max="7177" width="11.28515625" style="530" customWidth="1"/>
    <col min="7178" max="7425" width="9.140625" style="530"/>
    <col min="7426" max="7426" width="51.7109375" style="530" customWidth="1"/>
    <col min="7427" max="7432" width="9.140625" style="530"/>
    <col min="7433" max="7433" width="11.28515625" style="530" customWidth="1"/>
    <col min="7434" max="7681" width="9.140625" style="530"/>
    <col min="7682" max="7682" width="51.7109375" style="530" customWidth="1"/>
    <col min="7683" max="7688" width="9.140625" style="530"/>
    <col min="7689" max="7689" width="11.28515625" style="530" customWidth="1"/>
    <col min="7690" max="7937" width="9.140625" style="530"/>
    <col min="7938" max="7938" width="51.7109375" style="530" customWidth="1"/>
    <col min="7939" max="7944" width="9.140625" style="530"/>
    <col min="7945" max="7945" width="11.28515625" style="530" customWidth="1"/>
    <col min="7946" max="8193" width="9.140625" style="530"/>
    <col min="8194" max="8194" width="51.7109375" style="530" customWidth="1"/>
    <col min="8195" max="8200" width="9.140625" style="530"/>
    <col min="8201" max="8201" width="11.28515625" style="530" customWidth="1"/>
    <col min="8202" max="8449" width="9.140625" style="530"/>
    <col min="8450" max="8450" width="51.7109375" style="530" customWidth="1"/>
    <col min="8451" max="8456" width="9.140625" style="530"/>
    <col min="8457" max="8457" width="11.28515625" style="530" customWidth="1"/>
    <col min="8458" max="8705" width="9.140625" style="530"/>
    <col min="8706" max="8706" width="51.7109375" style="530" customWidth="1"/>
    <col min="8707" max="8712" width="9.140625" style="530"/>
    <col min="8713" max="8713" width="11.28515625" style="530" customWidth="1"/>
    <col min="8714" max="8961" width="9.140625" style="530"/>
    <col min="8962" max="8962" width="51.7109375" style="530" customWidth="1"/>
    <col min="8963" max="8968" width="9.140625" style="530"/>
    <col min="8969" max="8969" width="11.28515625" style="530" customWidth="1"/>
    <col min="8970" max="9217" width="9.140625" style="530"/>
    <col min="9218" max="9218" width="51.7109375" style="530" customWidth="1"/>
    <col min="9219" max="9224" width="9.140625" style="530"/>
    <col min="9225" max="9225" width="11.28515625" style="530" customWidth="1"/>
    <col min="9226" max="9473" width="9.140625" style="530"/>
    <col min="9474" max="9474" width="51.7109375" style="530" customWidth="1"/>
    <col min="9475" max="9480" width="9.140625" style="530"/>
    <col min="9481" max="9481" width="11.28515625" style="530" customWidth="1"/>
    <col min="9482" max="9729" width="9.140625" style="530"/>
    <col min="9730" max="9730" width="51.7109375" style="530" customWidth="1"/>
    <col min="9731" max="9736" width="9.140625" style="530"/>
    <col min="9737" max="9737" width="11.28515625" style="530" customWidth="1"/>
    <col min="9738" max="9985" width="9.140625" style="530"/>
    <col min="9986" max="9986" width="51.7109375" style="530" customWidth="1"/>
    <col min="9987" max="9992" width="9.140625" style="530"/>
    <col min="9993" max="9993" width="11.28515625" style="530" customWidth="1"/>
    <col min="9994" max="10241" width="9.140625" style="530"/>
    <col min="10242" max="10242" width="51.7109375" style="530" customWidth="1"/>
    <col min="10243" max="10248" width="9.140625" style="530"/>
    <col min="10249" max="10249" width="11.28515625" style="530" customWidth="1"/>
    <col min="10250" max="10497" width="9.140625" style="530"/>
    <col min="10498" max="10498" width="51.7109375" style="530" customWidth="1"/>
    <col min="10499" max="10504" width="9.140625" style="530"/>
    <col min="10505" max="10505" width="11.28515625" style="530" customWidth="1"/>
    <col min="10506" max="10753" width="9.140625" style="530"/>
    <col min="10754" max="10754" width="51.7109375" style="530" customWidth="1"/>
    <col min="10755" max="10760" width="9.140625" style="530"/>
    <col min="10761" max="10761" width="11.28515625" style="530" customWidth="1"/>
    <col min="10762" max="11009" width="9.140625" style="530"/>
    <col min="11010" max="11010" width="51.7109375" style="530" customWidth="1"/>
    <col min="11011" max="11016" width="9.140625" style="530"/>
    <col min="11017" max="11017" width="11.28515625" style="530" customWidth="1"/>
    <col min="11018" max="11265" width="9.140625" style="530"/>
    <col min="11266" max="11266" width="51.7109375" style="530" customWidth="1"/>
    <col min="11267" max="11272" width="9.140625" style="530"/>
    <col min="11273" max="11273" width="11.28515625" style="530" customWidth="1"/>
    <col min="11274" max="11521" width="9.140625" style="530"/>
    <col min="11522" max="11522" width="51.7109375" style="530" customWidth="1"/>
    <col min="11523" max="11528" width="9.140625" style="530"/>
    <col min="11529" max="11529" width="11.28515625" style="530" customWidth="1"/>
    <col min="11530" max="11777" width="9.140625" style="530"/>
    <col min="11778" max="11778" width="51.7109375" style="530" customWidth="1"/>
    <col min="11779" max="11784" width="9.140625" style="530"/>
    <col min="11785" max="11785" width="11.28515625" style="530" customWidth="1"/>
    <col min="11786" max="12033" width="9.140625" style="530"/>
    <col min="12034" max="12034" width="51.7109375" style="530" customWidth="1"/>
    <col min="12035" max="12040" width="9.140625" style="530"/>
    <col min="12041" max="12041" width="11.28515625" style="530" customWidth="1"/>
    <col min="12042" max="12289" width="9.140625" style="530"/>
    <col min="12290" max="12290" width="51.7109375" style="530" customWidth="1"/>
    <col min="12291" max="12296" width="9.140625" style="530"/>
    <col min="12297" max="12297" width="11.28515625" style="530" customWidth="1"/>
    <col min="12298" max="12545" width="9.140625" style="530"/>
    <col min="12546" max="12546" width="51.7109375" style="530" customWidth="1"/>
    <col min="12547" max="12552" width="9.140625" style="530"/>
    <col min="12553" max="12553" width="11.28515625" style="530" customWidth="1"/>
    <col min="12554" max="12801" width="9.140625" style="530"/>
    <col min="12802" max="12802" width="51.7109375" style="530" customWidth="1"/>
    <col min="12803" max="12808" width="9.140625" style="530"/>
    <col min="12809" max="12809" width="11.28515625" style="530" customWidth="1"/>
    <col min="12810" max="13057" width="9.140625" style="530"/>
    <col min="13058" max="13058" width="51.7109375" style="530" customWidth="1"/>
    <col min="13059" max="13064" width="9.140625" style="530"/>
    <col min="13065" max="13065" width="11.28515625" style="530" customWidth="1"/>
    <col min="13066" max="13313" width="9.140625" style="530"/>
    <col min="13314" max="13314" width="51.7109375" style="530" customWidth="1"/>
    <col min="13315" max="13320" width="9.140625" style="530"/>
    <col min="13321" max="13321" width="11.28515625" style="530" customWidth="1"/>
    <col min="13322" max="13569" width="9.140625" style="530"/>
    <col min="13570" max="13570" width="51.7109375" style="530" customWidth="1"/>
    <col min="13571" max="13576" width="9.140625" style="530"/>
    <col min="13577" max="13577" width="11.28515625" style="530" customWidth="1"/>
    <col min="13578" max="13825" width="9.140625" style="530"/>
    <col min="13826" max="13826" width="51.7109375" style="530" customWidth="1"/>
    <col min="13827" max="13832" width="9.140625" style="530"/>
    <col min="13833" max="13833" width="11.28515625" style="530" customWidth="1"/>
    <col min="13834" max="14081" width="9.140625" style="530"/>
    <col min="14082" max="14082" width="51.7109375" style="530" customWidth="1"/>
    <col min="14083" max="14088" width="9.140625" style="530"/>
    <col min="14089" max="14089" width="11.28515625" style="530" customWidth="1"/>
    <col min="14090" max="14337" width="9.140625" style="530"/>
    <col min="14338" max="14338" width="51.7109375" style="530" customWidth="1"/>
    <col min="14339" max="14344" width="9.140625" style="530"/>
    <col min="14345" max="14345" width="11.28515625" style="530" customWidth="1"/>
    <col min="14346" max="14593" width="9.140625" style="530"/>
    <col min="14594" max="14594" width="51.7109375" style="530" customWidth="1"/>
    <col min="14595" max="14600" width="9.140625" style="530"/>
    <col min="14601" max="14601" width="11.28515625" style="530" customWidth="1"/>
    <col min="14602" max="14849" width="9.140625" style="530"/>
    <col min="14850" max="14850" width="51.7109375" style="530" customWidth="1"/>
    <col min="14851" max="14856" width="9.140625" style="530"/>
    <col min="14857" max="14857" width="11.28515625" style="530" customWidth="1"/>
    <col min="14858" max="15105" width="9.140625" style="530"/>
    <col min="15106" max="15106" width="51.7109375" style="530" customWidth="1"/>
    <col min="15107" max="15112" width="9.140625" style="530"/>
    <col min="15113" max="15113" width="11.28515625" style="530" customWidth="1"/>
    <col min="15114" max="15361" width="9.140625" style="530"/>
    <col min="15362" max="15362" width="51.7109375" style="530" customWidth="1"/>
    <col min="15363" max="15368" width="9.140625" style="530"/>
    <col min="15369" max="15369" width="11.28515625" style="530" customWidth="1"/>
    <col min="15370" max="15617" width="9.140625" style="530"/>
    <col min="15618" max="15618" width="51.7109375" style="530" customWidth="1"/>
    <col min="15619" max="15624" width="9.140625" style="530"/>
    <col min="15625" max="15625" width="11.28515625" style="530" customWidth="1"/>
    <col min="15626" max="15873" width="9.140625" style="530"/>
    <col min="15874" max="15874" width="51.7109375" style="530" customWidth="1"/>
    <col min="15875" max="15880" width="9.140625" style="530"/>
    <col min="15881" max="15881" width="11.28515625" style="530" customWidth="1"/>
    <col min="15882" max="16129" width="9.140625" style="530"/>
    <col min="16130" max="16130" width="51.7109375" style="530" customWidth="1"/>
    <col min="16131" max="16136" width="9.140625" style="530"/>
    <col min="16137" max="16137" width="11.28515625" style="530" customWidth="1"/>
    <col min="16138" max="16384" width="9.140625" style="530"/>
  </cols>
  <sheetData>
    <row r="1" spans="1:13" x14ac:dyDescent="0.25">
      <c r="A1" s="140"/>
      <c r="B1" s="337"/>
      <c r="C1" s="337"/>
      <c r="D1" s="337"/>
      <c r="E1" s="337"/>
      <c r="F1" s="337"/>
      <c r="G1" s="337"/>
      <c r="H1" s="140"/>
      <c r="I1" s="334" t="s">
        <v>394</v>
      </c>
      <c r="J1" s="1513" t="str">
        <f>EBNUMBER</f>
        <v>EB-2015-0089</v>
      </c>
    </row>
    <row r="2" spans="1:13" x14ac:dyDescent="0.25">
      <c r="A2" s="140"/>
      <c r="B2" s="337"/>
      <c r="C2" s="337"/>
      <c r="D2" s="337"/>
      <c r="E2" s="337"/>
      <c r="F2" s="337"/>
      <c r="G2" s="337"/>
      <c r="H2" s="140"/>
      <c r="I2" s="334" t="s">
        <v>395</v>
      </c>
      <c r="J2" s="136">
        <v>9</v>
      </c>
    </row>
    <row r="3" spans="1:13" x14ac:dyDescent="0.25">
      <c r="A3" s="140"/>
      <c r="B3" s="337"/>
      <c r="C3" s="337"/>
      <c r="D3" s="337"/>
      <c r="E3" s="337"/>
      <c r="F3" s="337"/>
      <c r="G3" s="337"/>
      <c r="H3" s="140"/>
      <c r="I3" s="334" t="s">
        <v>396</v>
      </c>
      <c r="J3" s="136" t="s">
        <v>2458</v>
      </c>
    </row>
    <row r="4" spans="1:13" x14ac:dyDescent="0.25">
      <c r="A4" s="140"/>
      <c r="B4" s="337"/>
      <c r="C4" s="337"/>
      <c r="D4" s="337"/>
      <c r="E4" s="337"/>
      <c r="F4" s="337"/>
      <c r="G4" s="337"/>
      <c r="H4" s="140"/>
      <c r="I4" s="334" t="s">
        <v>397</v>
      </c>
      <c r="J4" s="136" t="s">
        <v>2427</v>
      </c>
    </row>
    <row r="5" spans="1:13" x14ac:dyDescent="0.25">
      <c r="A5" s="140"/>
      <c r="B5" s="337"/>
      <c r="C5" s="337"/>
      <c r="D5" s="337"/>
      <c r="E5" s="337"/>
      <c r="F5" s="337"/>
      <c r="G5" s="337"/>
      <c r="H5" s="140"/>
      <c r="I5" s="334" t="s">
        <v>398</v>
      </c>
      <c r="J5" s="1514">
        <v>21</v>
      </c>
    </row>
    <row r="6" spans="1:13" x14ac:dyDescent="0.25">
      <c r="A6" s="140"/>
      <c r="B6" s="337"/>
      <c r="C6" s="337"/>
      <c r="D6" s="337"/>
      <c r="E6" s="337"/>
      <c r="F6" s="337"/>
      <c r="G6" s="337"/>
      <c r="H6" s="140"/>
      <c r="I6" s="334"/>
      <c r="J6" s="1513"/>
    </row>
    <row r="7" spans="1:13" x14ac:dyDescent="0.25">
      <c r="A7" s="140"/>
      <c r="B7" s="337"/>
      <c r="C7" s="337"/>
      <c r="D7" s="337"/>
      <c r="E7" s="337"/>
      <c r="F7" s="337"/>
      <c r="G7" s="337"/>
      <c r="H7" s="140"/>
      <c r="I7" s="334" t="s">
        <v>399</v>
      </c>
      <c r="J7" s="1838" t="s">
        <v>2459</v>
      </c>
    </row>
    <row r="8" spans="1:13" x14ac:dyDescent="0.25">
      <c r="A8" s="140"/>
      <c r="B8" s="140"/>
      <c r="C8" s="140"/>
      <c r="D8" s="140"/>
      <c r="E8" s="140"/>
      <c r="F8" s="140"/>
      <c r="G8" s="140"/>
      <c r="H8" s="140"/>
      <c r="I8" s="140"/>
      <c r="J8" s="140"/>
    </row>
    <row r="9" spans="1:13" ht="18" x14ac:dyDescent="0.25">
      <c r="A9" s="1979" t="s">
        <v>2443</v>
      </c>
      <c r="B9" s="2104"/>
      <c r="C9" s="2104"/>
      <c r="D9" s="2104"/>
      <c r="E9" s="2104"/>
      <c r="F9" s="2104"/>
      <c r="G9" s="2104"/>
      <c r="H9" s="2104"/>
      <c r="I9" s="2104"/>
      <c r="J9" s="2104"/>
    </row>
    <row r="10" spans="1:13" ht="18" x14ac:dyDescent="0.25">
      <c r="A10" s="1979" t="s">
        <v>669</v>
      </c>
      <c r="B10" s="2105"/>
      <c r="C10" s="2105"/>
      <c r="D10" s="2105"/>
      <c r="E10" s="2105"/>
      <c r="F10" s="2105"/>
      <c r="G10" s="2105"/>
      <c r="H10" s="2105"/>
      <c r="I10" s="2105"/>
      <c r="J10" s="2105"/>
    </row>
    <row r="11" spans="1:13" ht="18" x14ac:dyDescent="0.25">
      <c r="A11" s="1979" t="s">
        <v>674</v>
      </c>
      <c r="B11" s="2105"/>
      <c r="C11" s="2105"/>
      <c r="D11" s="2105"/>
      <c r="E11" s="2105"/>
      <c r="F11" s="2105"/>
      <c r="G11" s="2105"/>
      <c r="H11" s="2105"/>
      <c r="I11" s="2105"/>
      <c r="J11" s="2105"/>
    </row>
    <row r="12" spans="1:13" x14ac:dyDescent="0.25">
      <c r="A12" s="140"/>
      <c r="B12" s="140"/>
      <c r="C12" s="140"/>
      <c r="D12" s="140"/>
      <c r="E12" s="140"/>
      <c r="F12" s="140"/>
      <c r="G12" s="140"/>
      <c r="H12" s="140"/>
      <c r="I12" s="140"/>
      <c r="J12" s="140"/>
    </row>
    <row r="13" spans="1:13" s="531" customFormat="1" x14ac:dyDescent="0.25">
      <c r="A13" s="2118" t="s">
        <v>1639</v>
      </c>
      <c r="B13" s="2118"/>
      <c r="C13" s="2118"/>
      <c r="D13" s="2118"/>
      <c r="E13" s="2118"/>
      <c r="F13" s="2118"/>
      <c r="G13" s="2118"/>
      <c r="H13" s="2118"/>
      <c r="I13" s="2118"/>
      <c r="J13" s="2118"/>
      <c r="K13" s="496"/>
      <c r="L13" s="496"/>
      <c r="M13" s="496"/>
    </row>
    <row r="14" spans="1:13" x14ac:dyDescent="0.25">
      <c r="A14" s="532"/>
      <c r="B14" s="532"/>
      <c r="C14" s="532"/>
      <c r="D14" s="532"/>
      <c r="E14" s="532"/>
      <c r="F14" s="532"/>
      <c r="G14" s="532"/>
      <c r="H14" s="532"/>
      <c r="I14" s="532"/>
      <c r="J14" s="532"/>
      <c r="K14" s="533"/>
      <c r="L14" s="533"/>
    </row>
    <row r="15" spans="1:13" x14ac:dyDescent="0.25">
      <c r="A15" s="2106"/>
      <c r="B15" s="2106"/>
      <c r="C15" s="2106"/>
      <c r="D15" s="2106"/>
      <c r="E15" s="2106"/>
      <c r="F15" s="2106"/>
      <c r="G15" s="2106"/>
      <c r="H15" s="2106"/>
      <c r="I15" s="2106"/>
      <c r="J15" s="2106"/>
      <c r="K15" s="533"/>
      <c r="L15" s="533"/>
    </row>
    <row r="16" spans="1:13" x14ac:dyDescent="0.25">
      <c r="A16" s="532"/>
      <c r="B16" s="532"/>
      <c r="C16" s="532"/>
      <c r="D16" s="532"/>
      <c r="E16" s="532"/>
      <c r="F16" s="532"/>
      <c r="G16" s="532"/>
      <c r="H16" s="532"/>
      <c r="I16" s="532"/>
      <c r="J16" s="532"/>
      <c r="K16" s="533"/>
      <c r="L16" s="533"/>
    </row>
    <row r="17" spans="1:8" ht="39" x14ac:dyDescent="0.25">
      <c r="A17" s="532"/>
      <c r="B17" s="534" t="str">
        <f>RebaseYear &amp;" Rebasing Year"</f>
        <v>2011 Rebasing Year</v>
      </c>
      <c r="C17" s="534">
        <v>2012</v>
      </c>
      <c r="D17" s="534">
        <v>2013</v>
      </c>
      <c r="E17" s="534">
        <v>2014</v>
      </c>
      <c r="F17" s="534">
        <v>2015</v>
      </c>
      <c r="G17" s="534" t="s">
        <v>1797</v>
      </c>
      <c r="H17" s="533"/>
    </row>
    <row r="18" spans="1:8" x14ac:dyDescent="0.25">
      <c r="A18" s="535" t="s">
        <v>150</v>
      </c>
      <c r="B18" s="536" t="s">
        <v>151</v>
      </c>
      <c r="C18" s="536" t="s">
        <v>151</v>
      </c>
      <c r="D18" s="536" t="s">
        <v>151</v>
      </c>
      <c r="E18" s="536" t="s">
        <v>151</v>
      </c>
      <c r="F18" s="536" t="s">
        <v>152</v>
      </c>
      <c r="G18" s="537" t="s">
        <v>152</v>
      </c>
      <c r="H18" s="533"/>
    </row>
    <row r="19" spans="1:8" x14ac:dyDescent="0.25">
      <c r="A19" s="535"/>
      <c r="B19" s="536" t="s">
        <v>130</v>
      </c>
      <c r="C19" s="536" t="s">
        <v>513</v>
      </c>
      <c r="D19" s="536" t="s">
        <v>513</v>
      </c>
      <c r="E19" s="536" t="s">
        <v>513</v>
      </c>
      <c r="F19" s="536" t="s">
        <v>130</v>
      </c>
      <c r="G19" s="536" t="s">
        <v>130</v>
      </c>
      <c r="H19" s="533"/>
    </row>
    <row r="20" spans="1:8" x14ac:dyDescent="0.25">
      <c r="A20" s="532"/>
      <c r="B20" s="2101"/>
      <c r="C20" s="2103"/>
      <c r="D20" s="539" t="s">
        <v>217</v>
      </c>
      <c r="E20" s="539" t="s">
        <v>217</v>
      </c>
      <c r="F20" s="539" t="s">
        <v>217</v>
      </c>
      <c r="G20" s="539"/>
      <c r="H20" s="533"/>
    </row>
    <row r="21" spans="1:8" x14ac:dyDescent="0.25">
      <c r="A21" s="535" t="s">
        <v>671</v>
      </c>
      <c r="B21" s="2101"/>
      <c r="C21" s="2102"/>
      <c r="D21" s="2102"/>
      <c r="E21" s="2102"/>
      <c r="F21" s="2102"/>
      <c r="G21" s="2103"/>
      <c r="H21" s="533"/>
    </row>
    <row r="22" spans="1:8" x14ac:dyDescent="0.25">
      <c r="A22" s="538" t="s">
        <v>515</v>
      </c>
      <c r="B22" s="566"/>
      <c r="C22" s="566"/>
      <c r="D22" s="542">
        <v>55246448</v>
      </c>
      <c r="E22" s="545">
        <f>+D25</f>
        <v>57796168</v>
      </c>
      <c r="F22" s="545">
        <f>+E25</f>
        <v>65024347</v>
      </c>
      <c r="G22" s="540"/>
      <c r="H22" s="533"/>
    </row>
    <row r="23" spans="1:8" x14ac:dyDescent="0.25">
      <c r="A23" s="538" t="s">
        <v>914</v>
      </c>
      <c r="B23" s="566"/>
      <c r="C23" s="566"/>
      <c r="D23" s="542">
        <v>6628697</v>
      </c>
      <c r="E23" s="542">
        <v>11620435</v>
      </c>
      <c r="F23" s="1845">
        <v>15030555</v>
      </c>
      <c r="G23" s="540"/>
      <c r="H23" s="533"/>
    </row>
    <row r="24" spans="1:8" x14ac:dyDescent="0.25">
      <c r="A24" s="538" t="s">
        <v>915</v>
      </c>
      <c r="B24" s="566"/>
      <c r="C24" s="566"/>
      <c r="D24" s="542">
        <v>-4078977</v>
      </c>
      <c r="E24" s="542">
        <v>-4392256</v>
      </c>
      <c r="F24" s="542">
        <v>-4763095</v>
      </c>
      <c r="G24" s="540"/>
      <c r="H24" s="533"/>
    </row>
    <row r="25" spans="1:8" x14ac:dyDescent="0.25">
      <c r="A25" s="544" t="s">
        <v>516</v>
      </c>
      <c r="B25" s="566"/>
      <c r="C25" s="566"/>
      <c r="D25" s="545">
        <f>D22+D23+D24</f>
        <v>57796168</v>
      </c>
      <c r="E25" s="545">
        <f>E22+E23+E24</f>
        <v>65024347</v>
      </c>
      <c r="F25" s="545">
        <f>F22+F23+F24</f>
        <v>75291807</v>
      </c>
      <c r="G25" s="540"/>
      <c r="H25" s="533"/>
    </row>
    <row r="26" spans="1:8" x14ac:dyDescent="0.25">
      <c r="A26" s="532"/>
      <c r="B26" s="2109"/>
      <c r="C26" s="2110"/>
      <c r="D26" s="2110"/>
      <c r="E26" s="2110"/>
      <c r="F26" s="2110"/>
      <c r="G26" s="2111"/>
      <c r="H26" s="533"/>
    </row>
    <row r="27" spans="1:8" x14ac:dyDescent="0.25">
      <c r="A27" s="546" t="s">
        <v>672</v>
      </c>
      <c r="B27" s="2112"/>
      <c r="C27" s="2113"/>
      <c r="D27" s="2113"/>
      <c r="E27" s="2113"/>
      <c r="F27" s="2113"/>
      <c r="G27" s="2114"/>
      <c r="H27" s="533"/>
    </row>
    <row r="28" spans="1:8" x14ac:dyDescent="0.25">
      <c r="A28" s="538" t="s">
        <v>517</v>
      </c>
      <c r="B28" s="540"/>
      <c r="C28" s="540"/>
      <c r="D28" s="547">
        <v>55246448</v>
      </c>
      <c r="E28" s="545">
        <f>+D31</f>
        <v>58229944</v>
      </c>
      <c r="F28" s="545">
        <f>+E31</f>
        <v>65994853</v>
      </c>
      <c r="G28" s="540"/>
      <c r="H28" s="533"/>
    </row>
    <row r="29" spans="1:8" x14ac:dyDescent="0.25">
      <c r="A29" s="538" t="s">
        <v>914</v>
      </c>
      <c r="B29" s="540"/>
      <c r="C29" s="540"/>
      <c r="D29" s="547">
        <v>5355565</v>
      </c>
      <c r="E29" s="547">
        <v>10358930</v>
      </c>
      <c r="F29" s="1846">
        <v>13809085</v>
      </c>
      <c r="G29" s="540"/>
      <c r="H29" s="533"/>
    </row>
    <row r="30" spans="1:8" x14ac:dyDescent="0.25">
      <c r="A30" s="538" t="s">
        <v>915</v>
      </c>
      <c r="B30" s="540"/>
      <c r="C30" s="540"/>
      <c r="D30" s="547">
        <v>-2372069</v>
      </c>
      <c r="E30" s="547">
        <v>-2594021</v>
      </c>
      <c r="F30" s="547">
        <v>-2956296</v>
      </c>
      <c r="G30" s="540"/>
      <c r="H30" s="533"/>
    </row>
    <row r="31" spans="1:8" x14ac:dyDescent="0.25">
      <c r="A31" s="544" t="s">
        <v>518</v>
      </c>
      <c r="B31" s="540"/>
      <c r="C31" s="540"/>
      <c r="D31" s="545">
        <f>SUM(D28:D30)</f>
        <v>58229944</v>
      </c>
      <c r="E31" s="545">
        <f>SUM(E28:E30)</f>
        <v>65994853</v>
      </c>
      <c r="F31" s="545">
        <f>SUM(F28:F30)</f>
        <v>76847642</v>
      </c>
      <c r="G31" s="540"/>
      <c r="H31" s="533"/>
    </row>
    <row r="32" spans="1:8" x14ac:dyDescent="0.25">
      <c r="A32" s="532"/>
      <c r="B32" s="2101"/>
      <c r="C32" s="2102"/>
      <c r="D32" s="2102"/>
      <c r="E32" s="2102"/>
      <c r="F32" s="2102"/>
      <c r="G32" s="2103"/>
      <c r="H32" s="533"/>
    </row>
    <row r="33" spans="1:12" ht="26.25" x14ac:dyDescent="0.25">
      <c r="A33" s="548" t="s">
        <v>921</v>
      </c>
      <c r="B33" s="540"/>
      <c r="C33" s="540"/>
      <c r="D33" s="550">
        <f>D25-D31</f>
        <v>-433776</v>
      </c>
      <c r="E33" s="550">
        <f>E25-E31</f>
        <v>-970506</v>
      </c>
      <c r="F33" s="550">
        <f>F25-F31</f>
        <v>-1555835</v>
      </c>
      <c r="G33" s="540"/>
      <c r="H33" s="533"/>
    </row>
    <row r="34" spans="1:12" x14ac:dyDescent="0.25">
      <c r="A34" s="535"/>
      <c r="B34" s="532"/>
      <c r="C34" s="532"/>
      <c r="D34" s="551"/>
      <c r="E34" s="551"/>
      <c r="F34" s="551"/>
      <c r="G34" s="551"/>
      <c r="H34" s="551"/>
      <c r="I34" s="551"/>
      <c r="J34" s="532"/>
      <c r="K34" s="533"/>
      <c r="L34" s="533"/>
    </row>
    <row r="35" spans="1:12" x14ac:dyDescent="0.25">
      <c r="A35" s="535"/>
      <c r="B35" s="532"/>
      <c r="C35" s="532"/>
      <c r="D35" s="551"/>
      <c r="E35" s="551"/>
      <c r="F35" s="551"/>
      <c r="G35" s="551"/>
      <c r="H35" s="551"/>
      <c r="I35" s="551"/>
      <c r="J35" s="532"/>
      <c r="K35" s="533"/>
      <c r="L35" s="533"/>
    </row>
    <row r="36" spans="1:12" x14ac:dyDescent="0.25">
      <c r="A36" s="535" t="s">
        <v>916</v>
      </c>
      <c r="B36" s="532"/>
      <c r="C36" s="532"/>
      <c r="D36" s="551"/>
      <c r="E36" s="551"/>
      <c r="F36" s="551"/>
      <c r="G36" s="551"/>
      <c r="H36" s="551"/>
      <c r="I36" s="551"/>
      <c r="J36" s="532"/>
      <c r="K36" s="533"/>
      <c r="L36" s="533"/>
    </row>
    <row r="37" spans="1:12" s="557" customFormat="1" x14ac:dyDescent="0.25">
      <c r="A37" s="552" t="s">
        <v>922</v>
      </c>
      <c r="B37" s="553"/>
      <c r="C37" s="553"/>
      <c r="D37" s="553"/>
      <c r="E37" s="553"/>
      <c r="F37" s="553"/>
      <c r="G37" s="554">
        <f>IF(ISERROR(F33), 0, F33)</f>
        <v>-1555835</v>
      </c>
      <c r="H37" s="532"/>
      <c r="I37" s="555" t="s">
        <v>520</v>
      </c>
      <c r="J37" s="556">
        <f>+'[14]Return on Capital'!$BX$39</f>
        <v>5.9830284059361818E-2</v>
      </c>
      <c r="K37" s="533"/>
      <c r="L37" s="533"/>
    </row>
    <row r="38" spans="1:12" s="557" customFormat="1" ht="26.25" x14ac:dyDescent="0.25">
      <c r="A38" s="552" t="s">
        <v>923</v>
      </c>
      <c r="B38" s="553"/>
      <c r="C38" s="553"/>
      <c r="D38" s="553"/>
      <c r="E38" s="553"/>
      <c r="F38" s="553"/>
      <c r="G38" s="554">
        <f>F33*J37*J38</f>
        <v>-93086.049999497191</v>
      </c>
      <c r="H38" s="2115" t="s">
        <v>917</v>
      </c>
      <c r="I38" s="2115"/>
      <c r="J38" s="2116">
        <v>1</v>
      </c>
      <c r="K38" s="558"/>
      <c r="L38" s="533"/>
    </row>
    <row r="39" spans="1:12" x14ac:dyDescent="0.25">
      <c r="A39" s="559" t="s">
        <v>918</v>
      </c>
      <c r="B39" s="560"/>
      <c r="C39" s="560"/>
      <c r="D39" s="560"/>
      <c r="E39" s="560"/>
      <c r="F39" s="560"/>
      <c r="G39" s="561">
        <f>G37+G38</f>
        <v>-1648921.0499994971</v>
      </c>
      <c r="H39" s="2115"/>
      <c r="I39" s="2115"/>
      <c r="J39" s="2117"/>
      <c r="K39" s="533"/>
      <c r="L39" s="533"/>
    </row>
    <row r="40" spans="1:12" x14ac:dyDescent="0.25">
      <c r="A40" s="535"/>
      <c r="B40" s="532"/>
      <c r="C40" s="532"/>
      <c r="D40" s="532"/>
      <c r="E40" s="532"/>
      <c r="F40" s="532"/>
      <c r="G40" s="568"/>
      <c r="H40" s="532"/>
      <c r="I40" s="532"/>
      <c r="J40" s="532"/>
      <c r="K40" s="533"/>
      <c r="L40" s="533"/>
    </row>
    <row r="41" spans="1:12" x14ac:dyDescent="0.25">
      <c r="A41" s="535" t="s">
        <v>13</v>
      </c>
      <c r="B41" s="532"/>
      <c r="C41" s="532"/>
      <c r="D41" s="532"/>
      <c r="E41" s="532"/>
      <c r="F41" s="532"/>
      <c r="G41" s="532"/>
      <c r="H41" s="532"/>
      <c r="I41" s="532"/>
      <c r="J41" s="532"/>
      <c r="K41" s="533"/>
      <c r="L41" s="533"/>
    </row>
    <row r="42" spans="1:12" ht="27.75" customHeight="1" x14ac:dyDescent="0.25">
      <c r="A42" s="2119" t="s">
        <v>675</v>
      </c>
      <c r="B42" s="2119"/>
      <c r="C42" s="2119"/>
      <c r="D42" s="2119"/>
      <c r="E42" s="2119"/>
      <c r="F42" s="2119"/>
      <c r="G42" s="2119"/>
      <c r="H42" s="2119"/>
      <c r="I42" s="2119"/>
      <c r="J42" s="2119"/>
      <c r="K42" s="2119"/>
      <c r="L42" s="533"/>
    </row>
    <row r="43" spans="1:12" x14ac:dyDescent="0.25">
      <c r="A43" s="532" t="s">
        <v>924</v>
      </c>
      <c r="B43" s="532"/>
      <c r="C43" s="532"/>
      <c r="D43" s="532"/>
      <c r="E43" s="532"/>
      <c r="F43" s="532"/>
      <c r="G43" s="532"/>
      <c r="H43" s="532"/>
      <c r="I43" s="532"/>
      <c r="J43" s="532"/>
      <c r="K43" s="533"/>
      <c r="L43" s="533"/>
    </row>
    <row r="44" spans="1:12" x14ac:dyDescent="0.25">
      <c r="A44" s="532" t="s">
        <v>1799</v>
      </c>
      <c r="B44" s="532"/>
      <c r="C44" s="532"/>
      <c r="D44" s="532"/>
      <c r="E44" s="532"/>
      <c r="F44" s="532"/>
      <c r="G44" s="532"/>
      <c r="H44" s="532"/>
      <c r="I44" s="532"/>
      <c r="J44" s="532"/>
      <c r="K44" s="533"/>
      <c r="L44" s="533"/>
    </row>
    <row r="45" spans="1:12" x14ac:dyDescent="0.25">
      <c r="A45" s="532" t="s">
        <v>521</v>
      </c>
      <c r="B45" s="532"/>
      <c r="C45" s="532"/>
      <c r="D45" s="532"/>
      <c r="E45" s="532"/>
      <c r="F45" s="532"/>
      <c r="G45" s="532"/>
      <c r="H45" s="532"/>
      <c r="I45" s="532"/>
      <c r="J45" s="532"/>
      <c r="K45" s="533"/>
      <c r="L45" s="533"/>
    </row>
    <row r="46" spans="1:12" x14ac:dyDescent="0.25">
      <c r="A46" s="2108" t="s">
        <v>925</v>
      </c>
      <c r="B46" s="2108"/>
      <c r="C46" s="2108"/>
      <c r="D46" s="2108"/>
      <c r="E46" s="2108"/>
      <c r="F46" s="2108"/>
      <c r="G46" s="2108"/>
      <c r="H46" s="2108"/>
      <c r="I46" s="2108"/>
      <c r="J46" s="532"/>
      <c r="K46" s="533"/>
      <c r="L46" s="533"/>
    </row>
    <row r="47" spans="1:12" x14ac:dyDescent="0.25">
      <c r="A47" s="532" t="s">
        <v>1499</v>
      </c>
      <c r="B47" s="533"/>
      <c r="C47" s="533"/>
      <c r="D47" s="533"/>
      <c r="E47" s="533"/>
      <c r="F47" s="533"/>
      <c r="G47" s="533"/>
      <c r="H47" s="533"/>
      <c r="I47" s="533"/>
      <c r="J47" s="532"/>
      <c r="K47" s="533"/>
      <c r="L47" s="533"/>
    </row>
    <row r="48" spans="1:12" x14ac:dyDescent="0.25">
      <c r="A48" s="532"/>
      <c r="B48" s="532"/>
      <c r="C48" s="532"/>
      <c r="D48" s="532"/>
      <c r="E48" s="532"/>
      <c r="F48" s="532"/>
      <c r="G48" s="532"/>
      <c r="H48" s="532"/>
      <c r="I48" s="532"/>
      <c r="J48" s="532"/>
      <c r="K48" s="533"/>
      <c r="L48" s="533"/>
    </row>
    <row r="49" spans="1:12" x14ac:dyDescent="0.25">
      <c r="A49" s="532"/>
      <c r="B49" s="532"/>
      <c r="C49" s="532"/>
      <c r="D49" s="532"/>
      <c r="E49" s="532"/>
      <c r="F49" s="532"/>
      <c r="G49" s="532"/>
      <c r="H49" s="532"/>
      <c r="I49" s="532"/>
      <c r="J49" s="532"/>
      <c r="K49" s="533"/>
      <c r="L49" s="533"/>
    </row>
    <row r="50" spans="1:12" x14ac:dyDescent="0.25">
      <c r="A50" s="532"/>
      <c r="B50" s="532"/>
      <c r="C50" s="532"/>
      <c r="D50" s="532"/>
      <c r="E50" s="532"/>
      <c r="F50" s="532"/>
      <c r="G50" s="532"/>
      <c r="H50" s="532"/>
      <c r="I50" s="532"/>
      <c r="J50" s="532"/>
      <c r="K50" s="533"/>
      <c r="L50" s="533"/>
    </row>
    <row r="51" spans="1:12" x14ac:dyDescent="0.25">
      <c r="A51" s="532"/>
      <c r="B51" s="532"/>
      <c r="C51" s="532"/>
      <c r="D51" s="532"/>
      <c r="E51" s="532"/>
      <c r="F51" s="532"/>
      <c r="G51" s="532"/>
      <c r="H51" s="532"/>
      <c r="I51" s="532"/>
      <c r="J51" s="532"/>
      <c r="K51" s="533"/>
      <c r="L51" s="533"/>
    </row>
    <row r="52" spans="1:12" x14ac:dyDescent="0.25">
      <c r="A52" s="532"/>
      <c r="B52" s="532"/>
      <c r="C52" s="532"/>
      <c r="D52" s="532"/>
      <c r="E52" s="532"/>
      <c r="F52" s="532"/>
      <c r="G52" s="532"/>
      <c r="H52" s="532"/>
      <c r="I52" s="532"/>
      <c r="J52" s="532"/>
      <c r="K52" s="533"/>
      <c r="L52" s="533"/>
    </row>
    <row r="53" spans="1:12" x14ac:dyDescent="0.25">
      <c r="A53" s="532"/>
      <c r="B53" s="532"/>
      <c r="C53" s="532"/>
      <c r="D53" s="532"/>
      <c r="E53" s="532"/>
      <c r="F53" s="532"/>
      <c r="G53" s="532"/>
      <c r="H53" s="532"/>
      <c r="I53" s="532"/>
      <c r="J53" s="532"/>
      <c r="K53" s="533"/>
      <c r="L53" s="533"/>
    </row>
    <row r="54" spans="1:12" x14ac:dyDescent="0.25">
      <c r="A54" s="532"/>
      <c r="B54" s="532"/>
      <c r="C54" s="532"/>
      <c r="D54" s="532"/>
      <c r="E54" s="532"/>
      <c r="F54" s="532"/>
      <c r="G54" s="532"/>
      <c r="H54" s="532"/>
      <c r="I54" s="532"/>
      <c r="J54" s="532"/>
      <c r="K54" s="533"/>
      <c r="L54" s="533"/>
    </row>
    <row r="55" spans="1:12" x14ac:dyDescent="0.25">
      <c r="A55" s="532"/>
      <c r="B55" s="533"/>
      <c r="C55" s="533"/>
      <c r="D55" s="533"/>
      <c r="E55" s="533"/>
      <c r="F55" s="533"/>
      <c r="G55" s="533"/>
      <c r="H55" s="533"/>
      <c r="I55" s="533"/>
      <c r="J55" s="533"/>
      <c r="K55" s="533"/>
      <c r="L55" s="533"/>
    </row>
  </sheetData>
  <mergeCells count="13">
    <mergeCell ref="A46:I46"/>
    <mergeCell ref="B21:G21"/>
    <mergeCell ref="B26:G27"/>
    <mergeCell ref="B32:G32"/>
    <mergeCell ref="H38:I39"/>
    <mergeCell ref="J38:J39"/>
    <mergeCell ref="A42:K42"/>
    <mergeCell ref="A9:J9"/>
    <mergeCell ref="A10:J10"/>
    <mergeCell ref="A11:J11"/>
    <mergeCell ref="A13:J13"/>
    <mergeCell ref="A15:J15"/>
    <mergeCell ref="B20:C20"/>
  </mergeCells>
  <dataValidations count="1">
    <dataValidation allowBlank="1" showInputMessage="1" showErrorMessage="1" promptTitle="Date Format" prompt="E.g:  &quot;August 1, 2011&quot;" sqref="WVN983044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dataValidations>
  <pageMargins left="0.7" right="0.7" top="0.75" bottom="0.75" header="0.3" footer="0.3"/>
  <pageSetup scale="6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A1:N102"/>
  <sheetViews>
    <sheetView showGridLines="0" zoomScaleNormal="100" workbookViewId="0"/>
  </sheetViews>
  <sheetFormatPr defaultColWidth="8.85546875" defaultRowHeight="15" x14ac:dyDescent="0.25"/>
  <cols>
    <col min="1" max="1" width="30.42578125" style="572" customWidth="1"/>
    <col min="2" max="2" width="13.140625" style="572" customWidth="1"/>
    <col min="3" max="11" width="16.7109375" style="572" customWidth="1"/>
    <col min="12" max="16384" width="8.85546875" style="572"/>
  </cols>
  <sheetData>
    <row r="1" spans="1:14" s="530" customFormat="1" x14ac:dyDescent="0.25">
      <c r="A1" s="1680" t="s">
        <v>2177</v>
      </c>
      <c r="B1" s="140"/>
      <c r="C1" s="140"/>
      <c r="D1" s="140"/>
      <c r="J1" s="252" t="s">
        <v>394</v>
      </c>
      <c r="K1" s="1513" t="str">
        <f>EBNUMBER</f>
        <v>EB-2015-0089</v>
      </c>
    </row>
    <row r="2" spans="1:14" s="530" customFormat="1" x14ac:dyDescent="0.25">
      <c r="A2" s="140"/>
      <c r="B2" s="140"/>
      <c r="C2" s="140"/>
      <c r="D2" s="140"/>
      <c r="J2" s="252" t="s">
        <v>395</v>
      </c>
      <c r="K2" s="254"/>
    </row>
    <row r="3" spans="1:14" s="530" customFormat="1" x14ac:dyDescent="0.25">
      <c r="A3" s="140"/>
      <c r="B3" s="140"/>
      <c r="C3" s="140"/>
      <c r="D3" s="140"/>
      <c r="J3" s="252" t="s">
        <v>396</v>
      </c>
      <c r="K3" s="254"/>
    </row>
    <row r="4" spans="1:14" s="530" customFormat="1" x14ac:dyDescent="0.25">
      <c r="A4" s="569"/>
      <c r="B4" s="140"/>
      <c r="C4" s="140"/>
      <c r="D4" s="140"/>
      <c r="J4" s="252" t="s">
        <v>397</v>
      </c>
      <c r="K4" s="254"/>
    </row>
    <row r="5" spans="1:14" s="530" customFormat="1" x14ac:dyDescent="0.25">
      <c r="A5" s="140"/>
      <c r="B5" s="140"/>
      <c r="C5" s="140"/>
      <c r="D5" s="140"/>
      <c r="J5" s="252" t="s">
        <v>398</v>
      </c>
      <c r="K5" s="255"/>
    </row>
    <row r="6" spans="1:14" s="530" customFormat="1" x14ac:dyDescent="0.25">
      <c r="A6" s="140"/>
      <c r="B6" s="140"/>
      <c r="C6" s="140"/>
      <c r="D6" s="140"/>
      <c r="J6" s="252"/>
      <c r="K6" s="253"/>
    </row>
    <row r="7" spans="1:14" s="530" customFormat="1" x14ac:dyDescent="0.25">
      <c r="A7" s="140"/>
      <c r="B7" s="140"/>
      <c r="C7" s="140"/>
      <c r="D7" s="140"/>
      <c r="J7" s="252" t="s">
        <v>399</v>
      </c>
      <c r="K7" s="255"/>
    </row>
    <row r="8" spans="1:14" s="530" customFormat="1" x14ac:dyDescent="0.25">
      <c r="A8" s="158"/>
      <c r="B8" s="158"/>
      <c r="C8" s="158"/>
      <c r="D8" s="158"/>
      <c r="E8" s="158"/>
      <c r="F8" s="158"/>
      <c r="G8" s="158"/>
      <c r="H8" s="158"/>
      <c r="I8" s="158"/>
      <c r="L8" s="570"/>
      <c r="M8" s="570"/>
      <c r="N8" s="570"/>
    </row>
    <row r="9" spans="1:14" s="530" customFormat="1" ht="18" x14ac:dyDescent="0.25">
      <c r="A9" s="1979" t="s">
        <v>668</v>
      </c>
      <c r="B9" s="1979"/>
      <c r="C9" s="1979"/>
      <c r="D9" s="1979"/>
      <c r="E9" s="1979"/>
      <c r="F9" s="1979"/>
      <c r="G9" s="1979"/>
      <c r="H9" s="1979"/>
      <c r="I9" s="1979"/>
      <c r="J9" s="1979"/>
      <c r="K9" s="1979"/>
      <c r="L9" s="570"/>
      <c r="M9" s="570"/>
      <c r="N9" s="570"/>
    </row>
    <row r="10" spans="1:14" s="530" customFormat="1" ht="18" x14ac:dyDescent="0.25">
      <c r="A10" s="1979" t="s">
        <v>1785</v>
      </c>
      <c r="B10" s="1979"/>
      <c r="C10" s="1979"/>
      <c r="D10" s="1979"/>
      <c r="E10" s="1979"/>
      <c r="F10" s="1979"/>
      <c r="G10" s="1979"/>
      <c r="H10" s="1979"/>
      <c r="I10" s="1979"/>
      <c r="J10" s="1979"/>
      <c r="K10" s="1979"/>
      <c r="L10" s="570"/>
      <c r="M10" s="570"/>
      <c r="N10" s="570"/>
    </row>
    <row r="11" spans="1:14" s="530" customFormat="1" ht="18" x14ac:dyDescent="0.25">
      <c r="A11" s="571"/>
      <c r="B11" s="571"/>
      <c r="C11" s="571"/>
      <c r="D11" s="571"/>
      <c r="E11" s="571"/>
      <c r="F11" s="571"/>
      <c r="G11" s="571"/>
      <c r="H11" s="571"/>
      <c r="I11" s="571"/>
      <c r="J11" s="571"/>
      <c r="K11" s="571"/>
      <c r="L11" s="570"/>
      <c r="M11" s="570"/>
      <c r="N11" s="570"/>
    </row>
    <row r="12" spans="1:14" x14ac:dyDescent="0.25">
      <c r="A12" s="2121" t="s">
        <v>1786</v>
      </c>
      <c r="B12" s="2121"/>
      <c r="C12" s="2121"/>
      <c r="D12" s="2121"/>
      <c r="E12" s="2121"/>
      <c r="F12" s="2121"/>
      <c r="G12" s="2121"/>
      <c r="H12" s="61"/>
      <c r="I12" s="61"/>
    </row>
    <row r="13" spans="1:14" x14ac:dyDescent="0.25">
      <c r="A13" s="2121" t="s">
        <v>817</v>
      </c>
      <c r="B13" s="2121"/>
      <c r="C13" s="2121"/>
      <c r="D13" s="2121"/>
      <c r="E13" s="2121"/>
      <c r="F13" s="2121"/>
      <c r="G13" s="2121"/>
      <c r="H13" s="61"/>
      <c r="I13" s="61"/>
    </row>
    <row r="14" spans="1:14" x14ac:dyDescent="0.25">
      <c r="A14" s="2122" t="s">
        <v>830</v>
      </c>
      <c r="B14" s="2122"/>
      <c r="C14" s="2122"/>
      <c r="D14" s="2122"/>
      <c r="E14" s="2122"/>
      <c r="F14" s="2122"/>
      <c r="G14" s="61"/>
      <c r="H14" s="61"/>
      <c r="I14" s="61"/>
    </row>
    <row r="15" spans="1:14" x14ac:dyDescent="0.25">
      <c r="A15" s="2122" t="s">
        <v>831</v>
      </c>
      <c r="B15" s="2122"/>
      <c r="C15" s="2122"/>
      <c r="D15" s="2122"/>
      <c r="E15" s="2122"/>
      <c r="F15" s="2122"/>
      <c r="G15" s="61"/>
      <c r="H15" s="61"/>
      <c r="I15" s="61"/>
    </row>
    <row r="16" spans="1:14" ht="15.75" x14ac:dyDescent="0.25">
      <c r="A16" s="273"/>
      <c r="B16" s="61"/>
      <c r="C16" s="61"/>
      <c r="D16" s="61"/>
      <c r="E16" s="61"/>
      <c r="F16" s="61"/>
      <c r="G16" s="61"/>
      <c r="H16" s="61"/>
      <c r="I16" s="61"/>
    </row>
    <row r="17" spans="1:11" ht="15" customHeight="1" x14ac:dyDescent="0.25">
      <c r="A17" s="2120" t="s">
        <v>1515</v>
      </c>
      <c r="B17" s="2120"/>
      <c r="C17" s="2120"/>
      <c r="D17" s="2120"/>
      <c r="E17" s="2120"/>
      <c r="F17" s="2120"/>
      <c r="G17" s="2120"/>
      <c r="H17" s="2120"/>
      <c r="I17" s="2120"/>
      <c r="J17" s="2120"/>
    </row>
    <row r="18" spans="1:11" ht="15.75" customHeight="1" x14ac:dyDescent="0.25">
      <c r="A18" s="2120" t="s">
        <v>1929</v>
      </c>
      <c r="B18" s="2120"/>
      <c r="C18" s="2120"/>
      <c r="D18" s="2120"/>
      <c r="E18" s="2120"/>
      <c r="F18" s="2120"/>
      <c r="G18" s="2120"/>
      <c r="H18" s="2120"/>
      <c r="I18" s="2120"/>
    </row>
    <row r="19" spans="1:11" ht="15.75" customHeight="1" x14ac:dyDescent="0.25">
      <c r="A19" s="1463"/>
      <c r="B19" s="1463"/>
      <c r="C19" s="1463"/>
      <c r="D19" s="1463"/>
      <c r="E19" s="1463"/>
      <c r="F19" s="1463"/>
      <c r="G19" s="1463"/>
      <c r="H19" s="1463"/>
      <c r="I19" s="1463"/>
    </row>
    <row r="20" spans="1:11" ht="15.75" customHeight="1" x14ac:dyDescent="0.25">
      <c r="A20" s="573" t="s">
        <v>1787</v>
      </c>
      <c r="B20" s="1463"/>
      <c r="C20" s="1463"/>
      <c r="D20" s="1463"/>
      <c r="E20" s="1463"/>
      <c r="F20" s="1463"/>
      <c r="G20" s="1463"/>
      <c r="H20" s="1463"/>
      <c r="I20" s="1463"/>
    </row>
    <row r="21" spans="1:11" x14ac:dyDescent="0.25">
      <c r="A21" s="574" t="s">
        <v>1788</v>
      </c>
      <c r="G21" s="61"/>
      <c r="H21" s="61"/>
      <c r="I21" s="61"/>
    </row>
    <row r="22" spans="1:11" x14ac:dyDescent="0.25">
      <c r="A22" s="575" t="s">
        <v>1789</v>
      </c>
      <c r="G22" s="61"/>
      <c r="H22" s="61"/>
      <c r="I22" s="61"/>
    </row>
    <row r="23" spans="1:11" x14ac:dyDescent="0.25">
      <c r="A23" s="574" t="s">
        <v>1790</v>
      </c>
      <c r="G23" s="61"/>
      <c r="H23" s="61"/>
      <c r="I23" s="61"/>
    </row>
    <row r="24" spans="1:11" x14ac:dyDescent="0.25">
      <c r="A24" s="576" t="s">
        <v>1791</v>
      </c>
      <c r="G24" s="61"/>
      <c r="H24" s="61"/>
      <c r="I24" s="61"/>
    </row>
    <row r="25" spans="1:11" ht="12.75" customHeight="1" x14ac:dyDescent="0.25">
      <c r="A25" s="576" t="s">
        <v>1792</v>
      </c>
      <c r="G25" s="61"/>
      <c r="H25" s="61"/>
      <c r="I25" s="61"/>
    </row>
    <row r="26" spans="1:11" ht="12.75" customHeight="1" x14ac:dyDescent="0.25">
      <c r="A26" s="576"/>
      <c r="G26" s="61"/>
      <c r="H26" s="61"/>
      <c r="I26" s="61"/>
    </row>
    <row r="27" spans="1:11" x14ac:dyDescent="0.25">
      <c r="A27" s="574" t="s">
        <v>1833</v>
      </c>
      <c r="G27" s="61"/>
      <c r="H27" s="61"/>
      <c r="I27" s="61"/>
    </row>
    <row r="28" spans="1:11" x14ac:dyDescent="0.25">
      <c r="A28" s="574" t="s">
        <v>1793</v>
      </c>
      <c r="G28" s="61"/>
      <c r="H28" s="61"/>
      <c r="I28" s="61"/>
    </row>
    <row r="29" spans="1:11" x14ac:dyDescent="0.25">
      <c r="A29" s="577"/>
      <c r="G29" s="61"/>
      <c r="H29" s="61"/>
      <c r="I29" s="61"/>
    </row>
    <row r="30" spans="1:11" ht="18" x14ac:dyDescent="0.25">
      <c r="A30" s="578" t="s">
        <v>818</v>
      </c>
      <c r="B30" s="264"/>
      <c r="C30" s="264"/>
      <c r="D30" s="264"/>
      <c r="E30" s="264"/>
      <c r="F30" s="264"/>
      <c r="G30" s="579" t="s">
        <v>407</v>
      </c>
      <c r="I30" s="264"/>
    </row>
    <row r="31" spans="1:11" x14ac:dyDescent="0.25">
      <c r="A31" s="580" t="s">
        <v>819</v>
      </c>
      <c r="B31" s="264"/>
      <c r="C31" s="581">
        <v>2012</v>
      </c>
      <c r="D31" s="581">
        <v>2013</v>
      </c>
      <c r="E31" s="581">
        <v>2014</v>
      </c>
      <c r="F31" s="581">
        <v>2015</v>
      </c>
      <c r="G31" s="581">
        <v>2016</v>
      </c>
      <c r="H31" s="581">
        <f>G31+1</f>
        <v>2017</v>
      </c>
      <c r="I31" s="581">
        <f t="shared" ref="I31:K31" si="0">H31+1</f>
        <v>2018</v>
      </c>
      <c r="J31" s="581">
        <f t="shared" si="0"/>
        <v>2019</v>
      </c>
      <c r="K31" s="581">
        <f t="shared" si="0"/>
        <v>2020</v>
      </c>
    </row>
    <row r="32" spans="1:11" x14ac:dyDescent="0.25">
      <c r="A32" s="252" t="s">
        <v>820</v>
      </c>
      <c r="B32" s="264"/>
      <c r="C32" s="264"/>
      <c r="D32" s="264"/>
      <c r="E32" s="264"/>
      <c r="F32" s="264"/>
      <c r="G32" s="264"/>
      <c r="H32" s="264"/>
      <c r="I32" s="264"/>
      <c r="J32" s="264"/>
      <c r="K32" s="264"/>
    </row>
    <row r="33" spans="1:11" x14ac:dyDescent="0.25">
      <c r="A33" s="582" t="s">
        <v>1514</v>
      </c>
      <c r="B33" s="264"/>
      <c r="C33" s="264"/>
      <c r="D33" s="264"/>
      <c r="E33" s="264"/>
      <c r="F33" s="264"/>
      <c r="G33" s="264"/>
      <c r="H33" s="264"/>
      <c r="I33" s="264"/>
      <c r="J33" s="264"/>
      <c r="K33" s="264"/>
    </row>
    <row r="34" spans="1:11" x14ac:dyDescent="0.25">
      <c r="A34" s="264" t="s">
        <v>821</v>
      </c>
      <c r="B34" s="264"/>
      <c r="C34" s="583">
        <v>0</v>
      </c>
      <c r="D34" s="583">
        <v>0</v>
      </c>
      <c r="E34" s="583">
        <v>0</v>
      </c>
      <c r="F34" s="583">
        <v>0</v>
      </c>
      <c r="G34" s="583">
        <v>0</v>
      </c>
      <c r="H34" s="583">
        <v>0</v>
      </c>
      <c r="I34" s="583">
        <v>0</v>
      </c>
      <c r="J34" s="583">
        <v>0</v>
      </c>
      <c r="K34" s="583">
        <v>0</v>
      </c>
    </row>
    <row r="35" spans="1:11" x14ac:dyDescent="0.25">
      <c r="A35" s="264" t="s">
        <v>822</v>
      </c>
      <c r="B35" s="264"/>
      <c r="C35" s="583">
        <v>0</v>
      </c>
      <c r="D35" s="583">
        <v>0</v>
      </c>
      <c r="E35" s="583">
        <v>0</v>
      </c>
      <c r="F35" s="583">
        <v>0</v>
      </c>
      <c r="G35" s="583">
        <v>0</v>
      </c>
      <c r="H35" s="583">
        <v>0</v>
      </c>
      <c r="I35" s="583">
        <v>0</v>
      </c>
      <c r="J35" s="583">
        <v>0</v>
      </c>
      <c r="K35" s="583">
        <v>0</v>
      </c>
    </row>
    <row r="36" spans="1:11" x14ac:dyDescent="0.25">
      <c r="A36" s="264" t="s">
        <v>823</v>
      </c>
      <c r="B36" s="264"/>
      <c r="C36" s="583">
        <v>0</v>
      </c>
      <c r="D36" s="583">
        <v>0</v>
      </c>
      <c r="E36" s="583">
        <v>0</v>
      </c>
      <c r="F36" s="583">
        <v>0</v>
      </c>
      <c r="G36" s="583">
        <v>0</v>
      </c>
      <c r="H36" s="583">
        <v>0</v>
      </c>
      <c r="I36" s="583">
        <v>0</v>
      </c>
      <c r="J36" s="583">
        <v>0</v>
      </c>
      <c r="K36" s="583">
        <v>0</v>
      </c>
    </row>
    <row r="37" spans="1:11" x14ac:dyDescent="0.25">
      <c r="A37" s="264"/>
      <c r="B37" s="264"/>
      <c r="C37" s="264"/>
      <c r="D37" s="264"/>
      <c r="E37" s="264"/>
      <c r="F37" s="264"/>
      <c r="G37" s="264"/>
      <c r="H37" s="264"/>
      <c r="I37" s="264"/>
      <c r="J37" s="264"/>
      <c r="K37" s="264"/>
    </row>
    <row r="38" spans="1:11" x14ac:dyDescent="0.25">
      <c r="A38" s="252" t="s">
        <v>824</v>
      </c>
      <c r="B38" s="264"/>
      <c r="C38" s="264"/>
      <c r="D38" s="264"/>
      <c r="E38" s="264"/>
      <c r="F38" s="264"/>
      <c r="G38" s="264"/>
      <c r="H38" s="264"/>
      <c r="I38" s="264"/>
      <c r="J38" s="264"/>
      <c r="K38" s="264"/>
    </row>
    <row r="39" spans="1:11" x14ac:dyDescent="0.25">
      <c r="A39" s="582" t="s">
        <v>1514</v>
      </c>
      <c r="B39" s="264"/>
      <c r="C39" s="264"/>
      <c r="D39" s="264"/>
      <c r="E39" s="264"/>
      <c r="F39" s="264"/>
      <c r="G39" s="264"/>
      <c r="H39" s="264"/>
      <c r="I39" s="264"/>
      <c r="J39" s="264"/>
      <c r="K39" s="264"/>
    </row>
    <row r="40" spans="1:11" x14ac:dyDescent="0.25">
      <c r="A40" s="264" t="s">
        <v>821</v>
      </c>
      <c r="B40" s="264"/>
      <c r="C40" s="583">
        <v>0</v>
      </c>
      <c r="D40" s="583">
        <v>0</v>
      </c>
      <c r="E40" s="583">
        <v>0</v>
      </c>
      <c r="F40" s="583">
        <v>0</v>
      </c>
      <c r="G40" s="583">
        <v>0</v>
      </c>
      <c r="H40" s="583">
        <v>0</v>
      </c>
      <c r="I40" s="583">
        <v>0</v>
      </c>
      <c r="J40" s="583">
        <v>0</v>
      </c>
      <c r="K40" s="583">
        <v>0</v>
      </c>
    </row>
    <row r="41" spans="1:11" x14ac:dyDescent="0.25">
      <c r="A41" s="264" t="s">
        <v>822</v>
      </c>
      <c r="B41" s="264"/>
      <c r="C41" s="583">
        <v>0</v>
      </c>
      <c r="D41" s="583">
        <v>0</v>
      </c>
      <c r="E41" s="583">
        <v>0</v>
      </c>
      <c r="F41" s="583">
        <v>0</v>
      </c>
      <c r="G41" s="583">
        <v>0</v>
      </c>
      <c r="H41" s="583">
        <v>0</v>
      </c>
      <c r="I41" s="583">
        <v>0</v>
      </c>
      <c r="J41" s="583">
        <v>0</v>
      </c>
      <c r="K41" s="583">
        <v>0</v>
      </c>
    </row>
    <row r="42" spans="1:11" x14ac:dyDescent="0.25">
      <c r="A42" s="264" t="s">
        <v>823</v>
      </c>
      <c r="B42" s="264"/>
      <c r="C42" s="583">
        <v>0</v>
      </c>
      <c r="D42" s="583">
        <v>0</v>
      </c>
      <c r="E42" s="583">
        <v>0</v>
      </c>
      <c r="F42" s="583">
        <v>0</v>
      </c>
      <c r="G42" s="583">
        <v>0</v>
      </c>
      <c r="H42" s="583">
        <v>0</v>
      </c>
      <c r="I42" s="583">
        <v>0</v>
      </c>
      <c r="J42" s="583">
        <v>0</v>
      </c>
      <c r="K42" s="583">
        <v>0</v>
      </c>
    </row>
    <row r="43" spans="1:11" x14ac:dyDescent="0.25">
      <c r="A43" s="264"/>
      <c r="B43" s="264"/>
      <c r="C43" s="264"/>
      <c r="D43" s="264"/>
      <c r="E43" s="264"/>
      <c r="F43" s="264"/>
      <c r="G43" s="264"/>
      <c r="H43" s="264"/>
      <c r="I43" s="264"/>
      <c r="J43" s="264"/>
      <c r="K43" s="264"/>
    </row>
    <row r="44" spans="1:11" x14ac:dyDescent="0.25">
      <c r="A44" s="252" t="s">
        <v>825</v>
      </c>
      <c r="B44" s="264"/>
      <c r="C44" s="264"/>
      <c r="D44" s="264"/>
      <c r="E44" s="264"/>
      <c r="F44" s="264"/>
      <c r="G44" s="264"/>
      <c r="H44" s="264"/>
      <c r="I44" s="264"/>
      <c r="J44" s="264"/>
      <c r="K44" s="264"/>
    </row>
    <row r="45" spans="1:11" x14ac:dyDescent="0.25">
      <c r="A45" s="582" t="s">
        <v>1514</v>
      </c>
      <c r="B45" s="264"/>
      <c r="C45" s="264"/>
      <c r="D45" s="264"/>
      <c r="E45" s="264"/>
      <c r="F45" s="264"/>
      <c r="G45" s="264"/>
      <c r="H45" s="264"/>
      <c r="I45" s="264"/>
      <c r="J45" s="264"/>
      <c r="K45" s="264"/>
    </row>
    <row r="46" spans="1:11" x14ac:dyDescent="0.25">
      <c r="A46" s="264" t="s">
        <v>821</v>
      </c>
      <c r="B46" s="264"/>
      <c r="C46" s="583">
        <v>0</v>
      </c>
      <c r="D46" s="583">
        <v>0</v>
      </c>
      <c r="E46" s="583">
        <v>0</v>
      </c>
      <c r="F46" s="583">
        <v>0</v>
      </c>
      <c r="G46" s="583">
        <v>0</v>
      </c>
      <c r="H46" s="583">
        <v>0</v>
      </c>
      <c r="I46" s="583">
        <v>0</v>
      </c>
      <c r="J46" s="583">
        <v>0</v>
      </c>
      <c r="K46" s="583">
        <v>0</v>
      </c>
    </row>
    <row r="47" spans="1:11" x14ac:dyDescent="0.25">
      <c r="A47" s="264" t="s">
        <v>822</v>
      </c>
      <c r="B47" s="264"/>
      <c r="C47" s="583">
        <v>0</v>
      </c>
      <c r="D47" s="583">
        <v>0</v>
      </c>
      <c r="E47" s="583">
        <v>0</v>
      </c>
      <c r="F47" s="583">
        <v>0</v>
      </c>
      <c r="G47" s="583">
        <v>0</v>
      </c>
      <c r="H47" s="583">
        <v>0</v>
      </c>
      <c r="I47" s="583">
        <v>0</v>
      </c>
      <c r="J47" s="583">
        <v>0</v>
      </c>
      <c r="K47" s="583">
        <v>0</v>
      </c>
    </row>
    <row r="48" spans="1:11" x14ac:dyDescent="0.25">
      <c r="A48" s="264" t="s">
        <v>823</v>
      </c>
      <c r="B48" s="264"/>
      <c r="C48" s="583">
        <v>0</v>
      </c>
      <c r="D48" s="583">
        <v>0</v>
      </c>
      <c r="E48" s="583">
        <v>0</v>
      </c>
      <c r="F48" s="583">
        <v>0</v>
      </c>
      <c r="G48" s="583">
        <v>0</v>
      </c>
      <c r="H48" s="583">
        <v>0</v>
      </c>
      <c r="I48" s="583">
        <v>0</v>
      </c>
      <c r="J48" s="583">
        <v>0</v>
      </c>
      <c r="K48" s="583">
        <v>0</v>
      </c>
    </row>
    <row r="49" spans="1:12" x14ac:dyDescent="0.25">
      <c r="A49" s="264"/>
      <c r="B49" s="264"/>
      <c r="C49" s="264"/>
      <c r="D49" s="264"/>
      <c r="E49" s="264"/>
      <c r="F49" s="264"/>
      <c r="G49" s="264"/>
      <c r="H49" s="264"/>
      <c r="I49" s="264"/>
      <c r="J49" s="264"/>
      <c r="K49" s="264"/>
    </row>
    <row r="50" spans="1:12" x14ac:dyDescent="0.25">
      <c r="A50" s="252" t="s">
        <v>826</v>
      </c>
      <c r="B50" s="264"/>
      <c r="C50" s="264"/>
      <c r="D50" s="264"/>
      <c r="E50" s="264"/>
      <c r="F50" s="264"/>
      <c r="G50" s="264"/>
      <c r="H50" s="264"/>
      <c r="I50" s="264"/>
      <c r="J50" s="264"/>
      <c r="K50" s="264"/>
    </row>
    <row r="51" spans="1:12" x14ac:dyDescent="0.25">
      <c r="A51" s="582" t="s">
        <v>1514</v>
      </c>
      <c r="B51" s="264"/>
      <c r="C51" s="264"/>
      <c r="D51" s="264"/>
      <c r="E51" s="264"/>
      <c r="F51" s="264"/>
      <c r="G51" s="264"/>
      <c r="H51" s="264"/>
      <c r="I51" s="264"/>
      <c r="J51" s="264"/>
      <c r="K51" s="264"/>
    </row>
    <row r="52" spans="1:12" x14ac:dyDescent="0.25">
      <c r="A52" s="264" t="s">
        <v>821</v>
      </c>
      <c r="B52" s="264"/>
      <c r="C52" s="583">
        <v>0</v>
      </c>
      <c r="D52" s="583">
        <v>0</v>
      </c>
      <c r="E52" s="583">
        <v>0</v>
      </c>
      <c r="F52" s="583">
        <v>0</v>
      </c>
      <c r="G52" s="583">
        <v>0</v>
      </c>
      <c r="H52" s="583">
        <v>0</v>
      </c>
      <c r="I52" s="583">
        <v>0</v>
      </c>
      <c r="J52" s="583">
        <v>0</v>
      </c>
      <c r="K52" s="583">
        <v>0</v>
      </c>
    </row>
    <row r="53" spans="1:12" x14ac:dyDescent="0.25">
      <c r="A53" s="264" t="s">
        <v>822</v>
      </c>
      <c r="B53" s="264"/>
      <c r="C53" s="583">
        <v>0</v>
      </c>
      <c r="D53" s="583">
        <v>0</v>
      </c>
      <c r="E53" s="583">
        <v>0</v>
      </c>
      <c r="F53" s="583">
        <v>0</v>
      </c>
      <c r="G53" s="583">
        <v>0</v>
      </c>
      <c r="H53" s="583">
        <v>0</v>
      </c>
      <c r="I53" s="583">
        <v>0</v>
      </c>
      <c r="J53" s="583">
        <v>0</v>
      </c>
      <c r="K53" s="583">
        <v>0</v>
      </c>
    </row>
    <row r="54" spans="1:12" x14ac:dyDescent="0.25">
      <c r="A54" s="264" t="s">
        <v>823</v>
      </c>
      <c r="B54" s="264"/>
      <c r="C54" s="583">
        <v>0</v>
      </c>
      <c r="D54" s="583">
        <v>0</v>
      </c>
      <c r="E54" s="583">
        <v>0</v>
      </c>
      <c r="F54" s="583">
        <v>0</v>
      </c>
      <c r="G54" s="583">
        <v>0</v>
      </c>
      <c r="H54" s="583">
        <v>0</v>
      </c>
      <c r="I54" s="583">
        <v>0</v>
      </c>
      <c r="J54" s="583">
        <v>0</v>
      </c>
      <c r="K54" s="583">
        <v>0</v>
      </c>
    </row>
    <row r="55" spans="1:12" x14ac:dyDescent="0.25">
      <c r="A55" s="264"/>
      <c r="B55" s="264"/>
      <c r="C55" s="264"/>
      <c r="D55" s="264"/>
      <c r="E55" s="264"/>
      <c r="F55" s="264"/>
      <c r="G55" s="264"/>
      <c r="H55" s="264"/>
      <c r="I55" s="264"/>
      <c r="J55" s="264"/>
      <c r="K55" s="264"/>
    </row>
    <row r="56" spans="1:12" x14ac:dyDescent="0.25">
      <c r="A56" s="252" t="s">
        <v>827</v>
      </c>
      <c r="B56" s="264"/>
      <c r="C56" s="264"/>
      <c r="D56" s="264"/>
      <c r="E56" s="264"/>
      <c r="F56" s="264"/>
      <c r="G56" s="264"/>
      <c r="H56" s="264"/>
      <c r="I56" s="264"/>
      <c r="J56" s="264"/>
      <c r="K56" s="264"/>
    </row>
    <row r="57" spans="1:12" x14ac:dyDescent="0.25">
      <c r="A57" s="582" t="s">
        <v>1514</v>
      </c>
      <c r="B57" s="264"/>
      <c r="C57" s="264"/>
      <c r="D57" s="264"/>
      <c r="E57" s="264"/>
      <c r="F57" s="264"/>
      <c r="G57" s="264"/>
      <c r="H57" s="264"/>
      <c r="I57" s="264"/>
      <c r="J57" s="264"/>
      <c r="K57" s="264"/>
    </row>
    <row r="58" spans="1:12" x14ac:dyDescent="0.25">
      <c r="A58" s="264" t="s">
        <v>821</v>
      </c>
      <c r="B58" s="264"/>
      <c r="C58" s="583">
        <v>0</v>
      </c>
      <c r="D58" s="583">
        <v>0</v>
      </c>
      <c r="E58" s="583">
        <v>0</v>
      </c>
      <c r="F58" s="583">
        <v>0</v>
      </c>
      <c r="G58" s="583">
        <v>0</v>
      </c>
      <c r="H58" s="583">
        <v>0</v>
      </c>
      <c r="I58" s="583">
        <v>0</v>
      </c>
      <c r="J58" s="583">
        <v>0</v>
      </c>
      <c r="K58" s="583">
        <v>0</v>
      </c>
    </row>
    <row r="59" spans="1:12" x14ac:dyDescent="0.25">
      <c r="A59" s="264" t="s">
        <v>822</v>
      </c>
      <c r="B59" s="264"/>
      <c r="C59" s="583">
        <v>0</v>
      </c>
      <c r="D59" s="583">
        <v>0</v>
      </c>
      <c r="E59" s="583">
        <v>0</v>
      </c>
      <c r="F59" s="583">
        <v>0</v>
      </c>
      <c r="G59" s="583">
        <v>0</v>
      </c>
      <c r="H59" s="583">
        <v>0</v>
      </c>
      <c r="I59" s="583">
        <v>0</v>
      </c>
      <c r="J59" s="583">
        <v>0</v>
      </c>
      <c r="K59" s="583">
        <v>0</v>
      </c>
    </row>
    <row r="60" spans="1:12" x14ac:dyDescent="0.25">
      <c r="A60" s="264" t="s">
        <v>823</v>
      </c>
      <c r="B60" s="264"/>
      <c r="C60" s="583">
        <v>0</v>
      </c>
      <c r="D60" s="583">
        <v>0</v>
      </c>
      <c r="E60" s="583">
        <v>0</v>
      </c>
      <c r="F60" s="583">
        <v>0</v>
      </c>
      <c r="G60" s="583">
        <v>0</v>
      </c>
      <c r="H60" s="583">
        <v>0</v>
      </c>
      <c r="I60" s="583">
        <v>0</v>
      </c>
      <c r="J60" s="583">
        <v>0</v>
      </c>
      <c r="K60" s="583">
        <v>0</v>
      </c>
    </row>
    <row r="61" spans="1:12" x14ac:dyDescent="0.25">
      <c r="A61" s="264"/>
      <c r="B61" s="264"/>
      <c r="C61" s="584"/>
      <c r="D61" s="584"/>
      <c r="E61" s="584"/>
      <c r="F61" s="584"/>
      <c r="G61" s="584"/>
      <c r="H61" s="584"/>
      <c r="I61" s="584"/>
      <c r="J61" s="584"/>
      <c r="K61" s="584"/>
      <c r="L61" s="584"/>
    </row>
    <row r="62" spans="1:12" x14ac:dyDescent="0.25">
      <c r="A62" s="252" t="s">
        <v>1510</v>
      </c>
      <c r="B62" s="252"/>
      <c r="C62" s="585">
        <f t="shared" ref="C62:F64" si="1">SUM(C58,C52,C46,C40,C34)</f>
        <v>0</v>
      </c>
      <c r="D62" s="585">
        <f t="shared" si="1"/>
        <v>0</v>
      </c>
      <c r="E62" s="585">
        <f t="shared" si="1"/>
        <v>0</v>
      </c>
      <c r="F62" s="585">
        <f t="shared" si="1"/>
        <v>0</v>
      </c>
      <c r="G62" s="585">
        <f>SUM(G58,G52,G46,G40,G34)</f>
        <v>0</v>
      </c>
      <c r="H62" s="585">
        <f t="shared" ref="H62:K64" si="2">SUM(H58,H52,H46,H40,H34)</f>
        <v>0</v>
      </c>
      <c r="I62" s="585">
        <f t="shared" si="2"/>
        <v>0</v>
      </c>
      <c r="J62" s="585">
        <f t="shared" si="2"/>
        <v>0</v>
      </c>
      <c r="K62" s="585">
        <f t="shared" si="2"/>
        <v>0</v>
      </c>
      <c r="L62" s="584"/>
    </row>
    <row r="63" spans="1:12" x14ac:dyDescent="0.25">
      <c r="A63" s="252" t="s">
        <v>1511</v>
      </c>
      <c r="B63" s="252"/>
      <c r="C63" s="585">
        <f t="shared" si="1"/>
        <v>0</v>
      </c>
      <c r="D63" s="585">
        <f t="shared" si="1"/>
        <v>0</v>
      </c>
      <c r="E63" s="585">
        <f t="shared" si="1"/>
        <v>0</v>
      </c>
      <c r="F63" s="585">
        <f t="shared" si="1"/>
        <v>0</v>
      </c>
      <c r="G63" s="585">
        <f>SUM(G59,G53,G47,G41,G35)</f>
        <v>0</v>
      </c>
      <c r="H63" s="585">
        <f t="shared" si="2"/>
        <v>0</v>
      </c>
      <c r="I63" s="585">
        <f t="shared" si="2"/>
        <v>0</v>
      </c>
      <c r="J63" s="585">
        <f t="shared" si="2"/>
        <v>0</v>
      </c>
      <c r="K63" s="585">
        <f t="shared" si="2"/>
        <v>0</v>
      </c>
      <c r="L63" s="584"/>
    </row>
    <row r="64" spans="1:12" x14ac:dyDescent="0.25">
      <c r="A64" s="252" t="s">
        <v>1512</v>
      </c>
      <c r="B64" s="586"/>
      <c r="C64" s="587">
        <f t="shared" si="1"/>
        <v>0</v>
      </c>
      <c r="D64" s="587">
        <f t="shared" si="1"/>
        <v>0</v>
      </c>
      <c r="E64" s="587">
        <f t="shared" si="1"/>
        <v>0</v>
      </c>
      <c r="F64" s="587">
        <f t="shared" si="1"/>
        <v>0</v>
      </c>
      <c r="G64" s="587">
        <f>SUM(G60,G54,G48,G42,G36)</f>
        <v>0</v>
      </c>
      <c r="H64" s="587">
        <f t="shared" si="2"/>
        <v>0</v>
      </c>
      <c r="I64" s="587">
        <f t="shared" si="2"/>
        <v>0</v>
      </c>
      <c r="J64" s="587">
        <f t="shared" si="2"/>
        <v>0</v>
      </c>
      <c r="K64" s="587">
        <f t="shared" si="2"/>
        <v>0</v>
      </c>
    </row>
    <row r="65" spans="1:11" ht="6" customHeight="1" x14ac:dyDescent="0.25">
      <c r="A65" s="588"/>
      <c r="B65" s="589"/>
      <c r="C65" s="590"/>
      <c r="D65" s="590"/>
      <c r="E65" s="590"/>
      <c r="F65" s="590"/>
      <c r="G65" s="590"/>
      <c r="H65" s="590"/>
      <c r="I65" s="588"/>
      <c r="J65" s="591"/>
      <c r="K65" s="590"/>
    </row>
    <row r="66" spans="1:11" x14ac:dyDescent="0.25">
      <c r="A66" s="302"/>
      <c r="B66" s="592"/>
      <c r="C66" s="378"/>
      <c r="D66" s="378"/>
      <c r="E66" s="378"/>
      <c r="F66" s="378"/>
      <c r="G66" s="378"/>
      <c r="H66" s="378"/>
      <c r="I66" s="302"/>
      <c r="J66" s="592"/>
      <c r="K66" s="378"/>
    </row>
    <row r="67" spans="1:11" ht="18" x14ac:dyDescent="0.25">
      <c r="A67" s="578" t="s">
        <v>828</v>
      </c>
      <c r="B67" s="264"/>
      <c r="C67" s="264"/>
      <c r="D67" s="264"/>
      <c r="E67" s="264"/>
      <c r="F67" s="264"/>
      <c r="G67" s="579" t="s">
        <v>407</v>
      </c>
      <c r="H67" s="264"/>
      <c r="I67" s="264"/>
      <c r="J67" s="264"/>
      <c r="K67" s="264"/>
    </row>
    <row r="68" spans="1:11" x14ac:dyDescent="0.25">
      <c r="A68" s="580" t="s">
        <v>829</v>
      </c>
      <c r="B68" s="264"/>
      <c r="C68" s="581">
        <v>2012</v>
      </c>
      <c r="D68" s="581">
        <v>2013</v>
      </c>
      <c r="E68" s="581">
        <v>2014</v>
      </c>
      <c r="F68" s="581">
        <v>2015</v>
      </c>
      <c r="G68" s="581">
        <v>2016</v>
      </c>
      <c r="H68" s="581">
        <f>G68+1</f>
        <v>2017</v>
      </c>
      <c r="I68" s="581">
        <f t="shared" ref="I68:K68" si="3">H68+1</f>
        <v>2018</v>
      </c>
      <c r="J68" s="581">
        <f t="shared" si="3"/>
        <v>2019</v>
      </c>
      <c r="K68" s="581">
        <f t="shared" si="3"/>
        <v>2020</v>
      </c>
    </row>
    <row r="69" spans="1:11" x14ac:dyDescent="0.25">
      <c r="A69" s="252" t="s">
        <v>820</v>
      </c>
      <c r="B69" s="264"/>
      <c r="C69" s="264"/>
      <c r="D69" s="264"/>
      <c r="E69" s="264"/>
      <c r="F69" s="264"/>
      <c r="G69" s="264"/>
      <c r="H69" s="264"/>
      <c r="I69" s="264"/>
      <c r="J69" s="264"/>
      <c r="K69" s="264"/>
    </row>
    <row r="70" spans="1:11" x14ac:dyDescent="0.25">
      <c r="A70" s="582" t="s">
        <v>1513</v>
      </c>
      <c r="B70" s="264"/>
      <c r="C70" s="264"/>
      <c r="D70" s="264"/>
      <c r="E70" s="264"/>
      <c r="F70" s="264"/>
      <c r="G70" s="264"/>
      <c r="H70" s="264"/>
      <c r="I70" s="264"/>
      <c r="J70" s="264"/>
      <c r="K70" s="264"/>
    </row>
    <row r="71" spans="1:11" x14ac:dyDescent="0.25">
      <c r="A71" s="264" t="s">
        <v>821</v>
      </c>
      <c r="B71" s="264"/>
      <c r="C71" s="583">
        <v>0</v>
      </c>
      <c r="D71" s="583">
        <v>0</v>
      </c>
      <c r="E71" s="583">
        <v>0</v>
      </c>
      <c r="F71" s="583">
        <v>0</v>
      </c>
      <c r="G71" s="583">
        <v>0</v>
      </c>
      <c r="H71" s="583">
        <v>0</v>
      </c>
      <c r="I71" s="583">
        <v>0</v>
      </c>
      <c r="J71" s="583">
        <v>0</v>
      </c>
      <c r="K71" s="583">
        <v>0</v>
      </c>
    </row>
    <row r="72" spans="1:11" x14ac:dyDescent="0.25">
      <c r="A72" s="264" t="s">
        <v>822</v>
      </c>
      <c r="B72" s="264"/>
      <c r="C72" s="583">
        <v>0</v>
      </c>
      <c r="D72" s="583">
        <v>0</v>
      </c>
      <c r="E72" s="583">
        <v>0</v>
      </c>
      <c r="F72" s="583">
        <v>0</v>
      </c>
      <c r="G72" s="583">
        <v>0</v>
      </c>
      <c r="H72" s="583">
        <v>0</v>
      </c>
      <c r="I72" s="583">
        <v>0</v>
      </c>
      <c r="J72" s="583">
        <v>0</v>
      </c>
      <c r="K72" s="583">
        <v>0</v>
      </c>
    </row>
    <row r="73" spans="1:11" x14ac:dyDescent="0.25">
      <c r="A73" s="264" t="s">
        <v>823</v>
      </c>
      <c r="B73" s="264"/>
      <c r="C73" s="583">
        <v>0</v>
      </c>
      <c r="D73" s="583">
        <v>0</v>
      </c>
      <c r="E73" s="583">
        <v>0</v>
      </c>
      <c r="F73" s="583">
        <v>0</v>
      </c>
      <c r="G73" s="583">
        <v>0</v>
      </c>
      <c r="H73" s="583">
        <v>0</v>
      </c>
      <c r="I73" s="583">
        <v>0</v>
      </c>
      <c r="J73" s="583">
        <v>0</v>
      </c>
      <c r="K73" s="583">
        <v>0</v>
      </c>
    </row>
    <row r="74" spans="1:11" x14ac:dyDescent="0.25">
      <c r="A74" s="264"/>
      <c r="B74" s="264"/>
      <c r="C74" s="264"/>
      <c r="D74" s="264"/>
      <c r="E74" s="264"/>
      <c r="F74" s="264"/>
      <c r="G74" s="264"/>
      <c r="H74" s="264"/>
      <c r="I74" s="264"/>
      <c r="J74" s="264"/>
      <c r="K74" s="264"/>
    </row>
    <row r="75" spans="1:11" x14ac:dyDescent="0.25">
      <c r="A75" s="252" t="s">
        <v>824</v>
      </c>
      <c r="B75" s="264"/>
      <c r="C75" s="264"/>
      <c r="D75" s="264"/>
      <c r="E75" s="264"/>
      <c r="F75" s="264"/>
      <c r="G75" s="264"/>
      <c r="H75" s="264"/>
      <c r="I75" s="264"/>
      <c r="J75" s="264"/>
      <c r="K75" s="264"/>
    </row>
    <row r="76" spans="1:11" x14ac:dyDescent="0.25">
      <c r="A76" s="582" t="s">
        <v>1513</v>
      </c>
      <c r="B76" s="264"/>
      <c r="C76" s="264"/>
      <c r="D76" s="264"/>
      <c r="E76" s="264"/>
      <c r="F76" s="264"/>
      <c r="G76" s="264"/>
      <c r="H76" s="264"/>
      <c r="I76" s="264"/>
      <c r="J76" s="264"/>
      <c r="K76" s="264"/>
    </row>
    <row r="77" spans="1:11" x14ac:dyDescent="0.25">
      <c r="A77" s="264" t="s">
        <v>821</v>
      </c>
      <c r="B77" s="264"/>
      <c r="C77" s="583">
        <v>0</v>
      </c>
      <c r="D77" s="583">
        <v>0</v>
      </c>
      <c r="E77" s="583">
        <v>0</v>
      </c>
      <c r="F77" s="583">
        <v>0</v>
      </c>
      <c r="G77" s="583">
        <v>0</v>
      </c>
      <c r="H77" s="583">
        <v>0</v>
      </c>
      <c r="I77" s="583">
        <v>0</v>
      </c>
      <c r="J77" s="583">
        <v>0</v>
      </c>
      <c r="K77" s="583">
        <v>0</v>
      </c>
    </row>
    <row r="78" spans="1:11" x14ac:dyDescent="0.25">
      <c r="A78" s="264" t="s">
        <v>822</v>
      </c>
      <c r="B78" s="264"/>
      <c r="C78" s="583">
        <v>0</v>
      </c>
      <c r="D78" s="583">
        <v>0</v>
      </c>
      <c r="E78" s="583">
        <v>0</v>
      </c>
      <c r="F78" s="583">
        <v>0</v>
      </c>
      <c r="G78" s="583">
        <v>0</v>
      </c>
      <c r="H78" s="583">
        <v>0</v>
      </c>
      <c r="I78" s="583">
        <v>0</v>
      </c>
      <c r="J78" s="583">
        <v>0</v>
      </c>
      <c r="K78" s="583">
        <v>0</v>
      </c>
    </row>
    <row r="79" spans="1:11" x14ac:dyDescent="0.25">
      <c r="A79" s="264" t="s">
        <v>823</v>
      </c>
      <c r="B79" s="264"/>
      <c r="C79" s="583">
        <v>0</v>
      </c>
      <c r="D79" s="583">
        <v>0</v>
      </c>
      <c r="E79" s="583">
        <v>0</v>
      </c>
      <c r="F79" s="583">
        <v>0</v>
      </c>
      <c r="G79" s="583">
        <v>0</v>
      </c>
      <c r="H79" s="583">
        <v>0</v>
      </c>
      <c r="I79" s="583">
        <v>0</v>
      </c>
      <c r="J79" s="583">
        <v>0</v>
      </c>
      <c r="K79" s="583">
        <v>0</v>
      </c>
    </row>
    <row r="80" spans="1:11" x14ac:dyDescent="0.25">
      <c r="A80" s="264"/>
      <c r="B80" s="264"/>
      <c r="C80" s="264"/>
      <c r="D80" s="264"/>
      <c r="E80" s="264"/>
      <c r="F80" s="264"/>
      <c r="G80" s="264"/>
      <c r="H80" s="264"/>
      <c r="I80" s="264"/>
      <c r="J80" s="264"/>
      <c r="K80" s="264"/>
    </row>
    <row r="81" spans="1:11" x14ac:dyDescent="0.25">
      <c r="A81" s="252" t="s">
        <v>825</v>
      </c>
      <c r="B81" s="264"/>
      <c r="C81" s="264"/>
      <c r="D81" s="264"/>
      <c r="E81" s="264"/>
      <c r="F81" s="264"/>
      <c r="G81" s="264"/>
      <c r="H81" s="264"/>
      <c r="I81" s="264"/>
      <c r="J81" s="264"/>
      <c r="K81" s="264"/>
    </row>
    <row r="82" spans="1:11" x14ac:dyDescent="0.25">
      <c r="A82" s="582" t="s">
        <v>1513</v>
      </c>
      <c r="B82" s="264"/>
      <c r="C82" s="264"/>
      <c r="D82" s="264"/>
      <c r="E82" s="264"/>
      <c r="F82" s="264"/>
      <c r="G82" s="264"/>
      <c r="H82" s="264"/>
      <c r="I82" s="264"/>
      <c r="J82" s="264"/>
      <c r="K82" s="264"/>
    </row>
    <row r="83" spans="1:11" x14ac:dyDescent="0.25">
      <c r="A83" s="264" t="s">
        <v>821</v>
      </c>
      <c r="B83" s="264"/>
      <c r="C83" s="583">
        <v>0</v>
      </c>
      <c r="D83" s="583">
        <v>0</v>
      </c>
      <c r="E83" s="583">
        <v>0</v>
      </c>
      <c r="F83" s="583">
        <v>0</v>
      </c>
      <c r="G83" s="583">
        <v>0</v>
      </c>
      <c r="H83" s="583">
        <v>0</v>
      </c>
      <c r="I83" s="583">
        <v>0</v>
      </c>
      <c r="J83" s="583">
        <v>0</v>
      </c>
      <c r="K83" s="583">
        <v>0</v>
      </c>
    </row>
    <row r="84" spans="1:11" x14ac:dyDescent="0.25">
      <c r="A84" s="264" t="s">
        <v>822</v>
      </c>
      <c r="B84" s="264"/>
      <c r="C84" s="583">
        <v>0</v>
      </c>
      <c r="D84" s="583">
        <v>0</v>
      </c>
      <c r="E84" s="583">
        <v>0</v>
      </c>
      <c r="F84" s="583">
        <v>0</v>
      </c>
      <c r="G84" s="583">
        <v>0</v>
      </c>
      <c r="H84" s="583">
        <v>0</v>
      </c>
      <c r="I84" s="583">
        <v>0</v>
      </c>
      <c r="J84" s="583">
        <v>0</v>
      </c>
      <c r="K84" s="583">
        <v>0</v>
      </c>
    </row>
    <row r="85" spans="1:11" x14ac:dyDescent="0.25">
      <c r="A85" s="264" t="s">
        <v>823</v>
      </c>
      <c r="B85" s="264"/>
      <c r="C85" s="583">
        <v>0</v>
      </c>
      <c r="D85" s="583">
        <v>0</v>
      </c>
      <c r="E85" s="583">
        <v>0</v>
      </c>
      <c r="F85" s="583">
        <v>0</v>
      </c>
      <c r="G85" s="583">
        <v>0</v>
      </c>
      <c r="H85" s="583">
        <v>0</v>
      </c>
      <c r="I85" s="583">
        <v>0</v>
      </c>
      <c r="J85" s="583">
        <v>0</v>
      </c>
      <c r="K85" s="583">
        <v>0</v>
      </c>
    </row>
    <row r="86" spans="1:11" x14ac:dyDescent="0.25">
      <c r="A86" s="593"/>
      <c r="B86" s="594"/>
      <c r="C86" s="595"/>
      <c r="D86" s="595"/>
      <c r="E86" s="595"/>
      <c r="F86" s="595"/>
      <c r="G86" s="595"/>
      <c r="H86" s="596"/>
      <c r="I86" s="596"/>
      <c r="J86" s="595"/>
      <c r="K86" s="595"/>
    </row>
    <row r="87" spans="1:11" x14ac:dyDescent="0.25">
      <c r="A87" s="252" t="s">
        <v>826</v>
      </c>
      <c r="B87" s="264"/>
      <c r="C87" s="264"/>
      <c r="D87" s="264"/>
      <c r="E87" s="264"/>
      <c r="F87" s="264"/>
      <c r="G87" s="264"/>
      <c r="H87" s="264"/>
      <c r="I87" s="264"/>
      <c r="J87" s="264"/>
      <c r="K87" s="264"/>
    </row>
    <row r="88" spans="1:11" x14ac:dyDescent="0.25">
      <c r="A88" s="582" t="s">
        <v>1513</v>
      </c>
      <c r="B88" s="264"/>
      <c r="C88" s="264"/>
      <c r="D88" s="264"/>
      <c r="E88" s="264"/>
      <c r="F88" s="264"/>
      <c r="G88" s="264"/>
      <c r="H88" s="264"/>
      <c r="I88" s="264"/>
      <c r="J88" s="264"/>
      <c r="K88" s="264"/>
    </row>
    <row r="89" spans="1:11" x14ac:dyDescent="0.25">
      <c r="A89" s="264" t="s">
        <v>821</v>
      </c>
      <c r="B89" s="264"/>
      <c r="C89" s="583">
        <v>0</v>
      </c>
      <c r="D89" s="583">
        <v>0</v>
      </c>
      <c r="E89" s="583">
        <v>0</v>
      </c>
      <c r="F89" s="583">
        <v>0</v>
      </c>
      <c r="G89" s="583">
        <v>0</v>
      </c>
      <c r="H89" s="583">
        <v>0</v>
      </c>
      <c r="I89" s="583">
        <v>0</v>
      </c>
      <c r="J89" s="583">
        <v>0</v>
      </c>
      <c r="K89" s="583">
        <v>0</v>
      </c>
    </row>
    <row r="90" spans="1:11" x14ac:dyDescent="0.25">
      <c r="A90" s="264" t="s">
        <v>822</v>
      </c>
      <c r="B90" s="264"/>
      <c r="C90" s="583">
        <v>0</v>
      </c>
      <c r="D90" s="583">
        <v>0</v>
      </c>
      <c r="E90" s="583">
        <v>0</v>
      </c>
      <c r="F90" s="583">
        <v>0</v>
      </c>
      <c r="G90" s="583">
        <v>0</v>
      </c>
      <c r="H90" s="583">
        <v>0</v>
      </c>
      <c r="I90" s="583">
        <v>0</v>
      </c>
      <c r="J90" s="583">
        <v>0</v>
      </c>
      <c r="K90" s="583">
        <v>0</v>
      </c>
    </row>
    <row r="91" spans="1:11" x14ac:dyDescent="0.25">
      <c r="A91" s="264" t="s">
        <v>823</v>
      </c>
      <c r="B91" s="264"/>
      <c r="C91" s="583">
        <v>0</v>
      </c>
      <c r="D91" s="583">
        <v>0</v>
      </c>
      <c r="E91" s="583">
        <v>0</v>
      </c>
      <c r="F91" s="583">
        <v>0</v>
      </c>
      <c r="G91" s="583">
        <v>0</v>
      </c>
      <c r="H91" s="583">
        <v>0</v>
      </c>
      <c r="I91" s="583">
        <v>0</v>
      </c>
      <c r="J91" s="583">
        <v>0</v>
      </c>
      <c r="K91" s="583">
        <v>0</v>
      </c>
    </row>
    <row r="92" spans="1:11" x14ac:dyDescent="0.25">
      <c r="A92" s="593"/>
      <c r="B92" s="597"/>
      <c r="C92" s="598"/>
      <c r="D92" s="598"/>
      <c r="E92" s="598"/>
      <c r="F92" s="598"/>
      <c r="G92" s="598"/>
      <c r="H92" s="598"/>
      <c r="I92" s="599"/>
      <c r="J92" s="599"/>
      <c r="K92" s="598"/>
    </row>
    <row r="93" spans="1:11" x14ac:dyDescent="0.25">
      <c r="A93" s="252" t="s">
        <v>827</v>
      </c>
      <c r="B93" s="264"/>
      <c r="C93" s="264"/>
      <c r="D93" s="264"/>
      <c r="E93" s="264"/>
      <c r="F93" s="264"/>
      <c r="G93" s="264"/>
      <c r="H93" s="264"/>
      <c r="I93" s="264"/>
      <c r="J93" s="264"/>
      <c r="K93" s="264"/>
    </row>
    <row r="94" spans="1:11" x14ac:dyDescent="0.25">
      <c r="A94" s="582" t="s">
        <v>1513</v>
      </c>
      <c r="B94" s="264"/>
      <c r="C94" s="264"/>
      <c r="D94" s="264"/>
      <c r="E94" s="264"/>
      <c r="F94" s="264"/>
      <c r="G94" s="264"/>
      <c r="H94" s="264"/>
      <c r="I94" s="264"/>
      <c r="J94" s="264"/>
      <c r="K94" s="264"/>
    </row>
    <row r="95" spans="1:11" x14ac:dyDescent="0.25">
      <c r="A95" s="264" t="s">
        <v>821</v>
      </c>
      <c r="B95" s="264"/>
      <c r="C95" s="583">
        <v>0</v>
      </c>
      <c r="D95" s="583">
        <v>0</v>
      </c>
      <c r="E95" s="583">
        <v>0</v>
      </c>
      <c r="F95" s="583">
        <v>0</v>
      </c>
      <c r="G95" s="583">
        <v>0</v>
      </c>
      <c r="H95" s="583">
        <v>0</v>
      </c>
      <c r="I95" s="583">
        <v>0</v>
      </c>
      <c r="J95" s="583">
        <v>0</v>
      </c>
      <c r="K95" s="583">
        <v>0</v>
      </c>
    </row>
    <row r="96" spans="1:11" x14ac:dyDescent="0.25">
      <c r="A96" s="264" t="s">
        <v>822</v>
      </c>
      <c r="B96" s="264"/>
      <c r="C96" s="583">
        <v>0</v>
      </c>
      <c r="D96" s="583">
        <v>0</v>
      </c>
      <c r="E96" s="583">
        <v>0</v>
      </c>
      <c r="F96" s="583">
        <v>0</v>
      </c>
      <c r="G96" s="583">
        <v>0</v>
      </c>
      <c r="H96" s="583">
        <v>0</v>
      </c>
      <c r="I96" s="583">
        <v>0</v>
      </c>
      <c r="J96" s="583">
        <v>0</v>
      </c>
      <c r="K96" s="583">
        <v>0</v>
      </c>
    </row>
    <row r="97" spans="1:12" x14ac:dyDescent="0.25">
      <c r="A97" s="264" t="s">
        <v>823</v>
      </c>
      <c r="B97" s="264"/>
      <c r="C97" s="583">
        <v>0</v>
      </c>
      <c r="D97" s="583">
        <v>0</v>
      </c>
      <c r="E97" s="583">
        <v>0</v>
      </c>
      <c r="F97" s="583">
        <v>0</v>
      </c>
      <c r="G97" s="583">
        <v>0</v>
      </c>
      <c r="H97" s="583">
        <v>0</v>
      </c>
      <c r="I97" s="583">
        <v>0</v>
      </c>
      <c r="J97" s="583">
        <v>0</v>
      </c>
      <c r="K97" s="583">
        <v>0</v>
      </c>
    </row>
    <row r="98" spans="1:12" x14ac:dyDescent="0.25">
      <c r="A98" s="593"/>
      <c r="B98" s="600"/>
      <c r="C98" s="598"/>
      <c r="D98" s="598"/>
      <c r="E98" s="598"/>
      <c r="F98" s="598"/>
      <c r="G98" s="598"/>
      <c r="H98" s="598"/>
      <c r="I98" s="593"/>
      <c r="J98" s="601"/>
      <c r="K98" s="598"/>
    </row>
    <row r="99" spans="1:12" x14ac:dyDescent="0.25">
      <c r="A99" s="252" t="s">
        <v>1510</v>
      </c>
      <c r="B99" s="252"/>
      <c r="C99" s="585">
        <f t="shared" ref="C99:F101" si="4">SUM(C95,C89,C83,C77,C71)</f>
        <v>0</v>
      </c>
      <c r="D99" s="585">
        <f t="shared" si="4"/>
        <v>0</v>
      </c>
      <c r="E99" s="585">
        <f t="shared" si="4"/>
        <v>0</v>
      </c>
      <c r="F99" s="585">
        <f t="shared" si="4"/>
        <v>0</v>
      </c>
      <c r="G99" s="585">
        <f>SUM(G95,G89,G83,G77,G71)</f>
        <v>0</v>
      </c>
      <c r="H99" s="585">
        <f t="shared" ref="H99:K101" si="5">SUM(H95,H89,H83,H77,H71)</f>
        <v>0</v>
      </c>
      <c r="I99" s="585">
        <f t="shared" si="5"/>
        <v>0</v>
      </c>
      <c r="J99" s="585">
        <f t="shared" si="5"/>
        <v>0</v>
      </c>
      <c r="K99" s="585">
        <f t="shared" si="5"/>
        <v>0</v>
      </c>
      <c r="L99" s="584"/>
    </row>
    <row r="100" spans="1:12" x14ac:dyDescent="0.25">
      <c r="A100" s="252" t="s">
        <v>1511</v>
      </c>
      <c r="B100" s="252"/>
      <c r="C100" s="585">
        <f t="shared" si="4"/>
        <v>0</v>
      </c>
      <c r="D100" s="585">
        <f t="shared" si="4"/>
        <v>0</v>
      </c>
      <c r="E100" s="585">
        <f t="shared" si="4"/>
        <v>0</v>
      </c>
      <c r="F100" s="585">
        <f t="shared" si="4"/>
        <v>0</v>
      </c>
      <c r="G100" s="585">
        <f>SUM(G96,G90,G84,G78,G72)</f>
        <v>0</v>
      </c>
      <c r="H100" s="585">
        <f t="shared" si="5"/>
        <v>0</v>
      </c>
      <c r="I100" s="585">
        <f t="shared" si="5"/>
        <v>0</v>
      </c>
      <c r="J100" s="585">
        <f t="shared" si="5"/>
        <v>0</v>
      </c>
      <c r="K100" s="585">
        <f t="shared" si="5"/>
        <v>0</v>
      </c>
      <c r="L100" s="584"/>
    </row>
    <row r="101" spans="1:12" x14ac:dyDescent="0.25">
      <c r="A101" s="252" t="s">
        <v>1512</v>
      </c>
      <c r="B101" s="586"/>
      <c r="C101" s="587">
        <f t="shared" si="4"/>
        <v>0</v>
      </c>
      <c r="D101" s="587">
        <f t="shared" si="4"/>
        <v>0</v>
      </c>
      <c r="E101" s="587">
        <f t="shared" si="4"/>
        <v>0</v>
      </c>
      <c r="F101" s="587">
        <f t="shared" si="4"/>
        <v>0</v>
      </c>
      <c r="G101" s="587">
        <f>SUM(G97,G91,G85,G79,G73)</f>
        <v>0</v>
      </c>
      <c r="H101" s="587">
        <f t="shared" si="5"/>
        <v>0</v>
      </c>
      <c r="I101" s="587">
        <f t="shared" si="5"/>
        <v>0</v>
      </c>
      <c r="J101" s="587">
        <f t="shared" si="5"/>
        <v>0</v>
      </c>
      <c r="K101" s="587">
        <f t="shared" si="5"/>
        <v>0</v>
      </c>
    </row>
    <row r="102" spans="1:12" x14ac:dyDescent="0.25">
      <c r="A102" s="602"/>
      <c r="B102" s="603"/>
      <c r="C102" s="603"/>
      <c r="D102" s="603"/>
      <c r="E102" s="603"/>
      <c r="F102" s="603"/>
      <c r="G102" s="604"/>
      <c r="H102" s="604"/>
      <c r="I102" s="602"/>
      <c r="J102" s="605"/>
      <c r="K102" s="604"/>
    </row>
  </sheetData>
  <mergeCells count="8">
    <mergeCell ref="A9:K9"/>
    <mergeCell ref="A18:I18"/>
    <mergeCell ref="A17:J17"/>
    <mergeCell ref="A13:G13"/>
    <mergeCell ref="A14:F14"/>
    <mergeCell ref="A15:F15"/>
    <mergeCell ref="A12:G12"/>
    <mergeCell ref="A10:K10"/>
  </mergeCells>
  <dataValidations disablePrompts="1" count="1">
    <dataValidation allowBlank="1" showInputMessage="1" showErrorMessage="1" promptTitle="Date Format" prompt="E.g:  &quot;August 1, 2011&quot;" sqref="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ataValidations>
  <pageMargins left="0.70866141732283472" right="0.70866141732283472" top="0.74803149606299213" bottom="0.74803149606299213" header="0.31496062992125984" footer="0.31496062992125984"/>
  <pageSetup scale="45" orientation="portrait" r:id="rId1"/>
  <rowBreaks count="1" manualBreakCount="1">
    <brk id="66"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AD95"/>
  <sheetViews>
    <sheetView showGridLines="0" zoomScaleNormal="100" workbookViewId="0"/>
  </sheetViews>
  <sheetFormatPr defaultColWidth="8.85546875" defaultRowHeight="15" x14ac:dyDescent="0.25"/>
  <cols>
    <col min="1" max="1" width="34.7109375" style="572" customWidth="1"/>
    <col min="2" max="2" width="18" style="572" customWidth="1"/>
    <col min="3" max="13" width="14.7109375" style="572" customWidth="1"/>
    <col min="14" max="14" width="12.7109375" style="572" customWidth="1"/>
    <col min="15" max="29" width="14.7109375" style="572" customWidth="1"/>
    <col min="30" max="16384" width="8.85546875" style="572"/>
  </cols>
  <sheetData>
    <row r="1" spans="1:24" s="530" customFormat="1" x14ac:dyDescent="0.25">
      <c r="A1" s="1680" t="s">
        <v>2177</v>
      </c>
      <c r="B1" s="140"/>
      <c r="C1" s="140"/>
      <c r="D1" s="140"/>
      <c r="E1" s="140"/>
      <c r="F1" s="140"/>
      <c r="G1" s="140"/>
      <c r="H1" s="140"/>
      <c r="I1" s="140"/>
      <c r="J1" s="140"/>
      <c r="K1" s="140"/>
      <c r="L1" s="140"/>
      <c r="M1" s="140"/>
      <c r="N1" s="252" t="s">
        <v>394</v>
      </c>
      <c r="O1" s="1513" t="str">
        <f>EBNUMBER</f>
        <v>EB-2015-0089</v>
      </c>
    </row>
    <row r="2" spans="1:24" s="530" customFormat="1" x14ac:dyDescent="0.25">
      <c r="A2" s="140"/>
      <c r="B2" s="140"/>
      <c r="C2" s="140"/>
      <c r="D2" s="140"/>
      <c r="E2" s="140"/>
      <c r="F2" s="140"/>
      <c r="G2" s="140"/>
      <c r="H2" s="140"/>
      <c r="I2" s="140"/>
      <c r="J2" s="140"/>
      <c r="K2" s="140"/>
      <c r="L2" s="140"/>
      <c r="M2" s="140"/>
      <c r="N2" s="252" t="s">
        <v>395</v>
      </c>
      <c r="O2" s="254"/>
    </row>
    <row r="3" spans="1:24" s="530" customFormat="1" x14ac:dyDescent="0.25">
      <c r="A3" s="140"/>
      <c r="B3" s="140"/>
      <c r="C3" s="140"/>
      <c r="D3" s="140"/>
      <c r="E3" s="140"/>
      <c r="F3" s="140"/>
      <c r="G3" s="140"/>
      <c r="H3" s="140"/>
      <c r="I3" s="140"/>
      <c r="J3" s="140"/>
      <c r="K3" s="140"/>
      <c r="L3" s="140"/>
      <c r="M3" s="140"/>
      <c r="N3" s="252" t="s">
        <v>396</v>
      </c>
      <c r="O3" s="254"/>
    </row>
    <row r="4" spans="1:24" s="530" customFormat="1" x14ac:dyDescent="0.25">
      <c r="A4" s="140"/>
      <c r="B4" s="140"/>
      <c r="C4" s="140"/>
      <c r="D4" s="140"/>
      <c r="E4" s="140"/>
      <c r="F4" s="140"/>
      <c r="G4" s="140"/>
      <c r="H4" s="140"/>
      <c r="I4" s="140"/>
      <c r="J4" s="140"/>
      <c r="K4" s="140"/>
      <c r="L4" s="140"/>
      <c r="M4" s="140"/>
      <c r="N4" s="252" t="s">
        <v>397</v>
      </c>
      <c r="O4" s="254"/>
    </row>
    <row r="5" spans="1:24" s="530" customFormat="1" x14ac:dyDescent="0.25">
      <c r="A5" s="140"/>
      <c r="B5" s="140"/>
      <c r="C5" s="140"/>
      <c r="D5" s="140"/>
      <c r="E5" s="140"/>
      <c r="F5" s="140"/>
      <c r="G5" s="140"/>
      <c r="H5" s="140"/>
      <c r="I5" s="140"/>
      <c r="J5" s="140"/>
      <c r="K5" s="140"/>
      <c r="L5" s="140"/>
      <c r="M5" s="140"/>
      <c r="N5" s="252" t="s">
        <v>398</v>
      </c>
      <c r="O5" s="255"/>
    </row>
    <row r="6" spans="1:24" s="530" customFormat="1" x14ac:dyDescent="0.25">
      <c r="A6" s="140"/>
      <c r="B6" s="140"/>
      <c r="C6" s="140"/>
      <c r="D6" s="140"/>
      <c r="E6" s="140"/>
      <c r="F6" s="140"/>
      <c r="G6" s="140"/>
      <c r="H6" s="140"/>
      <c r="I6" s="140"/>
      <c r="J6" s="140"/>
      <c r="K6" s="140"/>
      <c r="L6" s="140"/>
      <c r="M6" s="140"/>
      <c r="N6" s="252"/>
      <c r="O6" s="253"/>
    </row>
    <row r="7" spans="1:24" s="530" customFormat="1" x14ac:dyDescent="0.25">
      <c r="A7" s="140"/>
      <c r="B7" s="140"/>
      <c r="C7" s="140"/>
      <c r="D7" s="140"/>
      <c r="E7" s="140"/>
      <c r="F7" s="140"/>
      <c r="G7" s="140"/>
      <c r="H7" s="140"/>
      <c r="I7" s="140"/>
      <c r="J7" s="140"/>
      <c r="K7" s="140"/>
      <c r="L7" s="140"/>
      <c r="M7" s="140"/>
      <c r="N7" s="252" t="s">
        <v>399</v>
      </c>
      <c r="O7" s="255"/>
    </row>
    <row r="8" spans="1:24" s="530" customFormat="1" x14ac:dyDescent="0.25">
      <c r="A8" s="158"/>
      <c r="B8" s="158"/>
      <c r="C8" s="158"/>
      <c r="D8" s="158"/>
      <c r="E8" s="158"/>
      <c r="F8" s="158"/>
      <c r="G8" s="158"/>
      <c r="H8" s="158"/>
      <c r="I8" s="158"/>
      <c r="J8" s="158"/>
      <c r="K8" s="158"/>
      <c r="L8" s="158"/>
      <c r="M8" s="158"/>
      <c r="N8" s="158"/>
      <c r="O8" s="158"/>
      <c r="P8" s="158"/>
      <c r="Q8" s="158"/>
      <c r="R8" s="158"/>
      <c r="S8" s="158"/>
      <c r="T8" s="158"/>
      <c r="U8" s="570"/>
      <c r="V8" s="570"/>
      <c r="W8" s="570"/>
      <c r="X8" s="570"/>
    </row>
    <row r="9" spans="1:24" s="530" customFormat="1" ht="18" x14ac:dyDescent="0.25">
      <c r="A9" s="1979" t="s">
        <v>832</v>
      </c>
      <c r="B9" s="1979"/>
      <c r="C9" s="1979"/>
      <c r="D9" s="1979"/>
      <c r="E9" s="1979"/>
      <c r="F9" s="1979"/>
      <c r="G9" s="1979"/>
      <c r="H9" s="1979"/>
      <c r="I9" s="1979"/>
      <c r="J9" s="1979"/>
      <c r="K9" s="1979"/>
      <c r="L9" s="1979"/>
      <c r="M9" s="1979"/>
      <c r="N9" s="1979"/>
      <c r="O9" s="1979"/>
      <c r="P9" s="1979"/>
      <c r="Q9" s="1979"/>
      <c r="R9" s="1979"/>
      <c r="S9" s="571"/>
      <c r="T9" s="571"/>
      <c r="U9" s="571"/>
      <c r="V9" s="570"/>
      <c r="W9" s="570"/>
      <c r="X9" s="570"/>
    </row>
    <row r="10" spans="1:24" s="530" customFormat="1" ht="39.75" customHeight="1" x14ac:dyDescent="0.25">
      <c r="A10" s="2130" t="s">
        <v>833</v>
      </c>
      <c r="B10" s="2130"/>
      <c r="C10" s="2130"/>
      <c r="D10" s="2130"/>
      <c r="E10" s="2130"/>
      <c r="F10" s="2130"/>
      <c r="G10" s="2130"/>
      <c r="H10" s="2130"/>
      <c r="I10" s="2130"/>
      <c r="J10" s="2130"/>
      <c r="K10" s="2130"/>
      <c r="L10" s="2130"/>
      <c r="M10" s="2130"/>
      <c r="N10" s="2130"/>
      <c r="O10" s="2130"/>
      <c r="P10" s="2130"/>
      <c r="Q10" s="2130"/>
      <c r="R10" s="2130"/>
      <c r="S10" s="571"/>
      <c r="T10" s="571"/>
      <c r="U10" s="571"/>
      <c r="V10" s="570"/>
      <c r="W10" s="570"/>
      <c r="X10" s="570"/>
    </row>
    <row r="11" spans="1:24" s="530" customFormat="1" ht="18" x14ac:dyDescent="0.25">
      <c r="A11" s="571"/>
      <c r="B11" s="571"/>
      <c r="C11" s="571"/>
      <c r="D11" s="571"/>
      <c r="E11" s="571"/>
      <c r="F11" s="571"/>
      <c r="G11" s="571"/>
      <c r="H11" s="571"/>
      <c r="I11" s="571"/>
      <c r="J11" s="571"/>
      <c r="K11" s="571"/>
      <c r="L11" s="571"/>
      <c r="M11" s="571"/>
      <c r="N11" s="571"/>
      <c r="O11" s="571"/>
      <c r="P11" s="571"/>
      <c r="Q11" s="571"/>
      <c r="R11" s="571"/>
      <c r="S11" s="571"/>
      <c r="T11" s="571"/>
      <c r="U11" s="571"/>
      <c r="V11" s="570"/>
      <c r="W11" s="570"/>
      <c r="X11" s="570"/>
    </row>
    <row r="12" spans="1:24" x14ac:dyDescent="0.25">
      <c r="A12" s="2131" t="s">
        <v>834</v>
      </c>
      <c r="B12" s="2131"/>
      <c r="C12" s="2131"/>
      <c r="D12" s="2131"/>
      <c r="E12" s="2131"/>
      <c r="F12" s="2131"/>
      <c r="G12" s="2131"/>
      <c r="H12" s="2131"/>
      <c r="I12" s="2131"/>
      <c r="J12" s="2131"/>
      <c r="K12" s="2131"/>
      <c r="L12" s="2131"/>
      <c r="M12" s="2131"/>
      <c r="N12" s="2131"/>
      <c r="O12" s="2131"/>
      <c r="P12" s="2131"/>
      <c r="Q12" s="2131"/>
      <c r="R12" s="2131"/>
    </row>
    <row r="13" spans="1:24" x14ac:dyDescent="0.25">
      <c r="A13" s="2131" t="s">
        <v>835</v>
      </c>
      <c r="B13" s="2131"/>
      <c r="C13" s="2131"/>
      <c r="D13" s="2131"/>
      <c r="E13" s="2131"/>
      <c r="F13" s="2131"/>
      <c r="G13" s="2131"/>
      <c r="H13" s="2131"/>
      <c r="I13" s="2131"/>
      <c r="J13" s="2131"/>
      <c r="K13" s="2131"/>
      <c r="L13" s="2131"/>
      <c r="M13" s="2131"/>
      <c r="N13" s="2131"/>
      <c r="O13" s="2131"/>
      <c r="P13" s="2131"/>
      <c r="Q13" s="2131"/>
      <c r="R13" s="2131"/>
    </row>
    <row r="14" spans="1:24" x14ac:dyDescent="0.25">
      <c r="A14" s="606" t="s">
        <v>1932</v>
      </c>
    </row>
    <row r="15" spans="1:24" x14ac:dyDescent="0.25">
      <c r="A15" s="2131" t="s">
        <v>836</v>
      </c>
      <c r="B15" s="2131"/>
      <c r="C15" s="2131"/>
      <c r="D15" s="2131"/>
      <c r="E15" s="2131"/>
      <c r="F15" s="2131"/>
      <c r="G15" s="2131"/>
      <c r="H15" s="2131"/>
      <c r="I15" s="2131"/>
      <c r="J15" s="2131"/>
      <c r="K15" s="2131"/>
      <c r="L15" s="2131"/>
      <c r="M15" s="2131"/>
      <c r="N15" s="2131"/>
      <c r="O15" s="2131"/>
      <c r="P15" s="2131"/>
      <c r="Q15" s="2131"/>
      <c r="R15" s="2131"/>
    </row>
    <row r="16" spans="1:24" ht="15.75" thickBot="1" x14ac:dyDescent="0.3"/>
    <row r="17" spans="1:30" s="609" customFormat="1" ht="15.75" thickBot="1" x14ac:dyDescent="0.3">
      <c r="A17" s="607"/>
      <c r="B17" s="607"/>
      <c r="C17" s="2127">
        <v>2012</v>
      </c>
      <c r="D17" s="2128"/>
      <c r="E17" s="2129"/>
      <c r="F17" s="2127">
        <v>2013</v>
      </c>
      <c r="G17" s="2128"/>
      <c r="H17" s="2129"/>
      <c r="I17" s="2127">
        <v>2014</v>
      </c>
      <c r="J17" s="2128"/>
      <c r="K17" s="2129"/>
      <c r="L17" s="2127">
        <v>2015</v>
      </c>
      <c r="M17" s="2128"/>
      <c r="N17" s="2129"/>
      <c r="O17" s="2127" t="s">
        <v>1930</v>
      </c>
      <c r="P17" s="2128"/>
      <c r="Q17" s="2129"/>
      <c r="R17" s="2127">
        <v>2017</v>
      </c>
      <c r="S17" s="2128"/>
      <c r="T17" s="2129"/>
      <c r="U17" s="2127">
        <v>2018</v>
      </c>
      <c r="V17" s="2128">
        <v>2016</v>
      </c>
      <c r="W17" s="2129"/>
      <c r="X17" s="2127">
        <v>2019</v>
      </c>
      <c r="Y17" s="2128"/>
      <c r="Z17" s="2129"/>
      <c r="AA17" s="2127">
        <v>2020</v>
      </c>
      <c r="AB17" s="2128"/>
      <c r="AC17" s="2129"/>
      <c r="AD17" s="608"/>
    </row>
    <row r="18" spans="1:30" x14ac:dyDescent="0.25">
      <c r="A18" s="264"/>
      <c r="B18" s="264"/>
      <c r="C18" s="264"/>
      <c r="D18" s="252" t="s">
        <v>837</v>
      </c>
      <c r="E18" s="579" t="s">
        <v>838</v>
      </c>
      <c r="F18" s="264"/>
      <c r="G18" s="252" t="s">
        <v>837</v>
      </c>
      <c r="H18" s="579" t="s">
        <v>838</v>
      </c>
      <c r="I18" s="264"/>
      <c r="J18" s="252" t="s">
        <v>837</v>
      </c>
      <c r="K18" s="579" t="s">
        <v>838</v>
      </c>
      <c r="L18" s="264"/>
      <c r="M18" s="252" t="s">
        <v>837</v>
      </c>
      <c r="N18" s="579" t="s">
        <v>838</v>
      </c>
      <c r="O18" s="264"/>
      <c r="P18" s="252" t="s">
        <v>837</v>
      </c>
      <c r="Q18" s="579" t="s">
        <v>838</v>
      </c>
      <c r="R18" s="264"/>
      <c r="S18" s="252" t="s">
        <v>837</v>
      </c>
      <c r="T18" s="579" t="s">
        <v>838</v>
      </c>
      <c r="U18" s="264"/>
      <c r="V18" s="252" t="s">
        <v>837</v>
      </c>
      <c r="W18" s="579" t="s">
        <v>838</v>
      </c>
      <c r="X18" s="264"/>
      <c r="Y18" s="252" t="s">
        <v>837</v>
      </c>
      <c r="Z18" s="579" t="s">
        <v>838</v>
      </c>
      <c r="AA18" s="264"/>
      <c r="AB18" s="252" t="s">
        <v>837</v>
      </c>
      <c r="AC18" s="579" t="s">
        <v>838</v>
      </c>
      <c r="AD18" s="264"/>
    </row>
    <row r="19" spans="1:30" x14ac:dyDescent="0.25">
      <c r="A19" s="610"/>
      <c r="B19" s="611"/>
      <c r="C19" s="611" t="s">
        <v>388</v>
      </c>
      <c r="D19" s="612">
        <v>0.06</v>
      </c>
      <c r="E19" s="612">
        <v>0.94</v>
      </c>
      <c r="F19" s="611" t="s">
        <v>388</v>
      </c>
      <c r="G19" s="612">
        <v>0.06</v>
      </c>
      <c r="H19" s="612">
        <v>0.94</v>
      </c>
      <c r="I19" s="611" t="s">
        <v>388</v>
      </c>
      <c r="J19" s="612">
        <v>0.06</v>
      </c>
      <c r="K19" s="612">
        <v>0.94</v>
      </c>
      <c r="L19" s="611" t="s">
        <v>388</v>
      </c>
      <c r="M19" s="612">
        <v>0.06</v>
      </c>
      <c r="N19" s="612">
        <v>0.94</v>
      </c>
      <c r="O19" s="611" t="s">
        <v>388</v>
      </c>
      <c r="P19" s="612">
        <v>0.06</v>
      </c>
      <c r="Q19" s="612">
        <v>0.94</v>
      </c>
      <c r="R19" s="611" t="s">
        <v>388</v>
      </c>
      <c r="S19" s="612">
        <v>0.06</v>
      </c>
      <c r="T19" s="612">
        <v>0.94</v>
      </c>
      <c r="U19" s="611" t="s">
        <v>388</v>
      </c>
      <c r="V19" s="612">
        <v>0.06</v>
      </c>
      <c r="W19" s="612">
        <v>0.94</v>
      </c>
      <c r="X19" s="611" t="s">
        <v>388</v>
      </c>
      <c r="Y19" s="612">
        <v>0.06</v>
      </c>
      <c r="Z19" s="612">
        <v>0.94</v>
      </c>
      <c r="AA19" s="611" t="s">
        <v>388</v>
      </c>
      <c r="AB19" s="612">
        <v>0.06</v>
      </c>
      <c r="AC19" s="612">
        <v>0.94</v>
      </c>
      <c r="AD19" s="264"/>
    </row>
    <row r="20" spans="1:30" x14ac:dyDescent="0.25">
      <c r="A20" s="252" t="s">
        <v>839</v>
      </c>
      <c r="B20" s="613"/>
      <c r="C20" s="614">
        <f>D82</f>
        <v>0</v>
      </c>
      <c r="D20" s="584">
        <f>C20*D19</f>
        <v>0</v>
      </c>
      <c r="E20" s="615">
        <f>C20*E19</f>
        <v>0</v>
      </c>
      <c r="F20" s="614">
        <f>E82</f>
        <v>0</v>
      </c>
      <c r="G20" s="584">
        <f>F20*G19</f>
        <v>0</v>
      </c>
      <c r="H20" s="615">
        <f>F20*H19</f>
        <v>0</v>
      </c>
      <c r="I20" s="614">
        <f>F82</f>
        <v>0</v>
      </c>
      <c r="J20" s="584">
        <f>I20*J19</f>
        <v>0</v>
      </c>
      <c r="K20" s="615">
        <f>I20*K19</f>
        <v>0</v>
      </c>
      <c r="L20" s="614">
        <f>G82</f>
        <v>0</v>
      </c>
      <c r="M20" s="584">
        <f>L20*M19</f>
        <v>0</v>
      </c>
      <c r="N20" s="615">
        <f>L20*N19</f>
        <v>0</v>
      </c>
      <c r="O20" s="614">
        <f>H82</f>
        <v>0</v>
      </c>
      <c r="P20" s="584">
        <f>O20*P19</f>
        <v>0</v>
      </c>
      <c r="Q20" s="615">
        <f>O20*Q19</f>
        <v>0</v>
      </c>
      <c r="R20" s="614">
        <f>I82</f>
        <v>0</v>
      </c>
      <c r="S20" s="584">
        <f>R20*S19</f>
        <v>0</v>
      </c>
      <c r="T20" s="615">
        <f>R20*T19</f>
        <v>0</v>
      </c>
      <c r="U20" s="616">
        <f>J82</f>
        <v>0</v>
      </c>
      <c r="V20" s="584">
        <f>U20*V19</f>
        <v>0</v>
      </c>
      <c r="W20" s="615">
        <f>U20*W19</f>
        <v>0</v>
      </c>
      <c r="X20" s="616">
        <f>K82</f>
        <v>0</v>
      </c>
      <c r="Y20" s="584">
        <f>X20*Y19</f>
        <v>0</v>
      </c>
      <c r="Z20" s="615">
        <f>X20*Z19</f>
        <v>0</v>
      </c>
      <c r="AA20" s="616">
        <f>L82</f>
        <v>0</v>
      </c>
      <c r="AB20" s="584">
        <f>AA20*AB19</f>
        <v>0</v>
      </c>
      <c r="AC20" s="615">
        <f>AA20*AC19</f>
        <v>0</v>
      </c>
      <c r="AD20" s="264"/>
    </row>
    <row r="21" spans="1:30" x14ac:dyDescent="0.25">
      <c r="A21" s="264" t="s">
        <v>885</v>
      </c>
      <c r="B21" s="617"/>
      <c r="C21" s="618">
        <f>'App.2-FA Proposed REG Invest.'!C64</f>
        <v>0</v>
      </c>
      <c r="D21" s="619">
        <f>C21</f>
        <v>0</v>
      </c>
      <c r="E21" s="620"/>
      <c r="F21" s="618">
        <f>'App.2-FA Proposed REG Invest.'!D64</f>
        <v>0</v>
      </c>
      <c r="G21" s="619">
        <f>F21</f>
        <v>0</v>
      </c>
      <c r="H21" s="620"/>
      <c r="I21" s="618">
        <f>'App.2-FA Proposed REG Invest.'!E64</f>
        <v>0</v>
      </c>
      <c r="J21" s="619">
        <f>I21</f>
        <v>0</v>
      </c>
      <c r="K21" s="620"/>
      <c r="L21" s="618">
        <f>'App.2-FA Proposed REG Invest.'!F64</f>
        <v>0</v>
      </c>
      <c r="M21" s="619">
        <f>L21</f>
        <v>0</v>
      </c>
      <c r="N21" s="620"/>
      <c r="O21" s="618">
        <f>'App.2-FA Proposed REG Invest.'!G64</f>
        <v>0</v>
      </c>
      <c r="P21" s="619">
        <f>O21</f>
        <v>0</v>
      </c>
      <c r="Q21" s="620"/>
      <c r="R21" s="618">
        <f>'App.2-FA Proposed REG Invest.'!H64</f>
        <v>0</v>
      </c>
      <c r="S21" s="619">
        <f>R21</f>
        <v>0</v>
      </c>
      <c r="T21" s="620"/>
      <c r="U21" s="618">
        <f>'App.2-FA Proposed REG Invest.'!I64</f>
        <v>0</v>
      </c>
      <c r="V21" s="619">
        <f>U21</f>
        <v>0</v>
      </c>
      <c r="W21" s="620"/>
      <c r="X21" s="618">
        <f>'App.2-FA Proposed REG Invest.'!J64</f>
        <v>0</v>
      </c>
      <c r="Y21" s="619">
        <f>X21</f>
        <v>0</v>
      </c>
      <c r="Z21" s="620"/>
      <c r="AA21" s="618">
        <f>'App.2-FA Proposed REG Invest.'!K64</f>
        <v>0</v>
      </c>
      <c r="AB21" s="619">
        <f>AA21</f>
        <v>0</v>
      </c>
      <c r="AC21" s="620"/>
      <c r="AD21" s="264"/>
    </row>
    <row r="22" spans="1:30" x14ac:dyDescent="0.25">
      <c r="A22" s="264" t="s">
        <v>840</v>
      </c>
      <c r="B22" s="617"/>
      <c r="C22" s="618">
        <f>'App.2-FA Proposed REG Invest.'!C63</f>
        <v>0</v>
      </c>
      <c r="D22" s="619">
        <f>C22*D19</f>
        <v>0</v>
      </c>
      <c r="E22" s="619">
        <f>C22*E19</f>
        <v>0</v>
      </c>
      <c r="F22" s="618">
        <f>'App.2-FA Proposed REG Invest.'!D63</f>
        <v>0</v>
      </c>
      <c r="G22" s="619">
        <f>F22*G19</f>
        <v>0</v>
      </c>
      <c r="H22" s="619">
        <f>F22*H19</f>
        <v>0</v>
      </c>
      <c r="I22" s="618">
        <f>'App.2-FA Proposed REG Invest.'!E63</f>
        <v>0</v>
      </c>
      <c r="J22" s="619">
        <f>I22*J19</f>
        <v>0</v>
      </c>
      <c r="K22" s="619">
        <f>I22*K19</f>
        <v>0</v>
      </c>
      <c r="L22" s="618">
        <f>'App.2-FA Proposed REG Invest.'!F63</f>
        <v>0</v>
      </c>
      <c r="M22" s="619">
        <f>L22*M19</f>
        <v>0</v>
      </c>
      <c r="N22" s="619">
        <f>L22*N19</f>
        <v>0</v>
      </c>
      <c r="O22" s="618">
        <f>'App.2-FA Proposed REG Invest.'!G63</f>
        <v>0</v>
      </c>
      <c r="P22" s="619">
        <f>O22*P19</f>
        <v>0</v>
      </c>
      <c r="Q22" s="619">
        <f>O22*Q19</f>
        <v>0</v>
      </c>
      <c r="R22" s="618">
        <f>'App.2-FA Proposed REG Invest.'!H63</f>
        <v>0</v>
      </c>
      <c r="S22" s="619">
        <f>R22*S19</f>
        <v>0</v>
      </c>
      <c r="T22" s="619">
        <f>R22*T19</f>
        <v>0</v>
      </c>
      <c r="U22" s="618">
        <f>'App.2-FA Proposed REG Invest.'!I63</f>
        <v>0</v>
      </c>
      <c r="V22" s="619">
        <f>U22*V19</f>
        <v>0</v>
      </c>
      <c r="W22" s="619">
        <f>U22*W19</f>
        <v>0</v>
      </c>
      <c r="X22" s="618">
        <f>'App.2-FA Proposed REG Invest.'!J63</f>
        <v>0</v>
      </c>
      <c r="Y22" s="619">
        <f>X22*Y19</f>
        <v>0</v>
      </c>
      <c r="Z22" s="619">
        <f>X22*Z19</f>
        <v>0</v>
      </c>
      <c r="AA22" s="618">
        <f>'App.2-FA Proposed REG Invest.'!K63</f>
        <v>0</v>
      </c>
      <c r="AB22" s="619">
        <f>AA22*AB19</f>
        <v>0</v>
      </c>
      <c r="AC22" s="619">
        <f>AA22*AC19</f>
        <v>0</v>
      </c>
      <c r="AD22" s="264"/>
    </row>
    <row r="23" spans="1:30" x14ac:dyDescent="0.25">
      <c r="A23" s="264" t="s">
        <v>841</v>
      </c>
      <c r="B23" s="621"/>
      <c r="C23" s="622"/>
      <c r="D23" s="623">
        <f>(D21+D22)*$B$23</f>
        <v>0</v>
      </c>
      <c r="E23" s="624">
        <f>E22*$B$23</f>
        <v>0</v>
      </c>
      <c r="F23" s="622"/>
      <c r="G23" s="623">
        <f>(G21+G22)*$B$23</f>
        <v>0</v>
      </c>
      <c r="H23" s="624">
        <f>H22*$B$23</f>
        <v>0</v>
      </c>
      <c r="I23" s="622"/>
      <c r="J23" s="623">
        <f>(J21+J22)*$B$23</f>
        <v>0</v>
      </c>
      <c r="K23" s="624">
        <f>K22*$B$23</f>
        <v>0</v>
      </c>
      <c r="L23" s="622"/>
      <c r="M23" s="623">
        <f>(M21+M22)*$B$23</f>
        <v>0</v>
      </c>
      <c r="N23" s="624">
        <f>N22*$B$23</f>
        <v>0</v>
      </c>
      <c r="O23" s="622"/>
      <c r="P23" s="623">
        <f>(P21+P22)*$B$23</f>
        <v>0</v>
      </c>
      <c r="Q23" s="624">
        <f>Q22*$B$23</f>
        <v>0</v>
      </c>
      <c r="R23" s="622"/>
      <c r="S23" s="623">
        <f>(S21+S22)*$B$23</f>
        <v>0</v>
      </c>
      <c r="T23" s="624">
        <f>T22*$B$23</f>
        <v>0</v>
      </c>
      <c r="U23" s="622"/>
      <c r="V23" s="623">
        <f>(V21+V22)*$B$23</f>
        <v>0</v>
      </c>
      <c r="W23" s="624">
        <f>W22*$B$23</f>
        <v>0</v>
      </c>
      <c r="X23" s="622"/>
      <c r="Y23" s="623">
        <f>(Y21+Y22)*$B$23</f>
        <v>0</v>
      </c>
      <c r="Z23" s="624">
        <f>Z22*$B$23</f>
        <v>0</v>
      </c>
      <c r="AA23" s="622"/>
      <c r="AB23" s="623">
        <f>(AB21+AB22)*$B$23</f>
        <v>0</v>
      </c>
      <c r="AC23" s="624">
        <f>AC22*$B$23</f>
        <v>0</v>
      </c>
      <c r="AD23" s="264"/>
    </row>
    <row r="24" spans="1:30" x14ac:dyDescent="0.25">
      <c r="A24" s="252" t="s">
        <v>706</v>
      </c>
      <c r="B24" s="283"/>
      <c r="C24" s="264"/>
      <c r="D24" s="625">
        <f>SUM(D20+D23)</f>
        <v>0</v>
      </c>
      <c r="E24" s="625">
        <f>SUM(E20+E23)</f>
        <v>0</v>
      </c>
      <c r="F24" s="264"/>
      <c r="G24" s="625">
        <f>SUM(G20+G23)</f>
        <v>0</v>
      </c>
      <c r="H24" s="625">
        <f>SUM(H20+H23)</f>
        <v>0</v>
      </c>
      <c r="I24" s="264"/>
      <c r="J24" s="625">
        <f>SUM(J20+J23)</f>
        <v>0</v>
      </c>
      <c r="K24" s="625">
        <f>SUM(K20+K23)</f>
        <v>0</v>
      </c>
      <c r="L24" s="264"/>
      <c r="M24" s="625">
        <f>SUM(M20+M23)</f>
        <v>0</v>
      </c>
      <c r="N24" s="625">
        <f>SUM(N20+N23)</f>
        <v>0</v>
      </c>
      <c r="O24" s="264"/>
      <c r="P24" s="625">
        <f>SUM(P20+P23)</f>
        <v>0</v>
      </c>
      <c r="Q24" s="625">
        <f>SUM(Q20+Q23)</f>
        <v>0</v>
      </c>
      <c r="R24" s="264"/>
      <c r="S24" s="625">
        <f>SUM(S20+S23)</f>
        <v>0</v>
      </c>
      <c r="T24" s="625">
        <f>SUM(T20+T23)</f>
        <v>0</v>
      </c>
      <c r="U24" s="264"/>
      <c r="V24" s="625">
        <f>SUM(V20+V23)</f>
        <v>0</v>
      </c>
      <c r="W24" s="625">
        <f>SUM(W20+W23)</f>
        <v>0</v>
      </c>
      <c r="X24" s="264"/>
      <c r="Y24" s="625">
        <f>SUM(Y20+Y23)</f>
        <v>0</v>
      </c>
      <c r="Z24" s="625">
        <f>SUM(Z20+Z23)</f>
        <v>0</v>
      </c>
      <c r="AA24" s="264"/>
      <c r="AB24" s="625">
        <f>SUM(AB20+AB23)</f>
        <v>0</v>
      </c>
      <c r="AC24" s="625">
        <f>SUM(AC20+AC23)</f>
        <v>0</v>
      </c>
      <c r="AD24" s="264"/>
    </row>
    <row r="25" spans="1:30" x14ac:dyDescent="0.25">
      <c r="A25" s="264"/>
      <c r="B25" s="264"/>
      <c r="C25" s="264"/>
      <c r="D25" s="264"/>
      <c r="E25" s="264"/>
      <c r="F25" s="264"/>
      <c r="G25" s="264"/>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row>
    <row r="26" spans="1:30" x14ac:dyDescent="0.25">
      <c r="A26" s="264"/>
      <c r="B26" s="264"/>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row>
    <row r="27" spans="1:30" x14ac:dyDescent="0.25">
      <c r="A27" s="264" t="s">
        <v>842</v>
      </c>
      <c r="B27" s="621"/>
      <c r="C27" s="613"/>
      <c r="D27" s="625">
        <f>D24*$B$27</f>
        <v>0</v>
      </c>
      <c r="E27" s="625">
        <f>E24*$B$27</f>
        <v>0</v>
      </c>
      <c r="F27" s="613"/>
      <c r="G27" s="625">
        <f>G24*$B$27</f>
        <v>0</v>
      </c>
      <c r="H27" s="625">
        <f>H24*$B$27</f>
        <v>0</v>
      </c>
      <c r="I27" s="613"/>
      <c r="J27" s="625">
        <f>J24*$B$27</f>
        <v>0</v>
      </c>
      <c r="K27" s="625">
        <f>K24*$B$27</f>
        <v>0</v>
      </c>
      <c r="L27" s="613"/>
      <c r="M27" s="625">
        <f>M24*$B$27</f>
        <v>0</v>
      </c>
      <c r="N27" s="625">
        <f>N24*$B$27</f>
        <v>0</v>
      </c>
      <c r="O27" s="613"/>
      <c r="P27" s="625">
        <f>P24*$B$27</f>
        <v>0</v>
      </c>
      <c r="Q27" s="625">
        <f>Q24*$B$27</f>
        <v>0</v>
      </c>
      <c r="R27" s="613"/>
      <c r="S27" s="625">
        <f>S24*$B$27</f>
        <v>0</v>
      </c>
      <c r="T27" s="625">
        <f>T24*$B$27</f>
        <v>0</v>
      </c>
      <c r="U27" s="613"/>
      <c r="V27" s="625">
        <f>V24*$B$27</f>
        <v>0</v>
      </c>
      <c r="W27" s="625">
        <f>W24*$B$27</f>
        <v>0</v>
      </c>
      <c r="X27" s="613"/>
      <c r="Y27" s="625">
        <f>Y24*$B$27</f>
        <v>0</v>
      </c>
      <c r="Z27" s="625">
        <f>Z24*$B$27</f>
        <v>0</v>
      </c>
      <c r="AA27" s="613"/>
      <c r="AB27" s="625">
        <f>AB24*$B$27</f>
        <v>0</v>
      </c>
      <c r="AC27" s="625">
        <f>AC24*$B$27</f>
        <v>0</v>
      </c>
      <c r="AD27" s="264"/>
    </row>
    <row r="28" spans="1:30" x14ac:dyDescent="0.25">
      <c r="A28" s="264" t="s">
        <v>843</v>
      </c>
      <c r="B28" s="621"/>
      <c r="C28" s="626"/>
      <c r="D28" s="625">
        <f>D24*$B$28</f>
        <v>0</v>
      </c>
      <c r="E28" s="625">
        <f>E24*$B$28</f>
        <v>0</v>
      </c>
      <c r="F28" s="626"/>
      <c r="G28" s="625">
        <f>G24*$B$28</f>
        <v>0</v>
      </c>
      <c r="H28" s="625">
        <f>H24*$B$28</f>
        <v>0</v>
      </c>
      <c r="I28" s="626"/>
      <c r="J28" s="625">
        <f>J24*$B$28</f>
        <v>0</v>
      </c>
      <c r="K28" s="625">
        <f>K24*$B$28</f>
        <v>0</v>
      </c>
      <c r="L28" s="626"/>
      <c r="M28" s="625">
        <f>M24*$B$28</f>
        <v>0</v>
      </c>
      <c r="N28" s="625">
        <f>N24*$B$28</f>
        <v>0</v>
      </c>
      <c r="O28" s="626"/>
      <c r="P28" s="625">
        <f>P24*$B$28</f>
        <v>0</v>
      </c>
      <c r="Q28" s="625">
        <f>Q24*$B$28</f>
        <v>0</v>
      </c>
      <c r="R28" s="626"/>
      <c r="S28" s="625">
        <f>S24*$B$28</f>
        <v>0</v>
      </c>
      <c r="T28" s="625">
        <f>T24*$B$28</f>
        <v>0</v>
      </c>
      <c r="U28" s="626"/>
      <c r="V28" s="625">
        <f>V24*$B$28</f>
        <v>0</v>
      </c>
      <c r="W28" s="625">
        <f>W24*$B$28</f>
        <v>0</v>
      </c>
      <c r="X28" s="626"/>
      <c r="Y28" s="625">
        <f>Y24*$B$28</f>
        <v>0</v>
      </c>
      <c r="Z28" s="625">
        <f>Z24*$B$28</f>
        <v>0</v>
      </c>
      <c r="AA28" s="626"/>
      <c r="AB28" s="625">
        <f>AB24*$B$28</f>
        <v>0</v>
      </c>
      <c r="AC28" s="625">
        <f>AC24*$B$28</f>
        <v>0</v>
      </c>
      <c r="AD28" s="264"/>
    </row>
    <row r="29" spans="1:30" x14ac:dyDescent="0.25">
      <c r="A29" s="264" t="s">
        <v>844</v>
      </c>
      <c r="B29" s="621"/>
      <c r="C29" s="627"/>
      <c r="D29" s="625">
        <f>D24*$B$29</f>
        <v>0</v>
      </c>
      <c r="E29" s="625">
        <f>E24*$B$29</f>
        <v>0</v>
      </c>
      <c r="F29" s="627"/>
      <c r="G29" s="625">
        <f>G24*$B$29</f>
        <v>0</v>
      </c>
      <c r="H29" s="625">
        <f>H24*$B$29</f>
        <v>0</v>
      </c>
      <c r="I29" s="627"/>
      <c r="J29" s="625">
        <f>J24*$B$29</f>
        <v>0</v>
      </c>
      <c r="K29" s="625">
        <f>K24*$B$29</f>
        <v>0</v>
      </c>
      <c r="L29" s="627"/>
      <c r="M29" s="625">
        <f>M24*$B$29</f>
        <v>0</v>
      </c>
      <c r="N29" s="625">
        <f>N24*$B$29</f>
        <v>0</v>
      </c>
      <c r="O29" s="627"/>
      <c r="P29" s="625">
        <f>P24*$B$29</f>
        <v>0</v>
      </c>
      <c r="Q29" s="625">
        <f>Q24*$B$29</f>
        <v>0</v>
      </c>
      <c r="R29" s="627"/>
      <c r="S29" s="625">
        <f>S24*$B$29</f>
        <v>0</v>
      </c>
      <c r="T29" s="625">
        <f>T24*$B$29</f>
        <v>0</v>
      </c>
      <c r="U29" s="627"/>
      <c r="V29" s="625">
        <f>V24*$B$29</f>
        <v>0</v>
      </c>
      <c r="W29" s="625">
        <f>W24*$B$29</f>
        <v>0</v>
      </c>
      <c r="X29" s="627"/>
      <c r="Y29" s="625">
        <f>Y24*$B$29</f>
        <v>0</v>
      </c>
      <c r="Z29" s="625">
        <f>Z24*$B$29</f>
        <v>0</v>
      </c>
      <c r="AA29" s="627"/>
      <c r="AB29" s="625">
        <f>AB24*$B$29</f>
        <v>0</v>
      </c>
      <c r="AC29" s="625">
        <f>AC24*$B$29</f>
        <v>0</v>
      </c>
      <c r="AD29" s="264"/>
    </row>
    <row r="30" spans="1:30" x14ac:dyDescent="0.25">
      <c r="A30" s="264"/>
      <c r="B30" s="264"/>
      <c r="C30" s="264"/>
      <c r="D30" s="628"/>
      <c r="E30" s="264"/>
      <c r="F30" s="264"/>
      <c r="G30" s="628"/>
      <c r="H30" s="264"/>
      <c r="I30" s="264"/>
      <c r="J30" s="628"/>
      <c r="K30" s="264"/>
      <c r="L30" s="264"/>
      <c r="M30" s="628"/>
      <c r="N30" s="264"/>
      <c r="O30" s="264"/>
      <c r="P30" s="628"/>
      <c r="Q30" s="264"/>
      <c r="R30" s="264"/>
      <c r="S30" s="628"/>
      <c r="T30" s="264"/>
      <c r="U30" s="264"/>
      <c r="V30" s="628"/>
      <c r="W30" s="264"/>
      <c r="X30" s="264"/>
      <c r="Y30" s="628"/>
      <c r="Z30" s="264"/>
      <c r="AA30" s="264"/>
      <c r="AB30" s="628"/>
      <c r="AC30" s="264"/>
      <c r="AD30" s="264"/>
    </row>
    <row r="31" spans="1:30" x14ac:dyDescent="0.25">
      <c r="A31" s="264" t="s">
        <v>845</v>
      </c>
      <c r="B31" s="621"/>
      <c r="C31" s="629"/>
      <c r="D31" s="625">
        <f>D27*$B31</f>
        <v>0</v>
      </c>
      <c r="E31" s="625">
        <f>E27*$B31</f>
        <v>0</v>
      </c>
      <c r="F31" s="629"/>
      <c r="G31" s="625">
        <f>G27*$B31</f>
        <v>0</v>
      </c>
      <c r="H31" s="625">
        <f>H27*$B31</f>
        <v>0</v>
      </c>
      <c r="I31" s="629"/>
      <c r="J31" s="625">
        <f>J27*$B31</f>
        <v>0</v>
      </c>
      <c r="K31" s="625">
        <f>K27*$B31</f>
        <v>0</v>
      </c>
      <c r="L31" s="629"/>
      <c r="M31" s="625">
        <f>M27*$B31</f>
        <v>0</v>
      </c>
      <c r="N31" s="625">
        <f>N27*$B31</f>
        <v>0</v>
      </c>
      <c r="O31" s="629"/>
      <c r="P31" s="625">
        <f>P27*$B31</f>
        <v>0</v>
      </c>
      <c r="Q31" s="625">
        <f>Q27*$B31</f>
        <v>0</v>
      </c>
      <c r="R31" s="629"/>
      <c r="S31" s="625">
        <f>S27*$B31</f>
        <v>0</v>
      </c>
      <c r="T31" s="625">
        <f>T27*$B31</f>
        <v>0</v>
      </c>
      <c r="U31" s="629"/>
      <c r="V31" s="625">
        <f>V27*$B31</f>
        <v>0</v>
      </c>
      <c r="W31" s="625">
        <f>W27*$B31</f>
        <v>0</v>
      </c>
      <c r="X31" s="629"/>
      <c r="Y31" s="625">
        <f>Y27*$B31</f>
        <v>0</v>
      </c>
      <c r="Z31" s="625">
        <f>Z27*$B31</f>
        <v>0</v>
      </c>
      <c r="AA31" s="629"/>
      <c r="AB31" s="625">
        <f>AB27*$B31</f>
        <v>0</v>
      </c>
      <c r="AC31" s="625">
        <f>AC27*$B31</f>
        <v>0</v>
      </c>
      <c r="AD31" s="264"/>
    </row>
    <row r="32" spans="1:30" x14ac:dyDescent="0.25">
      <c r="A32" s="264" t="s">
        <v>846</v>
      </c>
      <c r="B32" s="621"/>
      <c r="C32" s="629"/>
      <c r="D32" s="625">
        <f t="shared" ref="D32:E33" si="0">D28*$B32</f>
        <v>0</v>
      </c>
      <c r="E32" s="625">
        <f t="shared" si="0"/>
        <v>0</v>
      </c>
      <c r="F32" s="629"/>
      <c r="G32" s="625">
        <f t="shared" ref="G32:H33" si="1">G28*$B32</f>
        <v>0</v>
      </c>
      <c r="H32" s="625">
        <f t="shared" si="1"/>
        <v>0</v>
      </c>
      <c r="I32" s="629"/>
      <c r="J32" s="625">
        <f t="shared" ref="J32:K33" si="2">J28*$B32</f>
        <v>0</v>
      </c>
      <c r="K32" s="625">
        <f t="shared" si="2"/>
        <v>0</v>
      </c>
      <c r="L32" s="629"/>
      <c r="M32" s="625">
        <f t="shared" ref="M32:N33" si="3">M28*$B32</f>
        <v>0</v>
      </c>
      <c r="N32" s="625">
        <f t="shared" si="3"/>
        <v>0</v>
      </c>
      <c r="O32" s="629"/>
      <c r="P32" s="625">
        <f t="shared" ref="P32:Q33" si="4">P28*$B32</f>
        <v>0</v>
      </c>
      <c r="Q32" s="625">
        <f t="shared" si="4"/>
        <v>0</v>
      </c>
      <c r="R32" s="629"/>
      <c r="S32" s="625">
        <f t="shared" ref="S32:T33" si="5">S28*$B32</f>
        <v>0</v>
      </c>
      <c r="T32" s="625">
        <f t="shared" si="5"/>
        <v>0</v>
      </c>
      <c r="U32" s="629"/>
      <c r="V32" s="625">
        <f t="shared" ref="V32:W33" si="6">V28*$B32</f>
        <v>0</v>
      </c>
      <c r="W32" s="625">
        <f t="shared" si="6"/>
        <v>0</v>
      </c>
      <c r="X32" s="629"/>
      <c r="Y32" s="625">
        <f t="shared" ref="Y32:Z33" si="7">Y28*$B32</f>
        <v>0</v>
      </c>
      <c r="Z32" s="625">
        <f t="shared" si="7"/>
        <v>0</v>
      </c>
      <c r="AA32" s="629"/>
      <c r="AB32" s="625">
        <f t="shared" ref="AB32:AC33" si="8">AB28*$B32</f>
        <v>0</v>
      </c>
      <c r="AC32" s="625">
        <f t="shared" si="8"/>
        <v>0</v>
      </c>
      <c r="AD32" s="264"/>
    </row>
    <row r="33" spans="1:30" x14ac:dyDescent="0.25">
      <c r="A33" s="264" t="s">
        <v>847</v>
      </c>
      <c r="B33" s="621"/>
      <c r="C33" s="629"/>
      <c r="D33" s="625">
        <f t="shared" si="0"/>
        <v>0</v>
      </c>
      <c r="E33" s="625">
        <f t="shared" si="0"/>
        <v>0</v>
      </c>
      <c r="F33" s="629"/>
      <c r="G33" s="625">
        <f t="shared" si="1"/>
        <v>0</v>
      </c>
      <c r="H33" s="625">
        <f t="shared" si="1"/>
        <v>0</v>
      </c>
      <c r="I33" s="629"/>
      <c r="J33" s="625">
        <f t="shared" si="2"/>
        <v>0</v>
      </c>
      <c r="K33" s="625">
        <f t="shared" si="2"/>
        <v>0</v>
      </c>
      <c r="L33" s="629"/>
      <c r="M33" s="625">
        <f t="shared" si="3"/>
        <v>0</v>
      </c>
      <c r="N33" s="625">
        <f t="shared" si="3"/>
        <v>0</v>
      </c>
      <c r="O33" s="629"/>
      <c r="P33" s="625">
        <f t="shared" si="4"/>
        <v>0</v>
      </c>
      <c r="Q33" s="625">
        <f t="shared" si="4"/>
        <v>0</v>
      </c>
      <c r="R33" s="629"/>
      <c r="S33" s="625">
        <f t="shared" si="5"/>
        <v>0</v>
      </c>
      <c r="T33" s="625">
        <f t="shared" si="5"/>
        <v>0</v>
      </c>
      <c r="U33" s="629"/>
      <c r="V33" s="625">
        <f t="shared" si="6"/>
        <v>0</v>
      </c>
      <c r="W33" s="625">
        <f t="shared" si="6"/>
        <v>0</v>
      </c>
      <c r="X33" s="629"/>
      <c r="Y33" s="625">
        <f t="shared" si="7"/>
        <v>0</v>
      </c>
      <c r="Z33" s="625">
        <f t="shared" si="7"/>
        <v>0</v>
      </c>
      <c r="AA33" s="629"/>
      <c r="AB33" s="625">
        <f t="shared" si="8"/>
        <v>0</v>
      </c>
      <c r="AC33" s="625">
        <f t="shared" si="8"/>
        <v>0</v>
      </c>
      <c r="AD33" s="264"/>
    </row>
    <row r="34" spans="1:30" x14ac:dyDescent="0.25">
      <c r="A34" s="630" t="s">
        <v>848</v>
      </c>
      <c r="B34" s="264"/>
      <c r="C34" s="264"/>
      <c r="D34" s="631">
        <f>SUM(D31:D33)</f>
        <v>0</v>
      </c>
      <c r="E34" s="631">
        <f>SUM(E31:E33)</f>
        <v>0</v>
      </c>
      <c r="F34" s="264"/>
      <c r="G34" s="631">
        <f>SUM(G31:G33)</f>
        <v>0</v>
      </c>
      <c r="H34" s="631">
        <f>SUM(H31:H33)</f>
        <v>0</v>
      </c>
      <c r="I34" s="264"/>
      <c r="J34" s="631">
        <f>SUM(J31:J33)</f>
        <v>0</v>
      </c>
      <c r="K34" s="631">
        <f>SUM(K31:K33)</f>
        <v>0</v>
      </c>
      <c r="L34" s="264"/>
      <c r="M34" s="631">
        <f>SUM(M31:M33)</f>
        <v>0</v>
      </c>
      <c r="N34" s="631">
        <f>SUM(N31:N33)</f>
        <v>0</v>
      </c>
      <c r="O34" s="264"/>
      <c r="P34" s="631">
        <f>SUM(P31:P33)</f>
        <v>0</v>
      </c>
      <c r="Q34" s="631">
        <f>SUM(Q31:Q33)</f>
        <v>0</v>
      </c>
      <c r="R34" s="264"/>
      <c r="S34" s="631">
        <f>SUM(S31:S33)</f>
        <v>0</v>
      </c>
      <c r="T34" s="631">
        <f>SUM(T31:T33)</f>
        <v>0</v>
      </c>
      <c r="U34" s="264"/>
      <c r="V34" s="631">
        <f>SUM(V31:V33)</f>
        <v>0</v>
      </c>
      <c r="W34" s="631">
        <f>SUM(W31:W33)</f>
        <v>0</v>
      </c>
      <c r="X34" s="264"/>
      <c r="Y34" s="631">
        <f>SUM(Y31:Y33)</f>
        <v>0</v>
      </c>
      <c r="Z34" s="631">
        <f>SUM(Z31:Z33)</f>
        <v>0</v>
      </c>
      <c r="AA34" s="264"/>
      <c r="AB34" s="631">
        <f>SUM(AB31:AB33)</f>
        <v>0</v>
      </c>
      <c r="AC34" s="631">
        <f>SUM(AC31:AC33)</f>
        <v>0</v>
      </c>
      <c r="AD34" s="264"/>
    </row>
    <row r="35" spans="1:30" x14ac:dyDescent="0.25">
      <c r="A35" s="264"/>
      <c r="B35" s="264"/>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row>
    <row r="36" spans="1:30" x14ac:dyDescent="0.25">
      <c r="A36" s="264" t="s">
        <v>166</v>
      </c>
      <c r="B36" s="264"/>
      <c r="C36" s="264"/>
      <c r="D36" s="632">
        <f>D21+D22</f>
        <v>0</v>
      </c>
      <c r="E36" s="625">
        <f>E22</f>
        <v>0</v>
      </c>
      <c r="F36" s="264"/>
      <c r="G36" s="632">
        <f>G21+G22</f>
        <v>0</v>
      </c>
      <c r="H36" s="625">
        <f>H22</f>
        <v>0</v>
      </c>
      <c r="I36" s="264"/>
      <c r="J36" s="632">
        <f>J21+J22</f>
        <v>0</v>
      </c>
      <c r="K36" s="625">
        <f>K22</f>
        <v>0</v>
      </c>
      <c r="L36" s="264"/>
      <c r="M36" s="632">
        <f>M21+M22</f>
        <v>0</v>
      </c>
      <c r="N36" s="625">
        <f>N22</f>
        <v>0</v>
      </c>
      <c r="O36" s="264"/>
      <c r="P36" s="632">
        <f>P21+P22</f>
        <v>0</v>
      </c>
      <c r="Q36" s="625">
        <f>Q22</f>
        <v>0</v>
      </c>
      <c r="R36" s="264"/>
      <c r="S36" s="632">
        <f>S21+S22</f>
        <v>0</v>
      </c>
      <c r="T36" s="625">
        <f>T22</f>
        <v>0</v>
      </c>
      <c r="U36" s="264"/>
      <c r="V36" s="632">
        <f>V21+V22</f>
        <v>0</v>
      </c>
      <c r="W36" s="625">
        <f>W22</f>
        <v>0</v>
      </c>
      <c r="X36" s="283"/>
      <c r="Y36" s="632">
        <f>Y21+Y22</f>
        <v>0</v>
      </c>
      <c r="Z36" s="625">
        <f>Z22</f>
        <v>0</v>
      </c>
      <c r="AA36" s="264"/>
      <c r="AB36" s="632">
        <f>AB21+AB22</f>
        <v>0</v>
      </c>
      <c r="AC36" s="625">
        <f>AC22</f>
        <v>0</v>
      </c>
      <c r="AD36" s="264"/>
    </row>
    <row r="37" spans="1:30" x14ac:dyDescent="0.25">
      <c r="A37" s="264" t="s">
        <v>849</v>
      </c>
      <c r="B37" s="633"/>
      <c r="C37" s="584">
        <f>D77</f>
        <v>0</v>
      </c>
      <c r="D37" s="625">
        <f>C37*D$19</f>
        <v>0</v>
      </c>
      <c r="E37" s="625">
        <f>C37*E$19</f>
        <v>0</v>
      </c>
      <c r="F37" s="584">
        <f>E77</f>
        <v>0</v>
      </c>
      <c r="G37" s="625">
        <f>F37*G$19</f>
        <v>0</v>
      </c>
      <c r="H37" s="625">
        <f>F37*H$19</f>
        <v>0</v>
      </c>
      <c r="I37" s="584">
        <f>F77</f>
        <v>0</v>
      </c>
      <c r="J37" s="625">
        <f>I37*J$19</f>
        <v>0</v>
      </c>
      <c r="K37" s="625">
        <f>I37*K$19</f>
        <v>0</v>
      </c>
      <c r="L37" s="584">
        <f>G77</f>
        <v>0</v>
      </c>
      <c r="M37" s="625">
        <f>L37*M$19</f>
        <v>0</v>
      </c>
      <c r="N37" s="625">
        <f>L37*N$19</f>
        <v>0</v>
      </c>
      <c r="O37" s="584">
        <f>H77</f>
        <v>0</v>
      </c>
      <c r="P37" s="625">
        <f>O37*P$19</f>
        <v>0</v>
      </c>
      <c r="Q37" s="625">
        <f>O37*Q$19</f>
        <v>0</v>
      </c>
      <c r="R37" s="634">
        <f>I76+I77</f>
        <v>0</v>
      </c>
      <c r="S37" s="625">
        <f>R37*S$19</f>
        <v>0</v>
      </c>
      <c r="T37" s="625">
        <f>R37*T$19</f>
        <v>0</v>
      </c>
      <c r="U37" s="634">
        <f>J76+J77</f>
        <v>0</v>
      </c>
      <c r="V37" s="625">
        <f>U37*V$19</f>
        <v>0</v>
      </c>
      <c r="W37" s="625">
        <f>U37*W$19</f>
        <v>0</v>
      </c>
      <c r="X37" s="634">
        <f>K76+K77</f>
        <v>0</v>
      </c>
      <c r="Y37" s="625">
        <f>X37*Y$19</f>
        <v>0</v>
      </c>
      <c r="Z37" s="625">
        <f>X37*Z$19</f>
        <v>0</v>
      </c>
      <c r="AA37" s="634">
        <f>L76+L77</f>
        <v>0</v>
      </c>
      <c r="AB37" s="625">
        <f>AA37*AB$19</f>
        <v>0</v>
      </c>
      <c r="AC37" s="625">
        <f>AA37*AC$19</f>
        <v>0</v>
      </c>
      <c r="AD37" s="264"/>
    </row>
    <row r="38" spans="1:30" x14ac:dyDescent="0.25">
      <c r="A38" s="264" t="s">
        <v>850</v>
      </c>
      <c r="B38" s="633"/>
      <c r="C38" s="264"/>
      <c r="D38" s="584">
        <f>D65</f>
        <v>0</v>
      </c>
      <c r="E38" s="584">
        <f>E65</f>
        <v>0</v>
      </c>
      <c r="F38" s="264"/>
      <c r="G38" s="584">
        <f>G65</f>
        <v>0</v>
      </c>
      <c r="H38" s="584">
        <f>H65</f>
        <v>0</v>
      </c>
      <c r="I38" s="264"/>
      <c r="J38" s="584">
        <f>J65</f>
        <v>0</v>
      </c>
      <c r="K38" s="584">
        <f>K65</f>
        <v>0</v>
      </c>
      <c r="L38" s="264"/>
      <c r="M38" s="584">
        <f>M65</f>
        <v>0</v>
      </c>
      <c r="N38" s="584">
        <f>N65</f>
        <v>0</v>
      </c>
      <c r="O38" s="264"/>
      <c r="P38" s="584">
        <f>P65</f>
        <v>0</v>
      </c>
      <c r="Q38" s="584">
        <f>Q65</f>
        <v>0</v>
      </c>
      <c r="R38" s="633"/>
      <c r="S38" s="584">
        <f>S65</f>
        <v>0</v>
      </c>
      <c r="T38" s="584">
        <f>T65</f>
        <v>0</v>
      </c>
      <c r="U38" s="633"/>
      <c r="V38" s="584">
        <f>V65</f>
        <v>0</v>
      </c>
      <c r="W38" s="584">
        <f>W65</f>
        <v>0</v>
      </c>
      <c r="X38" s="633"/>
      <c r="Y38" s="584">
        <f>Y65</f>
        <v>0</v>
      </c>
      <c r="Z38" s="584">
        <f>Z65</f>
        <v>0</v>
      </c>
      <c r="AA38" s="633"/>
      <c r="AB38" s="584">
        <f>AB65</f>
        <v>0</v>
      </c>
      <c r="AC38" s="584">
        <f>AC65</f>
        <v>0</v>
      </c>
      <c r="AD38" s="264"/>
    </row>
    <row r="39" spans="1:30" x14ac:dyDescent="0.25">
      <c r="A39" s="264"/>
      <c r="B39" s="264"/>
      <c r="C39" s="264"/>
      <c r="D39" s="264"/>
      <c r="E39" s="264"/>
      <c r="F39" s="264"/>
      <c r="G39" s="264"/>
      <c r="H39" s="264"/>
      <c r="I39" s="264"/>
      <c r="J39" s="264"/>
      <c r="K39" s="264"/>
      <c r="L39" s="264"/>
      <c r="M39" s="264"/>
      <c r="N39" s="264"/>
      <c r="O39" s="264"/>
      <c r="P39" s="264"/>
      <c r="Q39" s="264"/>
      <c r="R39" s="264"/>
      <c r="S39" s="264"/>
      <c r="T39" s="264"/>
      <c r="U39" s="264"/>
      <c r="V39" s="264"/>
      <c r="W39" s="264"/>
      <c r="X39" s="264"/>
      <c r="Y39" s="264"/>
      <c r="Z39" s="264"/>
      <c r="AA39" s="264"/>
      <c r="AB39" s="264"/>
      <c r="AC39" s="264"/>
      <c r="AD39" s="264"/>
    </row>
    <row r="40" spans="1:30" ht="15.75" thickBot="1" x14ac:dyDescent="0.3">
      <c r="A40" s="252" t="s">
        <v>851</v>
      </c>
      <c r="B40" s="264"/>
      <c r="C40" s="264"/>
      <c r="D40" s="635">
        <f>SUM(D34:D38)</f>
        <v>0</v>
      </c>
      <c r="E40" s="635">
        <f>SUM(E34:E38)</f>
        <v>0</v>
      </c>
      <c r="F40" s="264"/>
      <c r="G40" s="635">
        <f>SUM(G34:G38)</f>
        <v>0</v>
      </c>
      <c r="H40" s="635">
        <f>SUM(H34:H38)</f>
        <v>0</v>
      </c>
      <c r="I40" s="264"/>
      <c r="J40" s="635">
        <f>SUM(J34:J38)</f>
        <v>0</v>
      </c>
      <c r="K40" s="635">
        <f>SUM(K34:K38)</f>
        <v>0</v>
      </c>
      <c r="L40" s="264"/>
      <c r="M40" s="635">
        <f>SUM(M34:M38)</f>
        <v>0</v>
      </c>
      <c r="N40" s="635">
        <f>SUM(N34:N38)</f>
        <v>0</v>
      </c>
      <c r="O40" s="264"/>
      <c r="P40" s="635">
        <f>SUM(P34:P38)</f>
        <v>0</v>
      </c>
      <c r="Q40" s="635">
        <f>SUM(Q34:Q38)</f>
        <v>0</v>
      </c>
      <c r="R40" s="264"/>
      <c r="S40" s="635">
        <f>SUM(S34:S38)</f>
        <v>0</v>
      </c>
      <c r="T40" s="635">
        <f>SUM(T34:T38)</f>
        <v>0</v>
      </c>
      <c r="U40" s="264"/>
      <c r="V40" s="635">
        <f>SUM(V34:V38)</f>
        <v>0</v>
      </c>
      <c r="W40" s="635">
        <f>SUM(W34:W38)</f>
        <v>0</v>
      </c>
      <c r="X40" s="264"/>
      <c r="Y40" s="635">
        <f>SUM(Y34:Y38)</f>
        <v>0</v>
      </c>
      <c r="Z40" s="635">
        <f>SUM(Z34:Z38)</f>
        <v>0</v>
      </c>
      <c r="AA40" s="264"/>
      <c r="AB40" s="635">
        <f>SUM(AB34:AB38)</f>
        <v>0</v>
      </c>
      <c r="AC40" s="635">
        <f>SUM(AC34:AC38)</f>
        <v>0</v>
      </c>
      <c r="AD40" s="264"/>
    </row>
    <row r="41" spans="1:30" x14ac:dyDescent="0.25">
      <c r="A41" s="264"/>
      <c r="B41" s="636"/>
      <c r="C41" s="264"/>
      <c r="D41" s="637"/>
      <c r="E41" s="637"/>
      <c r="F41" s="264"/>
      <c r="G41" s="637"/>
      <c r="H41" s="637"/>
      <c r="I41" s="264"/>
      <c r="J41" s="637"/>
      <c r="K41" s="637"/>
      <c r="L41" s="264"/>
      <c r="M41" s="637"/>
      <c r="N41" s="637"/>
      <c r="O41" s="264"/>
      <c r="P41" s="637"/>
      <c r="Q41" s="637"/>
      <c r="R41" s="264"/>
      <c r="S41" s="637"/>
      <c r="T41" s="637"/>
      <c r="U41" s="264"/>
      <c r="V41" s="637"/>
      <c r="W41" s="637"/>
      <c r="X41" s="264"/>
      <c r="Y41" s="637"/>
      <c r="Z41" s="637"/>
      <c r="AA41" s="264"/>
      <c r="AB41" s="637"/>
      <c r="AC41" s="637"/>
      <c r="AD41" s="264"/>
    </row>
    <row r="42" spans="1:30" x14ac:dyDescent="0.25">
      <c r="A42" s="264"/>
      <c r="B42" s="638"/>
      <c r="C42" s="264"/>
      <c r="D42" s="625"/>
      <c r="E42" s="593"/>
      <c r="F42" s="264"/>
      <c r="G42" s="625"/>
      <c r="H42" s="593"/>
      <c r="I42" s="264"/>
      <c r="J42" s="625"/>
      <c r="K42" s="593"/>
      <c r="L42" s="264"/>
      <c r="M42" s="625"/>
      <c r="N42" s="593"/>
      <c r="O42" s="264"/>
      <c r="P42" s="625"/>
      <c r="Q42" s="593"/>
      <c r="R42" s="625"/>
      <c r="S42" s="264"/>
      <c r="T42" s="625"/>
      <c r="U42" s="625"/>
      <c r="V42" s="264"/>
      <c r="W42" s="625"/>
      <c r="X42" s="625"/>
      <c r="Y42" s="264"/>
      <c r="Z42" s="625"/>
      <c r="AA42" s="625"/>
      <c r="AB42" s="264"/>
      <c r="AC42" s="625"/>
      <c r="AD42" s="264"/>
    </row>
    <row r="43" spans="1:30" x14ac:dyDescent="0.25">
      <c r="A43" s="264" t="s">
        <v>852</v>
      </c>
      <c r="B43" s="638"/>
      <c r="C43" s="264"/>
      <c r="D43" s="625"/>
      <c r="E43" s="639">
        <f>E40</f>
        <v>0</v>
      </c>
      <c r="F43" s="264"/>
      <c r="G43" s="625"/>
      <c r="H43" s="639">
        <f>H40</f>
        <v>0</v>
      </c>
      <c r="I43" s="264"/>
      <c r="J43" s="625"/>
      <c r="K43" s="639">
        <f>K40</f>
        <v>0</v>
      </c>
      <c r="L43" s="264"/>
      <c r="M43" s="625"/>
      <c r="N43" s="639">
        <f>N40</f>
        <v>0</v>
      </c>
      <c r="O43" s="264"/>
      <c r="P43" s="625"/>
      <c r="Q43" s="639">
        <f>Q40</f>
        <v>0</v>
      </c>
      <c r="R43" s="625"/>
      <c r="S43" s="264"/>
      <c r="T43" s="639">
        <f>T40</f>
        <v>0</v>
      </c>
      <c r="U43" s="625"/>
      <c r="V43" s="264"/>
      <c r="W43" s="639">
        <f>W40</f>
        <v>0</v>
      </c>
      <c r="X43" s="625"/>
      <c r="Y43" s="264"/>
      <c r="Z43" s="639">
        <f>Z40</f>
        <v>0</v>
      </c>
      <c r="AA43" s="625"/>
      <c r="AB43" s="264"/>
      <c r="AC43" s="639">
        <f>AC40</f>
        <v>0</v>
      </c>
      <c r="AD43" s="264"/>
    </row>
    <row r="44" spans="1:30" x14ac:dyDescent="0.25">
      <c r="A44" s="264"/>
      <c r="B44" s="640"/>
      <c r="C44" s="264"/>
      <c r="D44" s="641"/>
      <c r="E44" s="593"/>
      <c r="F44" s="264"/>
      <c r="G44" s="641"/>
      <c r="H44" s="593"/>
      <c r="I44" s="264"/>
      <c r="J44" s="641"/>
      <c r="K44" s="593"/>
      <c r="L44" s="264"/>
      <c r="M44" s="641"/>
      <c r="N44" s="593"/>
      <c r="O44" s="264"/>
      <c r="P44" s="641"/>
      <c r="Q44" s="593"/>
      <c r="R44" s="264"/>
      <c r="S44" s="642"/>
      <c r="T44" s="593"/>
      <c r="U44" s="264"/>
      <c r="V44" s="642"/>
      <c r="W44" s="593"/>
      <c r="X44" s="264"/>
      <c r="Y44" s="642"/>
      <c r="Z44" s="593"/>
      <c r="AA44" s="264"/>
      <c r="AB44" s="642"/>
      <c r="AC44" s="593"/>
      <c r="AD44" s="264"/>
    </row>
    <row r="45" spans="1:30" x14ac:dyDescent="0.25">
      <c r="A45" s="283" t="s">
        <v>1506</v>
      </c>
      <c r="B45" s="264"/>
      <c r="C45" s="584"/>
      <c r="D45" s="584"/>
      <c r="E45" s="639">
        <f>E43/12</f>
        <v>0</v>
      </c>
      <c r="F45" s="584"/>
      <c r="G45" s="584"/>
      <c r="H45" s="639">
        <f>H43/12</f>
        <v>0</v>
      </c>
      <c r="I45" s="584"/>
      <c r="J45" s="584"/>
      <c r="K45" s="639">
        <f>K43/12</f>
        <v>0</v>
      </c>
      <c r="L45" s="584"/>
      <c r="M45" s="584"/>
      <c r="N45" s="639">
        <f>N43/12</f>
        <v>0</v>
      </c>
      <c r="O45" s="584"/>
      <c r="P45" s="584"/>
      <c r="Q45" s="639">
        <f>Q43/12</f>
        <v>0</v>
      </c>
      <c r="R45" s="584"/>
      <c r="S45" s="264"/>
      <c r="T45" s="639">
        <f>T43/12</f>
        <v>0</v>
      </c>
      <c r="U45" s="584"/>
      <c r="V45" s="264"/>
      <c r="W45" s="639">
        <f>W43/12</f>
        <v>0</v>
      </c>
      <c r="X45" s="584"/>
      <c r="Y45" s="264"/>
      <c r="Z45" s="639">
        <f>Z43/12</f>
        <v>0</v>
      </c>
      <c r="AA45" s="584"/>
      <c r="AB45" s="264"/>
      <c r="AC45" s="639">
        <f>AC43/12</f>
        <v>0</v>
      </c>
      <c r="AD45" s="264"/>
    </row>
    <row r="46" spans="1:30" x14ac:dyDescent="0.25">
      <c r="A46" s="283"/>
      <c r="B46" s="264"/>
      <c r="C46" s="264"/>
      <c r="D46" s="264"/>
      <c r="E46" s="264"/>
      <c r="F46" s="264"/>
      <c r="G46" s="264"/>
      <c r="H46" s="264"/>
      <c r="I46" s="264"/>
      <c r="J46" s="264"/>
      <c r="K46" s="264"/>
      <c r="L46" s="264"/>
      <c r="M46" s="264"/>
      <c r="N46" s="584"/>
      <c r="O46" s="584"/>
      <c r="P46" s="584"/>
      <c r="Q46" s="643"/>
      <c r="R46" s="584"/>
      <c r="S46" s="264"/>
      <c r="T46" s="584"/>
      <c r="U46" s="584"/>
      <c r="V46" s="264"/>
      <c r="W46" s="264"/>
      <c r="X46" s="584"/>
      <c r="Y46" s="264"/>
      <c r="Z46" s="584"/>
      <c r="AA46" s="584"/>
      <c r="AB46" s="264"/>
      <c r="AC46" s="264"/>
      <c r="AD46" s="264"/>
    </row>
    <row r="47" spans="1:30" ht="12.75" customHeight="1" x14ac:dyDescent="0.25">
      <c r="A47" s="2125" t="s">
        <v>1516</v>
      </c>
      <c r="B47" s="2125"/>
      <c r="C47" s="2125"/>
      <c r="D47" s="2125"/>
      <c r="E47" s="2125"/>
      <c r="F47" s="2125"/>
      <c r="G47" s="2125"/>
      <c r="H47" s="2125"/>
      <c r="I47" s="2125"/>
      <c r="J47" s="2125"/>
      <c r="K47" s="2125"/>
      <c r="L47" s="2125"/>
      <c r="M47" s="2125"/>
      <c r="N47" s="2125"/>
      <c r="O47" s="2125"/>
      <c r="P47" s="2125"/>
      <c r="Q47" s="2125"/>
      <c r="R47" s="2125"/>
      <c r="S47" s="2125"/>
      <c r="T47" s="2125"/>
      <c r="U47" s="2125"/>
      <c r="V47" s="2125"/>
      <c r="W47" s="2125"/>
      <c r="X47" s="264"/>
      <c r="Y47" s="264"/>
      <c r="Z47" s="264"/>
      <c r="AA47" s="264"/>
      <c r="AB47" s="264"/>
      <c r="AC47" s="264"/>
      <c r="AD47" s="264"/>
    </row>
    <row r="48" spans="1:30" ht="12.75" customHeight="1" x14ac:dyDescent="0.25">
      <c r="A48" s="644" t="s">
        <v>1517</v>
      </c>
      <c r="B48" s="1486"/>
      <c r="C48" s="1486"/>
      <c r="D48" s="1486"/>
      <c r="E48" s="1486"/>
      <c r="F48" s="1486"/>
      <c r="G48" s="1486"/>
      <c r="H48" s="1486"/>
      <c r="I48" s="1486"/>
      <c r="J48" s="1486"/>
      <c r="K48" s="1486"/>
      <c r="L48" s="1486"/>
      <c r="M48" s="1486"/>
      <c r="N48" s="1486"/>
      <c r="O48" s="1486"/>
      <c r="P48" s="1486"/>
      <c r="Q48" s="1486"/>
      <c r="R48" s="1486"/>
      <c r="S48" s="1486"/>
      <c r="T48" s="1486"/>
      <c r="U48" s="1486"/>
      <c r="V48" s="1486"/>
      <c r="W48" s="1486"/>
      <c r="X48" s="264"/>
      <c r="Y48" s="264"/>
      <c r="Z48" s="264"/>
      <c r="AA48" s="264"/>
      <c r="AB48" s="264"/>
      <c r="AC48" s="264"/>
      <c r="AD48" s="264"/>
    </row>
    <row r="49" spans="1:30" x14ac:dyDescent="0.25">
      <c r="A49" s="2125" t="s">
        <v>1931</v>
      </c>
      <c r="B49" s="2125"/>
      <c r="C49" s="2125"/>
      <c r="D49" s="2125"/>
      <c r="E49" s="2125"/>
      <c r="F49" s="2125"/>
      <c r="G49" s="2125"/>
      <c r="H49" s="2125"/>
      <c r="I49" s="2125"/>
      <c r="J49" s="2125"/>
      <c r="K49" s="2125"/>
      <c r="L49" s="2125"/>
      <c r="M49" s="2125"/>
      <c r="N49" s="2125"/>
      <c r="O49" s="2125"/>
      <c r="P49" s="2125"/>
      <c r="Q49" s="2125"/>
      <c r="R49" s="2125"/>
      <c r="S49" s="2125"/>
      <c r="T49" s="2125"/>
      <c r="U49" s="2125"/>
      <c r="V49" s="2125"/>
      <c r="W49" s="2125"/>
      <c r="X49" s="264"/>
      <c r="Y49" s="264"/>
      <c r="Z49" s="264"/>
      <c r="AA49" s="264"/>
      <c r="AB49" s="264"/>
      <c r="AC49" s="264"/>
      <c r="AD49" s="264"/>
    </row>
    <row r="50" spans="1:30" x14ac:dyDescent="0.25">
      <c r="A50" s="2126"/>
      <c r="B50" s="2126"/>
      <c r="C50" s="1487"/>
      <c r="D50" s="1487"/>
      <c r="E50" s="1487"/>
      <c r="F50" s="1487"/>
      <c r="G50" s="1487"/>
      <c r="H50" s="1487"/>
      <c r="I50" s="1487"/>
      <c r="J50" s="1487"/>
      <c r="K50" s="1487"/>
      <c r="L50" s="1487"/>
      <c r="M50" s="1487"/>
      <c r="N50" s="645"/>
      <c r="O50" s="645"/>
      <c r="P50" s="645"/>
      <c r="Q50" s="645"/>
      <c r="R50" s="593"/>
      <c r="S50" s="264"/>
      <c r="T50" s="264"/>
      <c r="U50" s="264"/>
      <c r="V50" s="264"/>
      <c r="W50" s="264"/>
      <c r="X50" s="264"/>
      <c r="Y50" s="264"/>
      <c r="Z50" s="264"/>
      <c r="AA50" s="264"/>
      <c r="AB50" s="264"/>
      <c r="AC50" s="264"/>
      <c r="AD50" s="264"/>
    </row>
    <row r="51" spans="1:30" ht="16.5" thickBot="1" x14ac:dyDescent="0.3">
      <c r="A51" s="646" t="s">
        <v>853</v>
      </c>
      <c r="B51" s="1487"/>
      <c r="C51" s="1487"/>
      <c r="D51" s="1487"/>
      <c r="E51" s="1487"/>
      <c r="F51" s="1487"/>
      <c r="G51" s="1487"/>
      <c r="H51" s="1487"/>
      <c r="I51" s="1487"/>
      <c r="J51" s="1487"/>
      <c r="K51" s="1487"/>
      <c r="L51" s="1487"/>
      <c r="M51" s="1487"/>
      <c r="N51" s="645"/>
      <c r="O51" s="645"/>
      <c r="P51" s="645"/>
      <c r="Q51" s="645"/>
      <c r="R51" s="593"/>
      <c r="S51" s="264"/>
      <c r="T51" s="264"/>
      <c r="U51" s="264"/>
      <c r="V51" s="264"/>
      <c r="W51" s="264"/>
      <c r="X51" s="264"/>
      <c r="Y51" s="264"/>
      <c r="Z51" s="264"/>
      <c r="AA51" s="264"/>
      <c r="AB51" s="264"/>
      <c r="AC51" s="264"/>
      <c r="AD51" s="264"/>
    </row>
    <row r="52" spans="1:30" s="609" customFormat="1" ht="15.75" thickBot="1" x14ac:dyDescent="0.3">
      <c r="A52" s="647"/>
      <c r="B52" s="1487"/>
      <c r="C52" s="1487"/>
      <c r="D52" s="2123">
        <v>2012</v>
      </c>
      <c r="E52" s="2124"/>
      <c r="F52" s="608"/>
      <c r="G52" s="2123">
        <v>2013</v>
      </c>
      <c r="H52" s="2124"/>
      <c r="I52" s="608"/>
      <c r="J52" s="2123">
        <v>2014</v>
      </c>
      <c r="K52" s="2124"/>
      <c r="L52" s="608"/>
      <c r="M52" s="2123">
        <v>2015</v>
      </c>
      <c r="N52" s="2124"/>
      <c r="O52" s="608"/>
      <c r="P52" s="2123">
        <v>2016</v>
      </c>
      <c r="Q52" s="2124"/>
      <c r="R52" s="608"/>
      <c r="S52" s="2123">
        <f>P52+1</f>
        <v>2017</v>
      </c>
      <c r="T52" s="2124"/>
      <c r="U52" s="608"/>
      <c r="V52" s="2123">
        <f>S52+1</f>
        <v>2018</v>
      </c>
      <c r="W52" s="2124"/>
      <c r="X52" s="608"/>
      <c r="Y52" s="2123">
        <f>V52+1</f>
        <v>2019</v>
      </c>
      <c r="Z52" s="2124"/>
      <c r="AA52" s="608"/>
      <c r="AB52" s="2123">
        <f>Y52+1</f>
        <v>2020</v>
      </c>
      <c r="AC52" s="2124"/>
      <c r="AD52" s="608"/>
    </row>
    <row r="53" spans="1:30" x14ac:dyDescent="0.25">
      <c r="A53" s="648" t="s">
        <v>854</v>
      </c>
      <c r="B53" s="1487"/>
      <c r="C53" s="1487"/>
      <c r="D53" s="252" t="s">
        <v>837</v>
      </c>
      <c r="E53" s="579" t="s">
        <v>838</v>
      </c>
      <c r="F53" s="264"/>
      <c r="G53" s="252" t="s">
        <v>837</v>
      </c>
      <c r="H53" s="579" t="s">
        <v>838</v>
      </c>
      <c r="I53" s="264"/>
      <c r="J53" s="252" t="s">
        <v>837</v>
      </c>
      <c r="K53" s="579" t="s">
        <v>838</v>
      </c>
      <c r="L53" s="264"/>
      <c r="M53" s="252" t="s">
        <v>837</v>
      </c>
      <c r="N53" s="579" t="s">
        <v>838</v>
      </c>
      <c r="O53" s="264"/>
      <c r="P53" s="252" t="s">
        <v>837</v>
      </c>
      <c r="Q53" s="579" t="s">
        <v>838</v>
      </c>
      <c r="R53" s="264"/>
      <c r="S53" s="252" t="s">
        <v>837</v>
      </c>
      <c r="T53" s="579" t="s">
        <v>838</v>
      </c>
      <c r="U53" s="264"/>
      <c r="V53" s="252" t="s">
        <v>837</v>
      </c>
      <c r="W53" s="579" t="s">
        <v>838</v>
      </c>
      <c r="X53" s="264"/>
      <c r="Y53" s="252" t="s">
        <v>837</v>
      </c>
      <c r="Z53" s="579" t="s">
        <v>838</v>
      </c>
      <c r="AA53" s="264"/>
      <c r="AB53" s="252" t="s">
        <v>837</v>
      </c>
      <c r="AC53" s="579" t="s">
        <v>838</v>
      </c>
      <c r="AD53" s="264"/>
    </row>
    <row r="54" spans="1:30" x14ac:dyDescent="0.25">
      <c r="A54" s="649"/>
      <c r="B54" s="1487"/>
      <c r="C54" s="1487"/>
      <c r="D54" s="252"/>
      <c r="E54" s="579"/>
      <c r="F54" s="611"/>
      <c r="G54" s="252"/>
      <c r="H54" s="579"/>
      <c r="I54" s="611"/>
      <c r="J54" s="252"/>
      <c r="K54" s="579"/>
      <c r="L54" s="611"/>
      <c r="M54" s="252"/>
      <c r="N54" s="579"/>
      <c r="O54" s="611"/>
      <c r="P54" s="252"/>
      <c r="Q54" s="579"/>
      <c r="R54" s="611"/>
      <c r="S54" s="252"/>
      <c r="T54" s="579"/>
      <c r="U54" s="611"/>
      <c r="V54" s="252"/>
      <c r="W54" s="579"/>
      <c r="X54" s="611" t="s">
        <v>388</v>
      </c>
      <c r="Y54" s="252"/>
      <c r="Z54" s="579"/>
      <c r="AA54" s="611" t="s">
        <v>388</v>
      </c>
      <c r="AB54" s="252"/>
      <c r="AC54" s="579"/>
      <c r="AD54" s="264"/>
    </row>
    <row r="55" spans="1:30" x14ac:dyDescent="0.25">
      <c r="A55" s="650" t="s">
        <v>855</v>
      </c>
      <c r="B55" s="1487"/>
      <c r="C55" s="1487"/>
      <c r="D55" s="596">
        <f>D33</f>
        <v>0</v>
      </c>
      <c r="E55" s="651">
        <f>E33</f>
        <v>0</v>
      </c>
      <c r="F55" s="596"/>
      <c r="G55" s="596">
        <f>G33</f>
        <v>0</v>
      </c>
      <c r="H55" s="651">
        <f>H33</f>
        <v>0</v>
      </c>
      <c r="I55" s="596"/>
      <c r="J55" s="596">
        <f>J33</f>
        <v>0</v>
      </c>
      <c r="K55" s="651">
        <f>K33</f>
        <v>0</v>
      </c>
      <c r="L55" s="596"/>
      <c r="M55" s="596">
        <f>M33</f>
        <v>0</v>
      </c>
      <c r="N55" s="651">
        <f>N33</f>
        <v>0</v>
      </c>
      <c r="O55" s="596"/>
      <c r="P55" s="596">
        <f>P33</f>
        <v>0</v>
      </c>
      <c r="Q55" s="651">
        <f>Q33</f>
        <v>0</v>
      </c>
      <c r="R55" s="596"/>
      <c r="S55" s="596">
        <f>S33</f>
        <v>0</v>
      </c>
      <c r="T55" s="651">
        <f>T33</f>
        <v>0</v>
      </c>
      <c r="U55" s="596"/>
      <c r="V55" s="596">
        <f>V33</f>
        <v>0</v>
      </c>
      <c r="W55" s="651">
        <f>W33</f>
        <v>0</v>
      </c>
      <c r="X55" s="596"/>
      <c r="Y55" s="596">
        <f>Y33</f>
        <v>0</v>
      </c>
      <c r="Z55" s="651">
        <f>Z33</f>
        <v>0</v>
      </c>
      <c r="AA55" s="596"/>
      <c r="AB55" s="596">
        <f>AB33</f>
        <v>0</v>
      </c>
      <c r="AC55" s="651">
        <f>AC33</f>
        <v>0</v>
      </c>
      <c r="AD55" s="264"/>
    </row>
    <row r="56" spans="1:30" x14ac:dyDescent="0.25">
      <c r="A56" s="650" t="s">
        <v>856</v>
      </c>
      <c r="B56" s="1487"/>
      <c r="C56" s="1487"/>
      <c r="D56" s="616">
        <f>D37</f>
        <v>0</v>
      </c>
      <c r="E56" s="616">
        <f>E37</f>
        <v>0</v>
      </c>
      <c r="F56" s="595"/>
      <c r="G56" s="616">
        <f>G37</f>
        <v>0</v>
      </c>
      <c r="H56" s="616">
        <f>H37</f>
        <v>0</v>
      </c>
      <c r="I56" s="595"/>
      <c r="J56" s="616">
        <f>J37</f>
        <v>0</v>
      </c>
      <c r="K56" s="616">
        <f>K37</f>
        <v>0</v>
      </c>
      <c r="L56" s="595"/>
      <c r="M56" s="616">
        <f>M37</f>
        <v>0</v>
      </c>
      <c r="N56" s="616">
        <f>N37</f>
        <v>0</v>
      </c>
      <c r="O56" s="595"/>
      <c r="P56" s="616">
        <f>P37</f>
        <v>0</v>
      </c>
      <c r="Q56" s="616">
        <f>Q37</f>
        <v>0</v>
      </c>
      <c r="R56" s="595"/>
      <c r="S56" s="616">
        <f>S37</f>
        <v>0</v>
      </c>
      <c r="T56" s="616">
        <f>T37</f>
        <v>0</v>
      </c>
      <c r="U56" s="595"/>
      <c r="V56" s="616">
        <f>V37</f>
        <v>0</v>
      </c>
      <c r="W56" s="616">
        <f>W37</f>
        <v>0</v>
      </c>
      <c r="X56" s="595"/>
      <c r="Y56" s="616">
        <f>Y37</f>
        <v>0</v>
      </c>
      <c r="Z56" s="616">
        <f>Z37</f>
        <v>0</v>
      </c>
      <c r="AA56" s="595"/>
      <c r="AB56" s="616">
        <f>AB37</f>
        <v>0</v>
      </c>
      <c r="AC56" s="616">
        <f>AC37</f>
        <v>0</v>
      </c>
      <c r="AD56" s="264"/>
    </row>
    <row r="57" spans="1:30" x14ac:dyDescent="0.25">
      <c r="A57" s="650" t="s">
        <v>857</v>
      </c>
      <c r="B57" s="1487"/>
      <c r="C57" s="1487"/>
      <c r="D57" s="595">
        <f>-D94*D$19</f>
        <v>0</v>
      </c>
      <c r="E57" s="595">
        <f>-D94*E$19</f>
        <v>0</v>
      </c>
      <c r="F57" s="595"/>
      <c r="G57" s="595">
        <f>-E94*G19</f>
        <v>0</v>
      </c>
      <c r="H57" s="595">
        <f>-E94*H$19</f>
        <v>0</v>
      </c>
      <c r="I57" s="595"/>
      <c r="J57" s="595">
        <f>-F94*J$19</f>
        <v>0</v>
      </c>
      <c r="K57" s="595">
        <f>-F94*K$19</f>
        <v>0</v>
      </c>
      <c r="L57" s="595"/>
      <c r="M57" s="595">
        <f>-G94*M$19</f>
        <v>0</v>
      </c>
      <c r="N57" s="595">
        <f>-G94*N$19</f>
        <v>0</v>
      </c>
      <c r="O57" s="595"/>
      <c r="P57" s="595">
        <f>-H94*P$19</f>
        <v>0</v>
      </c>
      <c r="Q57" s="595">
        <f>-H94*Q$19</f>
        <v>0</v>
      </c>
      <c r="R57" s="595"/>
      <c r="S57" s="595">
        <f>-I94*S$19</f>
        <v>0</v>
      </c>
      <c r="T57" s="595">
        <f>-I94*T$19</f>
        <v>0</v>
      </c>
      <c r="U57" s="595"/>
      <c r="V57" s="595">
        <f>-J94*V$19</f>
        <v>0</v>
      </c>
      <c r="W57" s="595">
        <f>-J94*W$19</f>
        <v>0</v>
      </c>
      <c r="X57" s="652"/>
      <c r="Y57" s="595">
        <f>-K94*Y$19</f>
        <v>0</v>
      </c>
      <c r="Z57" s="595">
        <f>-K94*Z$19</f>
        <v>0</v>
      </c>
      <c r="AA57" s="595"/>
      <c r="AB57" s="595">
        <f>-L94*AB$19</f>
        <v>0</v>
      </c>
      <c r="AC57" s="595">
        <f>-L94*AC$19</f>
        <v>0</v>
      </c>
      <c r="AD57" s="264"/>
    </row>
    <row r="58" spans="1:30" x14ac:dyDescent="0.25">
      <c r="A58" s="649" t="s">
        <v>858</v>
      </c>
      <c r="B58" s="1487"/>
      <c r="C58" s="1487"/>
      <c r="D58" s="653">
        <f>SUM(D55:D57)</f>
        <v>0</v>
      </c>
      <c r="E58" s="653">
        <f>SUM(E55:E57)</f>
        <v>0</v>
      </c>
      <c r="F58" s="595"/>
      <c r="G58" s="653">
        <f>SUM(G55:G57)</f>
        <v>0</v>
      </c>
      <c r="H58" s="653">
        <f>SUM(H55:H57)</f>
        <v>0</v>
      </c>
      <c r="I58" s="595"/>
      <c r="J58" s="653">
        <f>SUM(J55:J57)</f>
        <v>0</v>
      </c>
      <c r="K58" s="653">
        <f>SUM(K55:K57)</f>
        <v>0</v>
      </c>
      <c r="L58" s="595"/>
      <c r="M58" s="653">
        <f>SUM(M55:M57)</f>
        <v>0</v>
      </c>
      <c r="N58" s="653">
        <f>SUM(N55:N57)</f>
        <v>0</v>
      </c>
      <c r="O58" s="595"/>
      <c r="P58" s="653">
        <f>SUM(P55:P57)</f>
        <v>0</v>
      </c>
      <c r="Q58" s="653">
        <f>SUM(Q55:Q57)</f>
        <v>0</v>
      </c>
      <c r="R58" s="595"/>
      <c r="S58" s="653">
        <f>SUM(S55:S57)</f>
        <v>0</v>
      </c>
      <c r="T58" s="653">
        <f>SUM(T55:T57)</f>
        <v>0</v>
      </c>
      <c r="U58" s="595"/>
      <c r="V58" s="653">
        <f>SUM(V55:V57)</f>
        <v>0</v>
      </c>
      <c r="W58" s="653">
        <f>SUM(W55:W57)</f>
        <v>0</v>
      </c>
      <c r="X58" s="652"/>
      <c r="Y58" s="653">
        <f>SUM(Y55:Y57)</f>
        <v>0</v>
      </c>
      <c r="Z58" s="653">
        <f>SUM(Z55:Z57)</f>
        <v>0</v>
      </c>
      <c r="AA58" s="595"/>
      <c r="AB58" s="653">
        <f>SUM(AB55:AB57)</f>
        <v>0</v>
      </c>
      <c r="AC58" s="653">
        <f>SUM(AC55:AC57)</f>
        <v>0</v>
      </c>
      <c r="AD58" s="264"/>
    </row>
    <row r="59" spans="1:30" x14ac:dyDescent="0.25">
      <c r="A59" s="650"/>
      <c r="B59" s="1487"/>
      <c r="C59" s="1487"/>
      <c r="D59" s="595"/>
      <c r="E59" s="595"/>
      <c r="F59" s="595"/>
      <c r="G59" s="595"/>
      <c r="H59" s="595"/>
      <c r="I59" s="595"/>
      <c r="J59" s="595"/>
      <c r="K59" s="595"/>
      <c r="L59" s="595"/>
      <c r="M59" s="595"/>
      <c r="N59" s="595"/>
      <c r="O59" s="595"/>
      <c r="P59" s="595"/>
      <c r="Q59" s="595"/>
      <c r="R59" s="595"/>
      <c r="S59" s="595"/>
      <c r="T59" s="595"/>
      <c r="U59" s="595"/>
      <c r="V59" s="595"/>
      <c r="W59" s="595"/>
      <c r="X59" s="652"/>
      <c r="Y59" s="595"/>
      <c r="Z59" s="595"/>
      <c r="AA59" s="595"/>
      <c r="AB59" s="595"/>
      <c r="AC59" s="595"/>
      <c r="AD59" s="264"/>
    </row>
    <row r="60" spans="1:30" x14ac:dyDescent="0.25">
      <c r="A60" s="650" t="s">
        <v>859</v>
      </c>
      <c r="B60" s="645"/>
      <c r="C60" s="645"/>
      <c r="D60" s="654"/>
      <c r="E60" s="654"/>
      <c r="F60" s="652"/>
      <c r="G60" s="654"/>
      <c r="H60" s="654"/>
      <c r="I60" s="652"/>
      <c r="J60" s="654"/>
      <c r="K60" s="654"/>
      <c r="L60" s="652"/>
      <c r="M60" s="654"/>
      <c r="N60" s="654"/>
      <c r="O60" s="652"/>
      <c r="P60" s="654"/>
      <c r="Q60" s="654"/>
      <c r="R60" s="652"/>
      <c r="S60" s="654"/>
      <c r="T60" s="654"/>
      <c r="U60" s="652"/>
      <c r="V60" s="654"/>
      <c r="W60" s="654"/>
      <c r="X60" s="652"/>
      <c r="Y60" s="654"/>
      <c r="Z60" s="654"/>
      <c r="AA60" s="595"/>
      <c r="AB60" s="654"/>
      <c r="AC60" s="654"/>
      <c r="AD60" s="264"/>
    </row>
    <row r="61" spans="1:30" x14ac:dyDescent="0.25">
      <c r="A61" s="264"/>
      <c r="B61" s="264"/>
      <c r="C61" s="264"/>
      <c r="D61" s="264"/>
      <c r="E61" s="264"/>
      <c r="F61" s="264"/>
      <c r="G61" s="264"/>
      <c r="H61" s="264"/>
      <c r="I61" s="264"/>
      <c r="J61" s="264"/>
      <c r="K61" s="264"/>
      <c r="L61" s="264"/>
      <c r="M61" s="264"/>
      <c r="N61" s="264"/>
      <c r="O61" s="264"/>
      <c r="P61" s="264"/>
      <c r="Q61" s="264"/>
      <c r="R61" s="264"/>
      <c r="S61" s="264"/>
      <c r="T61" s="264"/>
      <c r="U61" s="264"/>
      <c r="V61" s="264"/>
      <c r="W61" s="264"/>
      <c r="X61" s="264"/>
      <c r="Y61" s="264"/>
      <c r="Z61" s="264"/>
      <c r="AA61" s="264"/>
      <c r="AB61" s="264"/>
      <c r="AC61" s="264"/>
      <c r="AD61" s="264"/>
    </row>
    <row r="62" spans="1:30" x14ac:dyDescent="0.25">
      <c r="A62" s="650" t="s">
        <v>860</v>
      </c>
      <c r="B62" s="1487"/>
      <c r="C62" s="1487"/>
      <c r="D62" s="655">
        <f>D58*D60</f>
        <v>0</v>
      </c>
      <c r="E62" s="655">
        <f>E58*E60</f>
        <v>0</v>
      </c>
      <c r="F62" s="595"/>
      <c r="G62" s="655">
        <f>G58*G60</f>
        <v>0</v>
      </c>
      <c r="H62" s="655">
        <f>H58*H60</f>
        <v>0</v>
      </c>
      <c r="I62" s="595"/>
      <c r="J62" s="655">
        <f>J58*J60</f>
        <v>0</v>
      </c>
      <c r="K62" s="655">
        <f>K58*K60</f>
        <v>0</v>
      </c>
      <c r="L62" s="595"/>
      <c r="M62" s="655">
        <f>M58*M60</f>
        <v>0</v>
      </c>
      <c r="N62" s="655">
        <f>N58*N60</f>
        <v>0</v>
      </c>
      <c r="O62" s="595"/>
      <c r="P62" s="655">
        <f>P58*P60</f>
        <v>0</v>
      </c>
      <c r="Q62" s="655">
        <f>Q58*Q60</f>
        <v>0</v>
      </c>
      <c r="R62" s="595"/>
      <c r="S62" s="655">
        <f>S58*S60</f>
        <v>0</v>
      </c>
      <c r="T62" s="655">
        <f>T58*T60</f>
        <v>0</v>
      </c>
      <c r="U62" s="595"/>
      <c r="V62" s="655">
        <f>V58*V60</f>
        <v>0</v>
      </c>
      <c r="W62" s="655">
        <f>W58*W60</f>
        <v>0</v>
      </c>
      <c r="X62" s="595"/>
      <c r="Y62" s="655">
        <f>Y58*Y60</f>
        <v>0</v>
      </c>
      <c r="Z62" s="655">
        <f>Z58*Z60</f>
        <v>0</v>
      </c>
      <c r="AA62" s="595"/>
      <c r="AB62" s="655">
        <f>AB58*AB60</f>
        <v>0</v>
      </c>
      <c r="AC62" s="655">
        <f>AC58*AC60</f>
        <v>0</v>
      </c>
      <c r="AD62" s="264"/>
    </row>
    <row r="63" spans="1:30" x14ac:dyDescent="0.25">
      <c r="A63" s="656" t="s">
        <v>861</v>
      </c>
      <c r="B63" s="1487"/>
      <c r="C63" s="1487"/>
      <c r="D63" s="650"/>
      <c r="E63" s="650"/>
      <c r="F63" s="647"/>
      <c r="G63" s="650"/>
      <c r="H63" s="650"/>
      <c r="I63" s="647"/>
      <c r="J63" s="650"/>
      <c r="K63" s="650"/>
      <c r="L63" s="647"/>
      <c r="M63" s="650"/>
      <c r="N63" s="650"/>
      <c r="O63" s="647"/>
      <c r="P63" s="650"/>
      <c r="Q63" s="650"/>
      <c r="R63" s="647"/>
      <c r="S63" s="650"/>
      <c r="T63" s="650"/>
      <c r="U63" s="647"/>
      <c r="V63" s="650"/>
      <c r="W63" s="650"/>
      <c r="X63" s="647"/>
      <c r="Y63" s="650"/>
      <c r="Z63" s="650"/>
      <c r="AA63" s="647"/>
      <c r="AB63" s="650"/>
      <c r="AC63" s="650"/>
      <c r="AD63" s="264"/>
    </row>
    <row r="64" spans="1:30" x14ac:dyDescent="0.25">
      <c r="A64" s="650" t="s">
        <v>860</v>
      </c>
      <c r="B64" s="1487"/>
      <c r="C64" s="1487"/>
      <c r="D64" s="657">
        <f>D62/(1-D60)</f>
        <v>0</v>
      </c>
      <c r="E64" s="657">
        <f>E62/(1-E60)</f>
        <v>0</v>
      </c>
      <c r="F64" s="658"/>
      <c r="G64" s="657">
        <f>G62/(1-G60)</f>
        <v>0</v>
      </c>
      <c r="H64" s="657">
        <f>H62/(1-H60)</f>
        <v>0</v>
      </c>
      <c r="I64" s="658"/>
      <c r="J64" s="657">
        <f>J62/(1-J60)</f>
        <v>0</v>
      </c>
      <c r="K64" s="657">
        <f>K62/(1-K60)</f>
        <v>0</v>
      </c>
      <c r="L64" s="658"/>
      <c r="M64" s="657">
        <f>M62/(1-M60)</f>
        <v>0</v>
      </c>
      <c r="N64" s="657">
        <f>N62/(1-N60)</f>
        <v>0</v>
      </c>
      <c r="O64" s="658"/>
      <c r="P64" s="657">
        <f>P62/(1-P60)</f>
        <v>0</v>
      </c>
      <c r="Q64" s="657">
        <f>Q62/(1-Q60)</f>
        <v>0</v>
      </c>
      <c r="R64" s="658"/>
      <c r="S64" s="657">
        <f>S62/(1-S60)</f>
        <v>0</v>
      </c>
      <c r="T64" s="657">
        <f>T62/(1-T60)</f>
        <v>0</v>
      </c>
      <c r="U64" s="658"/>
      <c r="V64" s="657">
        <f>V62/(1-V60)</f>
        <v>0</v>
      </c>
      <c r="W64" s="657">
        <f>W62/(1-W60)</f>
        <v>0</v>
      </c>
      <c r="X64" s="658"/>
      <c r="Y64" s="657">
        <f>Y62/(1-Y60)</f>
        <v>0</v>
      </c>
      <c r="Z64" s="657">
        <f>Z62/(1-Z60)</f>
        <v>0</v>
      </c>
      <c r="AA64" s="658"/>
      <c r="AB64" s="657">
        <f>AB62/(1-AB60)</f>
        <v>0</v>
      </c>
      <c r="AC64" s="657">
        <f>AC62/(1-AC60)</f>
        <v>0</v>
      </c>
      <c r="AD64" s="264"/>
    </row>
    <row r="65" spans="1:30" x14ac:dyDescent="0.25">
      <c r="A65" s="649" t="s">
        <v>862</v>
      </c>
      <c r="B65" s="1487"/>
      <c r="C65" s="1487"/>
      <c r="D65" s="659">
        <f>SUM(D64:D64)</f>
        <v>0</v>
      </c>
      <c r="E65" s="659">
        <f>SUM(E64:E64)</f>
        <v>0</v>
      </c>
      <c r="F65" s="660"/>
      <c r="G65" s="659">
        <f>SUM(G64:G64)</f>
        <v>0</v>
      </c>
      <c r="H65" s="659">
        <f>SUM(H64:H64)</f>
        <v>0</v>
      </c>
      <c r="I65" s="660"/>
      <c r="J65" s="659">
        <f>SUM(J64:J64)</f>
        <v>0</v>
      </c>
      <c r="K65" s="659">
        <f>SUM(K64:K64)</f>
        <v>0</v>
      </c>
      <c r="L65" s="660"/>
      <c r="M65" s="659">
        <f>SUM(M64:M64)</f>
        <v>0</v>
      </c>
      <c r="N65" s="659">
        <f>SUM(N64:N64)</f>
        <v>0</v>
      </c>
      <c r="O65" s="660"/>
      <c r="P65" s="659">
        <f>SUM(P64:P64)</f>
        <v>0</v>
      </c>
      <c r="Q65" s="659">
        <f>SUM(Q64:Q64)</f>
        <v>0</v>
      </c>
      <c r="R65" s="660"/>
      <c r="S65" s="659">
        <f>SUM(S64:S64)</f>
        <v>0</v>
      </c>
      <c r="T65" s="659">
        <f>SUM(T64:T64)</f>
        <v>0</v>
      </c>
      <c r="U65" s="660"/>
      <c r="V65" s="659">
        <f>SUM(V64:V64)</f>
        <v>0</v>
      </c>
      <c r="W65" s="659">
        <f>SUM(W64:W64)</f>
        <v>0</v>
      </c>
      <c r="X65" s="660"/>
      <c r="Y65" s="659">
        <f>SUM(Y64:Y64)</f>
        <v>0</v>
      </c>
      <c r="Z65" s="659">
        <f>SUM(Z64:Z64)</f>
        <v>0</v>
      </c>
      <c r="AA65" s="660"/>
      <c r="AB65" s="659">
        <f>SUM(AB64:AB64)</f>
        <v>0</v>
      </c>
      <c r="AC65" s="659">
        <f>SUM(AC64:AC64)</f>
        <v>0</v>
      </c>
      <c r="AD65" s="264"/>
    </row>
    <row r="66" spans="1:30" x14ac:dyDescent="0.25">
      <c r="A66" s="264"/>
      <c r="B66" s="1486"/>
      <c r="C66" s="1486"/>
      <c r="D66" s="1486"/>
      <c r="E66" s="1486"/>
      <c r="F66" s="1486"/>
      <c r="G66" s="1486"/>
      <c r="H66" s="1486"/>
      <c r="I66" s="1486"/>
      <c r="J66" s="1486"/>
      <c r="K66" s="1486"/>
      <c r="L66" s="1486"/>
      <c r="M66" s="1486"/>
      <c r="N66" s="661"/>
      <c r="O66" s="661"/>
      <c r="P66" s="661"/>
      <c r="Q66" s="661"/>
      <c r="R66" s="264"/>
      <c r="S66" s="264"/>
      <c r="T66" s="264"/>
      <c r="U66" s="264"/>
      <c r="V66" s="264"/>
      <c r="W66" s="264"/>
      <c r="X66" s="264"/>
      <c r="Y66" s="264"/>
      <c r="Z66" s="264"/>
      <c r="AA66" s="264"/>
      <c r="AB66" s="264"/>
      <c r="AC66" s="264"/>
      <c r="AD66" s="264"/>
    </row>
    <row r="67" spans="1:30" ht="15.75" thickBot="1" x14ac:dyDescent="0.3">
      <c r="A67" s="264"/>
      <c r="B67" s="1486"/>
      <c r="C67" s="1486"/>
      <c r="D67" s="1486"/>
      <c r="E67" s="1486"/>
      <c r="F67" s="1486"/>
      <c r="G67" s="1486"/>
      <c r="H67" s="1486"/>
      <c r="I67" s="1486"/>
      <c r="J67" s="1486"/>
      <c r="K67" s="1486"/>
      <c r="L67" s="1486"/>
      <c r="M67" s="1486"/>
      <c r="N67" s="661"/>
      <c r="O67" s="661"/>
      <c r="P67" s="661"/>
      <c r="Q67" s="661"/>
      <c r="R67" s="264"/>
      <c r="S67" s="264"/>
      <c r="T67" s="264"/>
      <c r="U67" s="61"/>
      <c r="V67" s="61"/>
      <c r="W67" s="61"/>
      <c r="X67" s="61"/>
      <c r="Y67" s="61"/>
      <c r="Z67" s="61"/>
      <c r="AA67" s="61"/>
      <c r="AB67" s="61"/>
      <c r="AC67" s="61"/>
      <c r="AD67" s="61"/>
    </row>
    <row r="68" spans="1:30" ht="16.5" thickBot="1" x14ac:dyDescent="0.3">
      <c r="A68" s="662"/>
      <c r="B68" s="662"/>
      <c r="C68" s="662"/>
      <c r="D68" s="663">
        <v>2012</v>
      </c>
      <c r="E68" s="663">
        <v>2013</v>
      </c>
      <c r="F68" s="663">
        <v>2014</v>
      </c>
      <c r="G68" s="663">
        <v>2015</v>
      </c>
      <c r="H68" s="663">
        <v>2016</v>
      </c>
      <c r="I68" s="664">
        <f>H68+1</f>
        <v>2017</v>
      </c>
      <c r="J68" s="664">
        <f t="shared" ref="J68:L68" si="9">I68+1</f>
        <v>2018</v>
      </c>
      <c r="K68" s="664">
        <f t="shared" si="9"/>
        <v>2019</v>
      </c>
      <c r="L68" s="664">
        <f t="shared" si="9"/>
        <v>2020</v>
      </c>
      <c r="M68" s="264"/>
      <c r="N68" s="665"/>
      <c r="O68" s="666"/>
      <c r="P68" s="666"/>
      <c r="Q68" s="666"/>
      <c r="R68" s="666"/>
      <c r="S68" s="666"/>
      <c r="T68" s="61"/>
      <c r="U68" s="61"/>
      <c r="V68" s="61"/>
      <c r="W68" s="61"/>
    </row>
    <row r="69" spans="1:30" x14ac:dyDescent="0.25">
      <c r="A69" s="667" t="s">
        <v>863</v>
      </c>
      <c r="B69" s="668"/>
      <c r="C69" s="668"/>
      <c r="D69" s="668"/>
      <c r="E69" s="668"/>
      <c r="F69" s="668"/>
      <c r="G69" s="669"/>
      <c r="H69" s="669"/>
      <c r="I69" s="669"/>
      <c r="J69" s="283"/>
      <c r="K69" s="669"/>
      <c r="L69" s="283"/>
      <c r="M69" s="264"/>
      <c r="N69" s="670"/>
      <c r="O69" s="671"/>
      <c r="P69" s="283"/>
      <c r="Q69" s="283"/>
      <c r="R69" s="666"/>
      <c r="S69" s="666"/>
      <c r="T69" s="666"/>
      <c r="U69" s="61"/>
      <c r="V69" s="61"/>
      <c r="W69" s="61"/>
    </row>
    <row r="70" spans="1:30" x14ac:dyDescent="0.25">
      <c r="A70" s="662"/>
      <c r="B70" s="672" t="s">
        <v>864</v>
      </c>
      <c r="C70" s="673">
        <v>25</v>
      </c>
      <c r="D70" s="672"/>
      <c r="E70" s="672"/>
      <c r="F70" s="672"/>
      <c r="H70" s="616"/>
      <c r="I70" s="616"/>
      <c r="J70" s="283"/>
      <c r="K70" s="616"/>
      <c r="L70" s="283"/>
      <c r="M70" s="264"/>
      <c r="N70" s="283"/>
      <c r="O70" s="283"/>
      <c r="P70" s="283"/>
      <c r="Q70" s="283"/>
      <c r="R70" s="666"/>
      <c r="S70" s="666"/>
      <c r="T70" s="666"/>
      <c r="U70" s="61"/>
      <c r="V70" s="61"/>
      <c r="W70" s="61"/>
    </row>
    <row r="71" spans="1:30" x14ac:dyDescent="0.25">
      <c r="A71" s="662" t="s">
        <v>865</v>
      </c>
      <c r="B71" s="662"/>
      <c r="C71" s="662"/>
      <c r="D71" s="653"/>
      <c r="E71" s="653">
        <f t="shared" ref="E71:H71" si="10">D73</f>
        <v>0</v>
      </c>
      <c r="F71" s="653">
        <f t="shared" si="10"/>
        <v>0</v>
      </c>
      <c r="G71" s="653">
        <f t="shared" si="10"/>
        <v>0</v>
      </c>
      <c r="H71" s="653">
        <f t="shared" si="10"/>
        <v>0</v>
      </c>
      <c r="I71" s="653">
        <f>H73</f>
        <v>0</v>
      </c>
      <c r="J71" s="653">
        <f>I73</f>
        <v>0</v>
      </c>
      <c r="K71" s="653">
        <f>J73</f>
        <v>0</v>
      </c>
      <c r="L71" s="653">
        <f>K73</f>
        <v>0</v>
      </c>
      <c r="M71" s="264"/>
      <c r="N71" s="283"/>
      <c r="O71" s="283"/>
      <c r="P71" s="283"/>
      <c r="Q71" s="283"/>
      <c r="R71" s="666"/>
      <c r="S71" s="666"/>
      <c r="T71" s="666"/>
      <c r="U71" s="61"/>
      <c r="V71" s="61"/>
      <c r="W71" s="61"/>
    </row>
    <row r="72" spans="1:30" x14ac:dyDescent="0.25">
      <c r="A72" s="662" t="s">
        <v>866</v>
      </c>
      <c r="B72" s="662"/>
      <c r="C72" s="662"/>
      <c r="D72" s="669">
        <f>'App.2-FA Proposed REG Invest.'!C62</f>
        <v>0</v>
      </c>
      <c r="E72" s="669">
        <f>'App.2-FA Proposed REG Invest.'!D62</f>
        <v>0</v>
      </c>
      <c r="F72" s="669">
        <f>'App.2-FA Proposed REG Invest.'!E62</f>
        <v>0</v>
      </c>
      <c r="G72" s="669">
        <f>'App.2-FA Proposed REG Invest.'!F62</f>
        <v>0</v>
      </c>
      <c r="H72" s="669">
        <f>'App.2-FA Proposed REG Invest.'!G62</f>
        <v>0</v>
      </c>
      <c r="I72" s="669">
        <f>'App.2-FA Proposed REG Invest.'!H62</f>
        <v>0</v>
      </c>
      <c r="J72" s="669">
        <f>'App.2-FA Proposed REG Invest.'!I62</f>
        <v>0</v>
      </c>
      <c r="K72" s="669">
        <f>'App.2-FA Proposed REG Invest.'!J62</f>
        <v>0</v>
      </c>
      <c r="L72" s="669">
        <f>'App.2-FA Proposed REG Invest.'!K62</f>
        <v>0</v>
      </c>
      <c r="M72" s="264"/>
      <c r="N72" s="283"/>
      <c r="O72" s="283"/>
      <c r="P72" s="283"/>
      <c r="Q72" s="674"/>
      <c r="R72" s="666"/>
      <c r="S72" s="666"/>
      <c r="T72" s="666"/>
      <c r="U72" s="61"/>
      <c r="V72" s="61"/>
      <c r="W72" s="61"/>
    </row>
    <row r="73" spans="1:30" x14ac:dyDescent="0.25">
      <c r="A73" s="662" t="s">
        <v>867</v>
      </c>
      <c r="B73" s="662"/>
      <c r="C73" s="662"/>
      <c r="D73" s="653">
        <f t="shared" ref="D73:G73" si="11">SUM(D71:D72)</f>
        <v>0</v>
      </c>
      <c r="E73" s="653">
        <f t="shared" si="11"/>
        <v>0</v>
      </c>
      <c r="F73" s="653">
        <f t="shared" si="11"/>
        <v>0</v>
      </c>
      <c r="G73" s="653">
        <f t="shared" si="11"/>
        <v>0</v>
      </c>
      <c r="H73" s="653">
        <f>SUM(H71:H72)</f>
        <v>0</v>
      </c>
      <c r="I73" s="653">
        <f t="shared" ref="I73:L73" si="12">SUM(I71:I72)</f>
        <v>0</v>
      </c>
      <c r="J73" s="653">
        <f t="shared" si="12"/>
        <v>0</v>
      </c>
      <c r="K73" s="653">
        <f t="shared" si="12"/>
        <v>0</v>
      </c>
      <c r="L73" s="653">
        <f t="shared" si="12"/>
        <v>0</v>
      </c>
      <c r="M73" s="264"/>
      <c r="N73" s="666"/>
      <c r="O73" s="666"/>
      <c r="P73" s="666"/>
      <c r="Q73" s="666"/>
      <c r="R73" s="666"/>
      <c r="S73" s="666"/>
      <c r="T73" s="666"/>
      <c r="U73" s="61"/>
      <c r="V73" s="61"/>
      <c r="W73" s="61"/>
    </row>
    <row r="74" spans="1:30" x14ac:dyDescent="0.25">
      <c r="A74" s="662"/>
      <c r="B74" s="662"/>
      <c r="C74" s="662"/>
      <c r="D74" s="595"/>
      <c r="E74" s="595"/>
      <c r="F74" s="595"/>
      <c r="G74" s="595"/>
      <c r="H74" s="595"/>
      <c r="I74" s="616"/>
      <c r="J74" s="283"/>
      <c r="K74" s="616"/>
      <c r="L74" s="283"/>
      <c r="M74" s="264"/>
      <c r="N74" s="283"/>
      <c r="O74" s="666"/>
      <c r="P74" s="666"/>
      <c r="Q74" s="666"/>
      <c r="R74" s="666"/>
      <c r="S74" s="666"/>
      <c r="T74" s="666"/>
      <c r="U74" s="61"/>
      <c r="V74" s="61"/>
      <c r="W74" s="61"/>
    </row>
    <row r="75" spans="1:30" x14ac:dyDescent="0.25">
      <c r="A75" s="662" t="s">
        <v>868</v>
      </c>
      <c r="B75" s="662"/>
      <c r="C75" s="662"/>
      <c r="D75" s="653"/>
      <c r="E75" s="653">
        <f>+D78</f>
        <v>0</v>
      </c>
      <c r="F75" s="653">
        <f t="shared" ref="F75:L75" si="13">E78</f>
        <v>0</v>
      </c>
      <c r="G75" s="653">
        <f t="shared" si="13"/>
        <v>0</v>
      </c>
      <c r="H75" s="653">
        <f t="shared" si="13"/>
        <v>0</v>
      </c>
      <c r="I75" s="653">
        <f t="shared" si="13"/>
        <v>0</v>
      </c>
      <c r="J75" s="653">
        <f t="shared" si="13"/>
        <v>0</v>
      </c>
      <c r="K75" s="653">
        <f t="shared" si="13"/>
        <v>0</v>
      </c>
      <c r="L75" s="653">
        <f t="shared" si="13"/>
        <v>0</v>
      </c>
      <c r="M75" s="264"/>
      <c r="N75" s="283"/>
      <c r="O75" s="666"/>
      <c r="P75" s="666"/>
      <c r="Q75" s="666"/>
      <c r="R75" s="666"/>
      <c r="S75" s="666"/>
      <c r="T75" s="666"/>
      <c r="U75" s="61"/>
      <c r="V75" s="61"/>
      <c r="W75" s="61"/>
    </row>
    <row r="76" spans="1:30" x14ac:dyDescent="0.25">
      <c r="A76" s="662" t="s">
        <v>869</v>
      </c>
      <c r="B76" s="662"/>
      <c r="C76" s="662"/>
      <c r="D76" s="595">
        <f t="shared" ref="D76:H76" si="14">IF(ISERROR(D71/$C$70), 0, D71/$C$70)</f>
        <v>0</v>
      </c>
      <c r="E76" s="595">
        <f t="shared" si="14"/>
        <v>0</v>
      </c>
      <c r="F76" s="595">
        <f t="shared" si="14"/>
        <v>0</v>
      </c>
      <c r="G76" s="595">
        <f t="shared" si="14"/>
        <v>0</v>
      </c>
      <c r="H76" s="595">
        <f t="shared" si="14"/>
        <v>0</v>
      </c>
      <c r="I76" s="595">
        <f>IF(ISERROR(I71/$C$70), 0, I71/$C$70)</f>
        <v>0</v>
      </c>
      <c r="J76" s="595">
        <f>IF(ISERROR(J71/$C$70), 0, J71/$C$70)</f>
        <v>0</v>
      </c>
      <c r="K76" s="595">
        <f>IF(ISERROR(K71/$C$70), 0, K71/$C$70)</f>
        <v>0</v>
      </c>
      <c r="L76" s="595">
        <f>IF(ISERROR(L71/$C$70), 0, L71/$C$70)</f>
        <v>0</v>
      </c>
      <c r="M76" s="264"/>
      <c r="N76" s="283"/>
      <c r="O76" s="666"/>
      <c r="P76" s="666"/>
      <c r="Q76" s="666"/>
      <c r="R76" s="666"/>
      <c r="S76" s="666"/>
      <c r="T76" s="666"/>
      <c r="U76" s="61"/>
      <c r="V76" s="61"/>
      <c r="W76" s="61"/>
    </row>
    <row r="77" spans="1:30" x14ac:dyDescent="0.25">
      <c r="A77" s="662" t="s">
        <v>870</v>
      </c>
      <c r="B77" s="264"/>
      <c r="C77" s="264"/>
      <c r="D77" s="616">
        <f>D72/$C$70/2</f>
        <v>0</v>
      </c>
      <c r="E77" s="616">
        <f>E72/$C$70/2</f>
        <v>0</v>
      </c>
      <c r="F77" s="616">
        <f t="shared" ref="F77:G77" si="15">F72/$C$70/2</f>
        <v>0</v>
      </c>
      <c r="G77" s="616">
        <f t="shared" si="15"/>
        <v>0</v>
      </c>
      <c r="H77" s="616">
        <f>H72/$C$70/2</f>
        <v>0</v>
      </c>
      <c r="I77" s="616">
        <f>I72/C70/2</f>
        <v>0</v>
      </c>
      <c r="J77" s="616">
        <f>J72/C70/2</f>
        <v>0</v>
      </c>
      <c r="K77" s="616">
        <f>K72/C70/2</f>
        <v>0</v>
      </c>
      <c r="L77" s="616">
        <f>L72/C70/2</f>
        <v>0</v>
      </c>
      <c r="M77" s="264"/>
      <c r="N77" s="283"/>
      <c r="O77" s="666"/>
      <c r="P77" s="666"/>
      <c r="Q77" s="666"/>
      <c r="R77" s="666"/>
      <c r="S77" s="666"/>
      <c r="T77" s="666"/>
      <c r="U77" s="61"/>
      <c r="V77" s="61"/>
      <c r="W77" s="61"/>
    </row>
    <row r="78" spans="1:30" x14ac:dyDescent="0.25">
      <c r="A78" s="662" t="s">
        <v>871</v>
      </c>
      <c r="B78" s="662"/>
      <c r="C78" s="662"/>
      <c r="D78" s="653">
        <f>SUM(D75+D76+D77)</f>
        <v>0</v>
      </c>
      <c r="E78" s="653">
        <f>SUM(E75+E76+E77)</f>
        <v>0</v>
      </c>
      <c r="F78" s="653">
        <f>SUM(F75+F76+F77)</f>
        <v>0</v>
      </c>
      <c r="G78" s="653">
        <f>SUM(G75+G76+G77)</f>
        <v>0</v>
      </c>
      <c r="H78" s="653">
        <f>SUM(H75+H76+H77)</f>
        <v>0</v>
      </c>
      <c r="I78" s="653">
        <f>SUM(I75:I77)</f>
        <v>0</v>
      </c>
      <c r="J78" s="653">
        <f>SUM(J75:J77)</f>
        <v>0</v>
      </c>
      <c r="K78" s="653">
        <f>SUM(K75:K77)</f>
        <v>0</v>
      </c>
      <c r="L78" s="653">
        <f>SUM(L75:L77)</f>
        <v>0</v>
      </c>
      <c r="M78" s="264"/>
      <c r="N78" s="283"/>
      <c r="O78" s="666"/>
      <c r="P78" s="666"/>
      <c r="Q78" s="666"/>
      <c r="R78" s="666"/>
      <c r="S78" s="666"/>
      <c r="T78" s="666"/>
      <c r="U78" s="61"/>
      <c r="V78" s="61"/>
      <c r="W78" s="61"/>
    </row>
    <row r="79" spans="1:30" x14ac:dyDescent="0.25">
      <c r="A79" s="662"/>
      <c r="B79" s="662"/>
      <c r="C79" s="662"/>
      <c r="D79" s="616"/>
      <c r="E79" s="616"/>
      <c r="F79" s="616"/>
      <c r="G79" s="616"/>
      <c r="H79" s="616"/>
      <c r="I79" s="616"/>
      <c r="J79" s="616"/>
      <c r="K79" s="616"/>
      <c r="L79" s="616"/>
      <c r="M79" s="264"/>
      <c r="N79" s="283"/>
      <c r="O79" s="666"/>
      <c r="P79" s="674"/>
      <c r="Q79" s="283"/>
      <c r="R79" s="666"/>
      <c r="S79" s="666"/>
      <c r="T79" s="666"/>
      <c r="U79" s="61"/>
      <c r="V79" s="61"/>
      <c r="W79" s="61"/>
    </row>
    <row r="80" spans="1:30" x14ac:dyDescent="0.25">
      <c r="A80" s="662" t="s">
        <v>872</v>
      </c>
      <c r="B80" s="662"/>
      <c r="C80" s="662"/>
      <c r="D80" s="616">
        <f t="shared" ref="D80:G80" si="16">D71-D75</f>
        <v>0</v>
      </c>
      <c r="E80" s="616">
        <f t="shared" si="16"/>
        <v>0</v>
      </c>
      <c r="F80" s="616">
        <f>F71-F75</f>
        <v>0</v>
      </c>
      <c r="G80" s="616">
        <f t="shared" si="16"/>
        <v>0</v>
      </c>
      <c r="H80" s="616">
        <f>H71-H75</f>
        <v>0</v>
      </c>
      <c r="I80" s="616">
        <f>H81</f>
        <v>0</v>
      </c>
      <c r="J80" s="616">
        <f>I81</f>
        <v>0</v>
      </c>
      <c r="K80" s="616">
        <f>J81</f>
        <v>0</v>
      </c>
      <c r="L80" s="616">
        <f>K81</f>
        <v>0</v>
      </c>
      <c r="M80" s="264"/>
      <c r="N80" s="283"/>
      <c r="O80" s="666"/>
      <c r="P80" s="283"/>
      <c r="Q80" s="666"/>
      <c r="R80" s="666"/>
      <c r="S80" s="666"/>
      <c r="T80" s="666"/>
      <c r="U80" s="61"/>
      <c r="V80" s="61"/>
      <c r="W80" s="61"/>
    </row>
    <row r="81" spans="1:23" x14ac:dyDescent="0.25">
      <c r="A81" s="662" t="s">
        <v>873</v>
      </c>
      <c r="B81" s="662"/>
      <c r="C81" s="662"/>
      <c r="D81" s="653">
        <f t="shared" ref="D81:G81" si="17">D73-D78</f>
        <v>0</v>
      </c>
      <c r="E81" s="653">
        <f>E73-E78</f>
        <v>0</v>
      </c>
      <c r="F81" s="653">
        <f t="shared" si="17"/>
        <v>0</v>
      </c>
      <c r="G81" s="653">
        <f t="shared" si="17"/>
        <v>0</v>
      </c>
      <c r="H81" s="653">
        <f>H73-H78</f>
        <v>0</v>
      </c>
      <c r="I81" s="653">
        <f>I73-I78</f>
        <v>0</v>
      </c>
      <c r="J81" s="653">
        <f>J73-J78</f>
        <v>0</v>
      </c>
      <c r="K81" s="653">
        <f>K73-K78</f>
        <v>0</v>
      </c>
      <c r="L81" s="653">
        <f>L73-L78</f>
        <v>0</v>
      </c>
      <c r="M81" s="264"/>
      <c r="N81" s="283"/>
      <c r="O81" s="666"/>
      <c r="P81" s="666"/>
      <c r="Q81" s="666"/>
      <c r="R81" s="666"/>
      <c r="S81" s="666"/>
      <c r="T81" s="666"/>
      <c r="U81" s="61"/>
      <c r="V81" s="61"/>
      <c r="W81" s="61"/>
    </row>
    <row r="82" spans="1:23" ht="15.75" thickBot="1" x14ac:dyDescent="0.3">
      <c r="A82" s="668" t="s">
        <v>874</v>
      </c>
      <c r="B82" s="662"/>
      <c r="C82" s="662"/>
      <c r="D82" s="675">
        <f t="shared" ref="D82:G82" si="18">SUM(D80:D81)/2</f>
        <v>0</v>
      </c>
      <c r="E82" s="675">
        <f t="shared" si="18"/>
        <v>0</v>
      </c>
      <c r="F82" s="675">
        <f t="shared" si="18"/>
        <v>0</v>
      </c>
      <c r="G82" s="675">
        <f t="shared" si="18"/>
        <v>0</v>
      </c>
      <c r="H82" s="675">
        <f>SUM(H80:H81)/2</f>
        <v>0</v>
      </c>
      <c r="I82" s="675">
        <f>SUM(I80:I81)/2</f>
        <v>0</v>
      </c>
      <c r="J82" s="675">
        <f>SUM(J80:J81)/2</f>
        <v>0</v>
      </c>
      <c r="K82" s="675">
        <f>SUM(K80:K81)/2</f>
        <v>0</v>
      </c>
      <c r="L82" s="675">
        <f>SUM(L80:L81)/2</f>
        <v>0</v>
      </c>
      <c r="M82" s="264"/>
      <c r="N82" s="283"/>
      <c r="O82" s="666"/>
      <c r="P82" s="666"/>
      <c r="Q82" s="666"/>
      <c r="R82" s="666"/>
      <c r="S82" s="666"/>
      <c r="T82" s="666"/>
      <c r="U82" s="61"/>
      <c r="V82" s="61"/>
      <c r="W82" s="61"/>
    </row>
    <row r="83" spans="1:23" x14ac:dyDescent="0.25">
      <c r="A83" s="662"/>
      <c r="B83" s="662"/>
      <c r="C83" s="662"/>
      <c r="D83" s="616"/>
      <c r="E83" s="616"/>
      <c r="F83" s="616"/>
      <c r="G83" s="616"/>
      <c r="H83" s="616"/>
      <c r="I83" s="616"/>
      <c r="J83" s="283"/>
      <c r="K83" s="616"/>
      <c r="L83" s="283"/>
      <c r="M83" s="264"/>
      <c r="N83" s="283"/>
      <c r="O83" s="666"/>
      <c r="P83" s="666"/>
      <c r="Q83" s="666"/>
      <c r="R83" s="666"/>
      <c r="S83" s="666"/>
      <c r="T83" s="666"/>
      <c r="U83" s="61"/>
      <c r="V83" s="61"/>
      <c r="W83" s="61"/>
    </row>
    <row r="84" spans="1:23" ht="15.75" thickBot="1" x14ac:dyDescent="0.3">
      <c r="A84" s="667" t="s">
        <v>875</v>
      </c>
      <c r="B84" s="668"/>
      <c r="C84" s="668"/>
      <c r="D84" s="616"/>
      <c r="E84" s="616"/>
      <c r="F84" s="616"/>
      <c r="G84" s="616"/>
      <c r="H84" s="616"/>
      <c r="I84" s="616"/>
      <c r="J84" s="283"/>
      <c r="K84" s="616"/>
      <c r="L84" s="283"/>
      <c r="M84" s="264"/>
      <c r="N84" s="283"/>
      <c r="O84" s="666"/>
      <c r="P84" s="666"/>
      <c r="Q84" s="666"/>
      <c r="R84" s="666"/>
      <c r="S84" s="666"/>
      <c r="T84" s="666"/>
      <c r="U84" s="61"/>
      <c r="V84" s="61"/>
      <c r="W84" s="61"/>
    </row>
    <row r="85" spans="1:23" ht="15.75" thickBot="1" x14ac:dyDescent="0.3">
      <c r="A85" s="668"/>
      <c r="B85" s="283"/>
      <c r="C85" s="283"/>
      <c r="D85" s="663">
        <v>2012</v>
      </c>
      <c r="E85" s="663">
        <v>2013</v>
      </c>
      <c r="F85" s="663">
        <v>2014</v>
      </c>
      <c r="G85" s="663">
        <v>2015</v>
      </c>
      <c r="H85" s="663">
        <v>2016</v>
      </c>
      <c r="I85" s="664">
        <f>H85+1</f>
        <v>2017</v>
      </c>
      <c r="J85" s="664">
        <f t="shared" ref="J85:L85" si="19">I85+1</f>
        <v>2018</v>
      </c>
      <c r="K85" s="664">
        <f t="shared" si="19"/>
        <v>2019</v>
      </c>
      <c r="L85" s="664">
        <f t="shared" si="19"/>
        <v>2020</v>
      </c>
      <c r="M85" s="264"/>
      <c r="N85" s="283"/>
      <c r="O85" s="666"/>
      <c r="P85" s="666"/>
      <c r="Q85" s="666"/>
      <c r="R85" s="666"/>
      <c r="S85" s="666"/>
      <c r="T85" s="666"/>
      <c r="U85" s="61"/>
      <c r="V85" s="61"/>
      <c r="W85" s="61"/>
    </row>
    <row r="86" spans="1:23" x14ac:dyDescent="0.25">
      <c r="A86" s="662"/>
      <c r="B86" s="283"/>
      <c r="C86" s="283"/>
      <c r="D86" s="616"/>
      <c r="E86" s="616"/>
      <c r="F86" s="616"/>
      <c r="G86" s="616"/>
      <c r="H86" s="616"/>
      <c r="I86" s="616"/>
      <c r="J86" s="616"/>
      <c r="K86" s="616"/>
      <c r="L86" s="616"/>
      <c r="M86" s="264"/>
      <c r="N86" s="283"/>
      <c r="O86" s="666"/>
      <c r="P86" s="666"/>
      <c r="Q86" s="666"/>
      <c r="R86" s="666"/>
      <c r="S86" s="666"/>
      <c r="T86" s="666"/>
      <c r="U86" s="61"/>
      <c r="V86" s="61"/>
      <c r="W86" s="61"/>
    </row>
    <row r="87" spans="1:23" x14ac:dyDescent="0.25">
      <c r="A87" s="662" t="s">
        <v>876</v>
      </c>
      <c r="B87" s="283"/>
      <c r="C87" s="283"/>
      <c r="D87" s="653"/>
      <c r="E87" s="653">
        <f t="shared" ref="E87:L87" si="20">D95</f>
        <v>0</v>
      </c>
      <c r="F87" s="653">
        <f t="shared" si="20"/>
        <v>0</v>
      </c>
      <c r="G87" s="653">
        <f t="shared" si="20"/>
        <v>0</v>
      </c>
      <c r="H87" s="653">
        <f t="shared" si="20"/>
        <v>0</v>
      </c>
      <c r="I87" s="653">
        <f t="shared" si="20"/>
        <v>0</v>
      </c>
      <c r="J87" s="653">
        <f t="shared" si="20"/>
        <v>0</v>
      </c>
      <c r="K87" s="653">
        <f t="shared" si="20"/>
        <v>0</v>
      </c>
      <c r="L87" s="653">
        <f t="shared" si="20"/>
        <v>0</v>
      </c>
      <c r="M87" s="264"/>
      <c r="N87" s="283"/>
      <c r="O87" s="666"/>
      <c r="P87" s="666"/>
      <c r="Q87" s="666"/>
      <c r="R87" s="666"/>
      <c r="S87" s="666"/>
      <c r="T87" s="666"/>
      <c r="U87" s="61"/>
      <c r="V87" s="61"/>
      <c r="W87" s="61"/>
    </row>
    <row r="88" spans="1:23" x14ac:dyDescent="0.25">
      <c r="A88" s="662" t="s">
        <v>877</v>
      </c>
      <c r="B88" s="283"/>
      <c r="C88" s="283"/>
      <c r="D88" s="616">
        <f t="shared" ref="D88:G88" si="21">D72</f>
        <v>0</v>
      </c>
      <c r="E88" s="616">
        <f t="shared" si="21"/>
        <v>0</v>
      </c>
      <c r="F88" s="616">
        <f t="shared" si="21"/>
        <v>0</v>
      </c>
      <c r="G88" s="616">
        <f t="shared" si="21"/>
        <v>0</v>
      </c>
      <c r="H88" s="616">
        <f>H72</f>
        <v>0</v>
      </c>
      <c r="I88" s="616">
        <f t="shared" ref="I88:L88" si="22">I72</f>
        <v>0</v>
      </c>
      <c r="J88" s="616">
        <f t="shared" si="22"/>
        <v>0</v>
      </c>
      <c r="K88" s="616">
        <f t="shared" si="22"/>
        <v>0</v>
      </c>
      <c r="L88" s="616">
        <f t="shared" si="22"/>
        <v>0</v>
      </c>
      <c r="M88" s="264"/>
      <c r="N88" s="283"/>
      <c r="O88" s="666"/>
      <c r="P88" s="674"/>
      <c r="Q88" s="283"/>
      <c r="R88" s="666"/>
      <c r="S88" s="666"/>
      <c r="T88" s="666"/>
      <c r="U88" s="61"/>
      <c r="V88" s="61"/>
      <c r="W88" s="61"/>
    </row>
    <row r="89" spans="1:23" x14ac:dyDescent="0.25">
      <c r="A89" s="662" t="s">
        <v>878</v>
      </c>
      <c r="B89" s="283"/>
      <c r="C89" s="283"/>
      <c r="D89" s="653">
        <f t="shared" ref="D89:G89" si="23">SUM(D87:D88)</f>
        <v>0</v>
      </c>
      <c r="E89" s="653">
        <f t="shared" si="23"/>
        <v>0</v>
      </c>
      <c r="F89" s="653">
        <f t="shared" si="23"/>
        <v>0</v>
      </c>
      <c r="G89" s="653">
        <f t="shared" si="23"/>
        <v>0</v>
      </c>
      <c r="H89" s="653">
        <f>SUM(H87:H88)</f>
        <v>0</v>
      </c>
      <c r="I89" s="653">
        <f>SUM(I87:I88)</f>
        <v>0</v>
      </c>
      <c r="J89" s="653">
        <f>SUM(J87:J88)</f>
        <v>0</v>
      </c>
      <c r="K89" s="653">
        <f>SUM(K87:K88)</f>
        <v>0</v>
      </c>
      <c r="L89" s="653">
        <f>SUM(L87:L88)</f>
        <v>0</v>
      </c>
      <c r="M89" s="264"/>
      <c r="N89" s="283"/>
      <c r="O89" s="666"/>
      <c r="P89" s="283"/>
      <c r="Q89" s="666"/>
      <c r="R89" s="666"/>
      <c r="S89" s="666"/>
      <c r="T89" s="666"/>
      <c r="U89" s="61"/>
      <c r="V89" s="61"/>
      <c r="W89" s="61"/>
    </row>
    <row r="90" spans="1:23" x14ac:dyDescent="0.25">
      <c r="A90" s="662" t="s">
        <v>879</v>
      </c>
      <c r="B90" s="283"/>
      <c r="C90" s="283"/>
      <c r="D90" s="616">
        <f t="shared" ref="D90:G90" si="24">D88/2</f>
        <v>0</v>
      </c>
      <c r="E90" s="616">
        <f t="shared" si="24"/>
        <v>0</v>
      </c>
      <c r="F90" s="616">
        <f t="shared" si="24"/>
        <v>0</v>
      </c>
      <c r="G90" s="616">
        <f t="shared" si="24"/>
        <v>0</v>
      </c>
      <c r="H90" s="616">
        <f>H88/2</f>
        <v>0</v>
      </c>
      <c r="I90" s="616">
        <f>I88/2</f>
        <v>0</v>
      </c>
      <c r="J90" s="616">
        <f>J88/2</f>
        <v>0</v>
      </c>
      <c r="K90" s="616">
        <f>K88/2</f>
        <v>0</v>
      </c>
      <c r="L90" s="616">
        <f>L88/2</f>
        <v>0</v>
      </c>
      <c r="M90" s="264"/>
      <c r="N90" s="283"/>
      <c r="O90" s="666"/>
      <c r="P90" s="666"/>
      <c r="Q90" s="666"/>
      <c r="R90" s="666"/>
      <c r="S90" s="666"/>
      <c r="T90" s="666"/>
      <c r="U90" s="61"/>
      <c r="V90" s="61"/>
      <c r="W90" s="61"/>
    </row>
    <row r="91" spans="1:23" x14ac:dyDescent="0.25">
      <c r="A91" s="662" t="s">
        <v>880</v>
      </c>
      <c r="B91" s="283"/>
      <c r="C91" s="283"/>
      <c r="D91" s="653">
        <f t="shared" ref="D91:G91" si="25">D89-D90</f>
        <v>0</v>
      </c>
      <c r="E91" s="653">
        <f t="shared" si="25"/>
        <v>0</v>
      </c>
      <c r="F91" s="653">
        <f t="shared" si="25"/>
        <v>0</v>
      </c>
      <c r="G91" s="653">
        <f t="shared" si="25"/>
        <v>0</v>
      </c>
      <c r="H91" s="653">
        <f>H89-H90</f>
        <v>0</v>
      </c>
      <c r="I91" s="653">
        <f>I89-I90</f>
        <v>0</v>
      </c>
      <c r="J91" s="653">
        <f>J89-J90</f>
        <v>0</v>
      </c>
      <c r="K91" s="653">
        <f>K89-K90</f>
        <v>0</v>
      </c>
      <c r="L91" s="653">
        <f>L89-L90</f>
        <v>0</v>
      </c>
      <c r="M91" s="264"/>
      <c r="N91" s="666"/>
      <c r="O91" s="666"/>
      <c r="P91" s="666"/>
      <c r="Q91" s="666"/>
      <c r="R91" s="666"/>
      <c r="S91" s="666"/>
      <c r="T91" s="666"/>
      <c r="U91" s="61"/>
      <c r="V91" s="61"/>
      <c r="W91" s="61"/>
    </row>
    <row r="92" spans="1:23" x14ac:dyDescent="0.25">
      <c r="A92" s="662" t="s">
        <v>881</v>
      </c>
      <c r="B92" s="283"/>
      <c r="C92" s="676">
        <v>47</v>
      </c>
      <c r="D92" s="676">
        <f>C92</f>
        <v>47</v>
      </c>
      <c r="E92" s="676">
        <f t="shared" ref="E92:L93" si="26">D92</f>
        <v>47</v>
      </c>
      <c r="F92" s="676">
        <f t="shared" si="26"/>
        <v>47</v>
      </c>
      <c r="G92" s="676">
        <f t="shared" si="26"/>
        <v>47</v>
      </c>
      <c r="H92" s="676">
        <f t="shared" si="26"/>
        <v>47</v>
      </c>
      <c r="I92" s="676">
        <f t="shared" si="26"/>
        <v>47</v>
      </c>
      <c r="J92" s="676">
        <f t="shared" si="26"/>
        <v>47</v>
      </c>
      <c r="K92" s="676">
        <f t="shared" si="26"/>
        <v>47</v>
      </c>
      <c r="L92" s="676">
        <f t="shared" si="26"/>
        <v>47</v>
      </c>
      <c r="M92" s="264"/>
      <c r="N92" s="666"/>
      <c r="O92" s="666"/>
      <c r="P92" s="666"/>
      <c r="Q92" s="666"/>
      <c r="R92" s="666"/>
      <c r="S92" s="666"/>
      <c r="T92" s="666"/>
      <c r="U92" s="61"/>
      <c r="V92" s="61"/>
      <c r="W92" s="61"/>
    </row>
    <row r="93" spans="1:23" x14ac:dyDescent="0.25">
      <c r="A93" s="662" t="s">
        <v>882</v>
      </c>
      <c r="B93" s="283"/>
      <c r="C93" s="677">
        <v>0.08</v>
      </c>
      <c r="D93" s="677">
        <f>C93</f>
        <v>0.08</v>
      </c>
      <c r="E93" s="677">
        <f t="shared" si="26"/>
        <v>0.08</v>
      </c>
      <c r="F93" s="677">
        <f t="shared" si="26"/>
        <v>0.08</v>
      </c>
      <c r="G93" s="677">
        <f t="shared" si="26"/>
        <v>0.08</v>
      </c>
      <c r="H93" s="677">
        <f t="shared" si="26"/>
        <v>0.08</v>
      </c>
      <c r="I93" s="677">
        <f t="shared" si="26"/>
        <v>0.08</v>
      </c>
      <c r="J93" s="677">
        <f t="shared" si="26"/>
        <v>0.08</v>
      </c>
      <c r="K93" s="677">
        <f t="shared" si="26"/>
        <v>0.08</v>
      </c>
      <c r="L93" s="677">
        <f t="shared" si="26"/>
        <v>0.08</v>
      </c>
      <c r="M93" s="264"/>
      <c r="N93" s="283"/>
      <c r="O93" s="666"/>
      <c r="P93" s="666"/>
      <c r="Q93" s="666"/>
      <c r="R93" s="666"/>
      <c r="S93" s="666"/>
      <c r="T93" s="666"/>
      <c r="U93" s="61"/>
      <c r="V93" s="61"/>
      <c r="W93" s="61"/>
    </row>
    <row r="94" spans="1:23" x14ac:dyDescent="0.25">
      <c r="A94" s="662" t="s">
        <v>883</v>
      </c>
      <c r="B94" s="283"/>
      <c r="C94" s="283"/>
      <c r="D94" s="653">
        <f t="shared" ref="D94:G94" si="27">D91*D93</f>
        <v>0</v>
      </c>
      <c r="E94" s="653">
        <f t="shared" si="27"/>
        <v>0</v>
      </c>
      <c r="F94" s="653">
        <f t="shared" si="27"/>
        <v>0</v>
      </c>
      <c r="G94" s="653">
        <f t="shared" si="27"/>
        <v>0</v>
      </c>
      <c r="H94" s="653">
        <f>H91*H93</f>
        <v>0</v>
      </c>
      <c r="I94" s="653">
        <f t="shared" ref="I94:K94" si="28">I91*I93</f>
        <v>0</v>
      </c>
      <c r="J94" s="653">
        <f t="shared" si="28"/>
        <v>0</v>
      </c>
      <c r="K94" s="653">
        <f t="shared" si="28"/>
        <v>0</v>
      </c>
      <c r="L94" s="653">
        <f>L91*L93</f>
        <v>0</v>
      </c>
      <c r="M94" s="264"/>
      <c r="N94" s="283"/>
      <c r="O94" s="666"/>
      <c r="P94" s="666"/>
      <c r="Q94" s="666"/>
      <c r="R94" s="666"/>
      <c r="S94" s="666"/>
      <c r="T94" s="666"/>
      <c r="U94" s="61"/>
      <c r="V94" s="61"/>
      <c r="W94" s="61"/>
    </row>
    <row r="95" spans="1:23" ht="15.75" thickBot="1" x14ac:dyDescent="0.3">
      <c r="A95" s="668" t="s">
        <v>884</v>
      </c>
      <c r="B95" s="283"/>
      <c r="C95" s="283"/>
      <c r="D95" s="675">
        <f t="shared" ref="D95:G95" si="29">D89-D94</f>
        <v>0</v>
      </c>
      <c r="E95" s="675">
        <f t="shared" si="29"/>
        <v>0</v>
      </c>
      <c r="F95" s="675">
        <f t="shared" si="29"/>
        <v>0</v>
      </c>
      <c r="G95" s="675">
        <f t="shared" si="29"/>
        <v>0</v>
      </c>
      <c r="H95" s="675">
        <f>H89-H94</f>
        <v>0</v>
      </c>
      <c r="I95" s="675">
        <f>I89-I94</f>
        <v>0</v>
      </c>
      <c r="J95" s="675">
        <f>J89-J94</f>
        <v>0</v>
      </c>
      <c r="K95" s="675">
        <f>K89-K94</f>
        <v>0</v>
      </c>
      <c r="L95" s="675">
        <f>L89-L94</f>
        <v>0</v>
      </c>
      <c r="M95" s="264"/>
      <c r="N95" s="283"/>
      <c r="O95" s="666"/>
      <c r="P95" s="666"/>
      <c r="Q95" s="666"/>
      <c r="R95" s="666"/>
      <c r="S95" s="666"/>
      <c r="T95" s="666"/>
      <c r="U95" s="61"/>
      <c r="V95" s="61"/>
      <c r="W95" s="61"/>
    </row>
  </sheetData>
  <mergeCells count="26">
    <mergeCell ref="AA17:AC17"/>
    <mergeCell ref="A9:R9"/>
    <mergeCell ref="A10:R10"/>
    <mergeCell ref="A12:R12"/>
    <mergeCell ref="A13:R13"/>
    <mergeCell ref="A15:R15"/>
    <mergeCell ref="A47:W47"/>
    <mergeCell ref="O17:Q17"/>
    <mergeCell ref="R17:T17"/>
    <mergeCell ref="U17:W17"/>
    <mergeCell ref="X17:Z17"/>
    <mergeCell ref="L17:N17"/>
    <mergeCell ref="I17:K17"/>
    <mergeCell ref="F17:H17"/>
    <mergeCell ref="C17:E17"/>
    <mergeCell ref="Y52:Z52"/>
    <mergeCell ref="AB52:AC52"/>
    <mergeCell ref="A49:W49"/>
    <mergeCell ref="A50:B50"/>
    <mergeCell ref="P52:Q52"/>
    <mergeCell ref="S52:T52"/>
    <mergeCell ref="V52:W52"/>
    <mergeCell ref="M52:N52"/>
    <mergeCell ref="J52:K52"/>
    <mergeCell ref="G52:H52"/>
    <mergeCell ref="D52:E52"/>
  </mergeCells>
  <dataValidations disablePrompts="1" count="1">
    <dataValidation allowBlank="1" showInputMessage="1" showErrorMessage="1" promptTitle="Date Format" prompt="E.g:  &quot;August 1, 2011&quot;" sqref="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dataValidations>
  <pageMargins left="0.7" right="0.7" top="0.75" bottom="0.75" header="0.3" footer="0.3"/>
  <pageSetup scale="2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A1:AD114"/>
  <sheetViews>
    <sheetView showGridLines="0" zoomScaleNormal="100" workbookViewId="0"/>
  </sheetViews>
  <sheetFormatPr defaultRowHeight="12.75" x14ac:dyDescent="0.2"/>
  <cols>
    <col min="1" max="1" width="54.28515625" style="61" customWidth="1"/>
    <col min="2" max="2" width="14.7109375" style="61" customWidth="1"/>
    <col min="3" max="12" width="12.7109375" style="61" customWidth="1"/>
    <col min="13" max="30" width="14.7109375" style="61" customWidth="1"/>
    <col min="31" max="16384" width="9.140625" style="61"/>
  </cols>
  <sheetData>
    <row r="1" spans="1:19" s="530" customFormat="1" ht="15" x14ac:dyDescent="0.25">
      <c r="A1" s="1680" t="s">
        <v>2177</v>
      </c>
      <c r="B1" s="140"/>
      <c r="C1" s="140"/>
      <c r="D1" s="140"/>
      <c r="E1" s="140"/>
      <c r="F1" s="140"/>
      <c r="G1" s="140"/>
      <c r="H1" s="140"/>
      <c r="I1" s="140"/>
      <c r="J1" s="140"/>
      <c r="K1" s="140"/>
      <c r="L1" s="140"/>
      <c r="N1" s="252" t="s">
        <v>394</v>
      </c>
      <c r="O1" s="1513" t="str">
        <f>EBNUMBER</f>
        <v>EB-2015-0089</v>
      </c>
    </row>
    <row r="2" spans="1:19" s="530" customFormat="1" ht="15" x14ac:dyDescent="0.25">
      <c r="A2" s="140"/>
      <c r="B2" s="140"/>
      <c r="C2" s="140"/>
      <c r="D2" s="140"/>
      <c r="E2" s="140"/>
      <c r="F2" s="140"/>
      <c r="G2" s="140"/>
      <c r="H2" s="140"/>
      <c r="I2" s="140"/>
      <c r="J2" s="140"/>
      <c r="K2" s="140"/>
      <c r="L2" s="140"/>
      <c r="N2" s="252" t="s">
        <v>395</v>
      </c>
      <c r="O2" s="254"/>
    </row>
    <row r="3" spans="1:19" s="530" customFormat="1" ht="15" x14ac:dyDescent="0.25">
      <c r="A3" s="140"/>
      <c r="B3" s="140"/>
      <c r="C3" s="140"/>
      <c r="D3" s="140"/>
      <c r="E3" s="140"/>
      <c r="F3" s="140"/>
      <c r="G3" s="140"/>
      <c r="H3" s="140"/>
      <c r="I3" s="140"/>
      <c r="J3" s="140"/>
      <c r="K3" s="140"/>
      <c r="L3" s="140"/>
      <c r="N3" s="252" t="s">
        <v>396</v>
      </c>
      <c r="O3" s="254"/>
    </row>
    <row r="4" spans="1:19" s="530" customFormat="1" ht="15" x14ac:dyDescent="0.25">
      <c r="A4" s="140"/>
      <c r="B4" s="140"/>
      <c r="C4" s="140"/>
      <c r="D4" s="140"/>
      <c r="E4" s="140"/>
      <c r="F4" s="140"/>
      <c r="G4" s="140"/>
      <c r="H4" s="140"/>
      <c r="I4" s="140"/>
      <c r="J4" s="140"/>
      <c r="K4" s="140"/>
      <c r="L4" s="140"/>
      <c r="N4" s="252" t="s">
        <v>397</v>
      </c>
      <c r="O4" s="254"/>
    </row>
    <row r="5" spans="1:19" s="530" customFormat="1" ht="15" x14ac:dyDescent="0.25">
      <c r="A5" s="140"/>
      <c r="B5" s="140"/>
      <c r="C5" s="140"/>
      <c r="D5" s="140"/>
      <c r="E5" s="140"/>
      <c r="F5" s="140"/>
      <c r="G5" s="140"/>
      <c r="H5" s="140"/>
      <c r="I5" s="140"/>
      <c r="J5" s="140"/>
      <c r="K5" s="140"/>
      <c r="L5" s="140"/>
      <c r="N5" s="252" t="s">
        <v>398</v>
      </c>
      <c r="O5" s="255"/>
    </row>
    <row r="6" spans="1:19" s="530" customFormat="1" ht="15" x14ac:dyDescent="0.25">
      <c r="A6" s="140"/>
      <c r="B6" s="140"/>
      <c r="C6" s="140"/>
      <c r="D6" s="140"/>
      <c r="E6" s="140"/>
      <c r="F6" s="140"/>
      <c r="G6" s="140"/>
      <c r="H6" s="140"/>
      <c r="I6" s="140"/>
      <c r="J6" s="140"/>
      <c r="K6" s="140"/>
      <c r="L6" s="140"/>
      <c r="N6" s="252"/>
      <c r="O6" s="253"/>
    </row>
    <row r="7" spans="1:19" s="530" customFormat="1" ht="15" x14ac:dyDescent="0.25">
      <c r="A7" s="140"/>
      <c r="B7" s="140"/>
      <c r="C7" s="140"/>
      <c r="D7" s="140"/>
      <c r="E7" s="140"/>
      <c r="F7" s="140"/>
      <c r="G7" s="140"/>
      <c r="H7" s="140"/>
      <c r="I7" s="140"/>
      <c r="J7" s="140"/>
      <c r="K7" s="140"/>
      <c r="L7" s="140"/>
      <c r="N7" s="252" t="s">
        <v>399</v>
      </c>
      <c r="O7" s="255"/>
    </row>
    <row r="8" spans="1:19" s="530" customFormat="1" ht="15" x14ac:dyDescent="0.25">
      <c r="A8" s="158"/>
      <c r="B8" s="158"/>
      <c r="C8" s="158"/>
      <c r="D8" s="158"/>
      <c r="E8" s="158"/>
      <c r="F8" s="158"/>
      <c r="G8" s="158"/>
      <c r="H8" s="158"/>
      <c r="I8" s="158"/>
      <c r="J8" s="158"/>
      <c r="K8" s="158"/>
      <c r="L8" s="158"/>
      <c r="M8" s="158"/>
      <c r="N8" s="158"/>
      <c r="O8" s="158"/>
      <c r="P8" s="158"/>
      <c r="Q8" s="570"/>
      <c r="R8" s="570"/>
      <c r="S8" s="570"/>
    </row>
    <row r="9" spans="1:19" s="530" customFormat="1" ht="18" x14ac:dyDescent="0.25">
      <c r="A9" s="1979" t="s">
        <v>886</v>
      </c>
      <c r="B9" s="1979"/>
      <c r="C9" s="1979"/>
      <c r="D9" s="1979"/>
      <c r="E9" s="1979"/>
      <c r="F9" s="1979"/>
      <c r="G9" s="1979"/>
      <c r="H9" s="1979"/>
      <c r="I9" s="1979"/>
      <c r="J9" s="1979"/>
      <c r="K9" s="1979"/>
      <c r="L9" s="1979"/>
      <c r="M9" s="1979"/>
      <c r="N9" s="1979"/>
      <c r="O9" s="1979"/>
      <c r="P9" s="571"/>
      <c r="Q9" s="571"/>
      <c r="R9" s="570"/>
      <c r="S9" s="570"/>
    </row>
    <row r="10" spans="1:19" s="530" customFormat="1" ht="39.75" customHeight="1" x14ac:dyDescent="0.25">
      <c r="A10" s="2130" t="s">
        <v>887</v>
      </c>
      <c r="B10" s="2130"/>
      <c r="C10" s="2130"/>
      <c r="D10" s="2130"/>
      <c r="E10" s="2130"/>
      <c r="F10" s="2130"/>
      <c r="G10" s="2130"/>
      <c r="H10" s="2130"/>
      <c r="I10" s="2130"/>
      <c r="J10" s="2130"/>
      <c r="K10" s="2130"/>
      <c r="L10" s="2130"/>
      <c r="M10" s="2130"/>
      <c r="N10" s="2130"/>
      <c r="O10" s="2130"/>
      <c r="P10" s="571"/>
      <c r="Q10" s="571"/>
      <c r="R10" s="570"/>
      <c r="S10" s="570"/>
    </row>
    <row r="11" spans="1:19" s="530" customFormat="1" ht="12.75" customHeight="1" x14ac:dyDescent="0.25">
      <c r="A11" s="571"/>
      <c r="B11" s="571"/>
      <c r="C11" s="571"/>
      <c r="D11" s="571"/>
      <c r="E11" s="571"/>
      <c r="F11" s="571"/>
      <c r="G11" s="571"/>
      <c r="H11" s="571"/>
      <c r="I11" s="571"/>
      <c r="J11" s="571"/>
      <c r="K11" s="571"/>
      <c r="L11" s="571"/>
      <c r="M11" s="571"/>
      <c r="N11" s="571"/>
      <c r="O11" s="571"/>
      <c r="P11" s="571"/>
      <c r="Q11" s="571"/>
      <c r="R11" s="570"/>
      <c r="S11" s="570"/>
    </row>
    <row r="12" spans="1:19" ht="14.25" x14ac:dyDescent="0.2">
      <c r="A12" s="2134" t="s">
        <v>888</v>
      </c>
      <c r="B12" s="2134"/>
      <c r="C12" s="2134"/>
      <c r="D12" s="2134"/>
      <c r="E12" s="2134"/>
      <c r="F12" s="2134"/>
      <c r="G12" s="2134"/>
      <c r="H12" s="2134"/>
      <c r="I12" s="2134"/>
      <c r="J12" s="2134"/>
      <c r="K12" s="2134"/>
      <c r="L12" s="2134"/>
      <c r="M12" s="2134"/>
      <c r="N12" s="2134"/>
      <c r="O12" s="2134"/>
    </row>
    <row r="13" spans="1:19" ht="12.75" customHeight="1" x14ac:dyDescent="0.2">
      <c r="A13" s="2135" t="s">
        <v>835</v>
      </c>
      <c r="B13" s="2135"/>
      <c r="C13" s="2135"/>
      <c r="D13" s="2135"/>
      <c r="E13" s="2135"/>
      <c r="F13" s="2135"/>
      <c r="G13" s="2135"/>
      <c r="H13" s="2135"/>
      <c r="I13" s="2135"/>
      <c r="J13" s="2135"/>
      <c r="K13" s="2135"/>
      <c r="L13" s="2135"/>
      <c r="M13" s="2135"/>
      <c r="N13" s="2135"/>
      <c r="O13" s="2135"/>
    </row>
    <row r="14" spans="1:19" ht="12.75" customHeight="1" x14ac:dyDescent="0.2">
      <c r="A14" s="606" t="s">
        <v>1932</v>
      </c>
      <c r="B14" s="678"/>
      <c r="C14" s="678"/>
      <c r="D14" s="678"/>
      <c r="E14" s="678"/>
      <c r="F14" s="678"/>
      <c r="G14" s="678"/>
      <c r="H14" s="678"/>
      <c r="I14" s="678"/>
      <c r="J14" s="678"/>
      <c r="K14" s="678"/>
      <c r="L14" s="678"/>
      <c r="M14" s="678"/>
      <c r="N14" s="678"/>
      <c r="O14" s="678"/>
    </row>
    <row r="15" spans="1:19" ht="14.25" x14ac:dyDescent="0.2">
      <c r="A15" s="2134" t="s">
        <v>1933</v>
      </c>
      <c r="B15" s="2134"/>
      <c r="C15" s="2134"/>
      <c r="D15" s="2134"/>
      <c r="E15" s="2134"/>
      <c r="F15" s="2134"/>
      <c r="G15" s="2134"/>
      <c r="H15" s="2134"/>
      <c r="I15" s="2134"/>
      <c r="J15" s="2134"/>
      <c r="K15" s="2134"/>
      <c r="L15" s="2134"/>
      <c r="M15" s="2134"/>
      <c r="N15" s="2134"/>
      <c r="O15" s="2134"/>
    </row>
    <row r="16" spans="1:19" ht="15" x14ac:dyDescent="0.2">
      <c r="B16" s="679"/>
    </row>
    <row r="17" spans="1:30" ht="13.5" thickBot="1" x14ac:dyDescent="0.25">
      <c r="A17" s="607"/>
      <c r="B17" s="680"/>
      <c r="C17" s="680"/>
      <c r="D17" s="680"/>
      <c r="E17" s="680"/>
      <c r="F17" s="680"/>
      <c r="G17" s="680"/>
      <c r="H17" s="680"/>
      <c r="I17" s="680"/>
      <c r="J17" s="680"/>
      <c r="K17" s="680"/>
      <c r="L17" s="680"/>
      <c r="M17" s="283"/>
      <c r="N17" s="283"/>
      <c r="O17" s="283"/>
      <c r="P17" s="283"/>
      <c r="Q17" s="681"/>
      <c r="R17" s="283"/>
      <c r="S17" s="283"/>
      <c r="T17" s="681"/>
      <c r="U17" s="283"/>
      <c r="V17" s="283"/>
      <c r="W17" s="283"/>
      <c r="X17" s="283"/>
      <c r="Y17" s="283"/>
      <c r="Z17" s="681"/>
      <c r="AA17" s="283"/>
    </row>
    <row r="18" spans="1:30" ht="13.5" thickBot="1" x14ac:dyDescent="0.25">
      <c r="A18" s="607"/>
      <c r="B18" s="607"/>
      <c r="C18" s="607"/>
      <c r="D18" s="2127">
        <v>2012</v>
      </c>
      <c r="E18" s="2128"/>
      <c r="F18" s="2129"/>
      <c r="G18" s="2127">
        <v>2013</v>
      </c>
      <c r="H18" s="2128"/>
      <c r="I18" s="2129"/>
      <c r="J18" s="2127">
        <v>2014</v>
      </c>
      <c r="K18" s="2128"/>
      <c r="L18" s="2129"/>
      <c r="M18" s="2127">
        <v>2015</v>
      </c>
      <c r="N18" s="2128"/>
      <c r="O18" s="2129"/>
      <c r="P18" s="2127" t="s">
        <v>1934</v>
      </c>
      <c r="Q18" s="2128"/>
      <c r="R18" s="2129"/>
      <c r="S18" s="2127">
        <v>2017</v>
      </c>
      <c r="T18" s="2128">
        <v>2016</v>
      </c>
      <c r="U18" s="2129"/>
      <c r="V18" s="2127">
        <v>2018</v>
      </c>
      <c r="W18" s="2128"/>
      <c r="X18" s="2129"/>
      <c r="Y18" s="2127">
        <v>2019</v>
      </c>
      <c r="Z18" s="2128"/>
      <c r="AA18" s="2129"/>
      <c r="AB18" s="2127">
        <v>2020</v>
      </c>
      <c r="AC18" s="2128"/>
      <c r="AD18" s="2129"/>
    </row>
    <row r="19" spans="1:30" x14ac:dyDescent="0.2">
      <c r="A19" s="264"/>
      <c r="B19" s="264"/>
      <c r="C19" s="264"/>
      <c r="D19" s="264"/>
      <c r="E19" s="252" t="s">
        <v>837</v>
      </c>
      <c r="F19" s="579" t="s">
        <v>838</v>
      </c>
      <c r="G19" s="264"/>
      <c r="H19" s="252" t="s">
        <v>837</v>
      </c>
      <c r="I19" s="579" t="s">
        <v>838</v>
      </c>
      <c r="J19" s="264"/>
      <c r="K19" s="252" t="s">
        <v>837</v>
      </c>
      <c r="L19" s="579" t="s">
        <v>838</v>
      </c>
      <c r="M19" s="264"/>
      <c r="N19" s="252" t="s">
        <v>837</v>
      </c>
      <c r="O19" s="579" t="s">
        <v>838</v>
      </c>
      <c r="P19" s="264"/>
      <c r="Q19" s="252" t="s">
        <v>837</v>
      </c>
      <c r="R19" s="579" t="s">
        <v>838</v>
      </c>
      <c r="S19" s="264"/>
      <c r="T19" s="252" t="s">
        <v>837</v>
      </c>
      <c r="U19" s="579" t="s">
        <v>838</v>
      </c>
      <c r="V19" s="264"/>
      <c r="W19" s="252" t="s">
        <v>837</v>
      </c>
      <c r="X19" s="579" t="s">
        <v>838</v>
      </c>
      <c r="Y19" s="264"/>
      <c r="Z19" s="252" t="s">
        <v>837</v>
      </c>
      <c r="AA19" s="579" t="s">
        <v>838</v>
      </c>
      <c r="AB19" s="264"/>
      <c r="AC19" s="252" t="s">
        <v>837</v>
      </c>
      <c r="AD19" s="579" t="s">
        <v>838</v>
      </c>
    </row>
    <row r="20" spans="1:30" s="666" customFormat="1" x14ac:dyDescent="0.2">
      <c r="A20" s="682"/>
      <c r="B20" s="611"/>
      <c r="C20" s="611"/>
      <c r="D20" s="611" t="s">
        <v>388</v>
      </c>
      <c r="E20" s="612">
        <v>0.17</v>
      </c>
      <c r="F20" s="612">
        <v>0.83</v>
      </c>
      <c r="G20" s="611" t="s">
        <v>388</v>
      </c>
      <c r="H20" s="612">
        <v>0.17</v>
      </c>
      <c r="I20" s="612">
        <v>0.83</v>
      </c>
      <c r="J20" s="611" t="s">
        <v>388</v>
      </c>
      <c r="K20" s="612">
        <v>0.17</v>
      </c>
      <c r="L20" s="612">
        <v>0.83</v>
      </c>
      <c r="M20" s="611" t="s">
        <v>388</v>
      </c>
      <c r="N20" s="612">
        <v>0.17</v>
      </c>
      <c r="O20" s="612">
        <v>0.83</v>
      </c>
      <c r="P20" s="611" t="s">
        <v>388</v>
      </c>
      <c r="Q20" s="612">
        <v>0.17</v>
      </c>
      <c r="R20" s="612">
        <v>0.83</v>
      </c>
      <c r="S20" s="611" t="s">
        <v>388</v>
      </c>
      <c r="T20" s="612">
        <v>0.17</v>
      </c>
      <c r="U20" s="612">
        <v>0.83</v>
      </c>
      <c r="V20" s="611" t="s">
        <v>388</v>
      </c>
      <c r="W20" s="612">
        <v>0.17</v>
      </c>
      <c r="X20" s="612">
        <v>0.83</v>
      </c>
      <c r="Y20" s="611" t="s">
        <v>388</v>
      </c>
      <c r="Z20" s="612">
        <v>0.17</v>
      </c>
      <c r="AA20" s="612">
        <v>0.83</v>
      </c>
      <c r="AB20" s="611" t="s">
        <v>388</v>
      </c>
      <c r="AC20" s="612">
        <v>0.17</v>
      </c>
      <c r="AD20" s="612">
        <v>0.83</v>
      </c>
    </row>
    <row r="21" spans="1:30" x14ac:dyDescent="0.2">
      <c r="A21" s="252" t="s">
        <v>839</v>
      </c>
      <c r="B21" s="613"/>
      <c r="C21" s="264"/>
      <c r="D21" s="614">
        <f>D82</f>
        <v>0</v>
      </c>
      <c r="E21" s="584">
        <f>D21*E20</f>
        <v>0</v>
      </c>
      <c r="F21" s="615">
        <f>D21*F20</f>
        <v>0</v>
      </c>
      <c r="G21" s="614">
        <f>E82</f>
        <v>0</v>
      </c>
      <c r="H21" s="584">
        <f>G21*H20</f>
        <v>0</v>
      </c>
      <c r="I21" s="615">
        <f>G21*I20</f>
        <v>0</v>
      </c>
      <c r="J21" s="614">
        <f>F82</f>
        <v>0</v>
      </c>
      <c r="K21" s="584">
        <f>J21*K20</f>
        <v>0</v>
      </c>
      <c r="L21" s="615">
        <f>J21*L20</f>
        <v>0</v>
      </c>
      <c r="M21" s="614">
        <f>G82</f>
        <v>0</v>
      </c>
      <c r="N21" s="584">
        <f>M21*N20</f>
        <v>0</v>
      </c>
      <c r="O21" s="615">
        <f>M21*O20</f>
        <v>0</v>
      </c>
      <c r="P21" s="614">
        <f>H82</f>
        <v>0</v>
      </c>
      <c r="Q21" s="584">
        <f>P21*Q20</f>
        <v>0</v>
      </c>
      <c r="R21" s="615">
        <f>P21*R20</f>
        <v>0</v>
      </c>
      <c r="S21" s="616">
        <f>I82</f>
        <v>0</v>
      </c>
      <c r="T21" s="584">
        <f>S21*T20</f>
        <v>0</v>
      </c>
      <c r="U21" s="615">
        <f>S21*U20</f>
        <v>0</v>
      </c>
      <c r="V21" s="616">
        <f>J82</f>
        <v>0</v>
      </c>
      <c r="W21" s="584">
        <f>V21*W20</f>
        <v>0</v>
      </c>
      <c r="X21" s="615">
        <f>V21*X20</f>
        <v>0</v>
      </c>
      <c r="Y21" s="616">
        <f>K82</f>
        <v>0</v>
      </c>
      <c r="Z21" s="584">
        <f>Y21*Z20</f>
        <v>0</v>
      </c>
      <c r="AA21" s="615">
        <f>Y21*AA20</f>
        <v>0</v>
      </c>
      <c r="AB21" s="616">
        <f>L82</f>
        <v>0</v>
      </c>
      <c r="AC21" s="584">
        <f>AB21*AC20</f>
        <v>0</v>
      </c>
      <c r="AD21" s="615">
        <f>AB21*AD20</f>
        <v>0</v>
      </c>
    </row>
    <row r="22" spans="1:30" x14ac:dyDescent="0.2">
      <c r="A22" s="264" t="s">
        <v>885</v>
      </c>
      <c r="B22" s="617"/>
      <c r="C22" s="264"/>
      <c r="D22" s="618">
        <f>'App.2-FA Proposed REG Invest.'!C101</f>
        <v>0</v>
      </c>
      <c r="E22" s="619">
        <f>D22</f>
        <v>0</v>
      </c>
      <c r="F22" s="620"/>
      <c r="G22" s="618">
        <f>'App.2-FA Proposed REG Invest.'!D$101</f>
        <v>0</v>
      </c>
      <c r="H22" s="619">
        <f>G22</f>
        <v>0</v>
      </c>
      <c r="I22" s="620"/>
      <c r="J22" s="618">
        <f>'App.2-FA Proposed REG Invest.'!E$101</f>
        <v>0</v>
      </c>
      <c r="K22" s="619">
        <f>J22</f>
        <v>0</v>
      </c>
      <c r="L22" s="620"/>
      <c r="M22" s="618">
        <f>'App.2-FA Proposed REG Invest.'!F$101</f>
        <v>0</v>
      </c>
      <c r="N22" s="619">
        <f>M22</f>
        <v>0</v>
      </c>
      <c r="O22" s="620"/>
      <c r="P22" s="618">
        <f>'App.2-FA Proposed REG Invest.'!G$101</f>
        <v>0</v>
      </c>
      <c r="Q22" s="619">
        <f>P22</f>
        <v>0</v>
      </c>
      <c r="R22" s="620"/>
      <c r="S22" s="618">
        <f>'App.2-FA Proposed REG Invest.'!H$101</f>
        <v>0</v>
      </c>
      <c r="T22" s="619">
        <f>S22</f>
        <v>0</v>
      </c>
      <c r="U22" s="620"/>
      <c r="V22" s="618">
        <f>'App.2-FA Proposed REG Invest.'!I$101</f>
        <v>0</v>
      </c>
      <c r="W22" s="619">
        <f>V22</f>
        <v>0</v>
      </c>
      <c r="X22" s="620"/>
      <c r="Y22" s="618">
        <f>'App.2-FA Proposed REG Invest.'!J$101</f>
        <v>0</v>
      </c>
      <c r="Z22" s="619">
        <f>Y22</f>
        <v>0</v>
      </c>
      <c r="AA22" s="620"/>
      <c r="AB22" s="618">
        <f>'App.2-FA Proposed REG Invest.'!K$101</f>
        <v>0</v>
      </c>
      <c r="AC22" s="619">
        <f>AB22</f>
        <v>0</v>
      </c>
      <c r="AD22" s="620"/>
    </row>
    <row r="23" spans="1:30" x14ac:dyDescent="0.2">
      <c r="A23" s="264" t="s">
        <v>840</v>
      </c>
      <c r="B23" s="617"/>
      <c r="C23" s="264"/>
      <c r="D23" s="618">
        <f>'App.2-FA Proposed REG Invest.'!C100</f>
        <v>0</v>
      </c>
      <c r="E23" s="619">
        <f>D23*E20</f>
        <v>0</v>
      </c>
      <c r="F23" s="619">
        <f>D23*F20</f>
        <v>0</v>
      </c>
      <c r="G23" s="618">
        <f>'App.2-FA Proposed REG Invest.'!D$100</f>
        <v>0</v>
      </c>
      <c r="H23" s="619">
        <f>G23*H20</f>
        <v>0</v>
      </c>
      <c r="I23" s="619">
        <f>G23*I20</f>
        <v>0</v>
      </c>
      <c r="J23" s="618">
        <f>'App.2-FA Proposed REG Invest.'!E$100</f>
        <v>0</v>
      </c>
      <c r="K23" s="619">
        <f>J23*K20</f>
        <v>0</v>
      </c>
      <c r="L23" s="619">
        <f>J23*L20</f>
        <v>0</v>
      </c>
      <c r="M23" s="618">
        <f>'App.2-FA Proposed REG Invest.'!F$100</f>
        <v>0</v>
      </c>
      <c r="N23" s="619">
        <f>M23*N20</f>
        <v>0</v>
      </c>
      <c r="O23" s="619">
        <f>M23*O20</f>
        <v>0</v>
      </c>
      <c r="P23" s="618">
        <f>'App.2-FA Proposed REG Invest.'!G$100</f>
        <v>0</v>
      </c>
      <c r="Q23" s="619">
        <f>P23*Q20</f>
        <v>0</v>
      </c>
      <c r="R23" s="619">
        <f>P23*R20</f>
        <v>0</v>
      </c>
      <c r="S23" s="618">
        <f>'App.2-FA Proposed REG Invest.'!H$100</f>
        <v>0</v>
      </c>
      <c r="T23" s="619">
        <f>S23*T20</f>
        <v>0</v>
      </c>
      <c r="U23" s="619">
        <f>S23*U20</f>
        <v>0</v>
      </c>
      <c r="V23" s="618">
        <f>'App.2-FA Proposed REG Invest.'!I$100</f>
        <v>0</v>
      </c>
      <c r="W23" s="619">
        <f>V23*W20</f>
        <v>0</v>
      </c>
      <c r="X23" s="619">
        <f>V23*X20</f>
        <v>0</v>
      </c>
      <c r="Y23" s="618">
        <f>'App.2-FA Proposed REG Invest.'!J$100</f>
        <v>0</v>
      </c>
      <c r="Z23" s="619">
        <f>Y23*Z20</f>
        <v>0</v>
      </c>
      <c r="AA23" s="619">
        <f>Y23*AA20</f>
        <v>0</v>
      </c>
      <c r="AB23" s="618">
        <f>'App.2-FA Proposed REG Invest.'!K$100</f>
        <v>0</v>
      </c>
      <c r="AC23" s="619">
        <f>AB23*AC20</f>
        <v>0</v>
      </c>
      <c r="AD23" s="619">
        <f>AB23*AD20</f>
        <v>0</v>
      </c>
    </row>
    <row r="24" spans="1:30" x14ac:dyDescent="0.2">
      <c r="A24" s="264" t="s">
        <v>841</v>
      </c>
      <c r="B24" s="621"/>
      <c r="C24" s="637"/>
      <c r="D24" s="622"/>
      <c r="E24" s="623">
        <f>(E22+E23)*$B$24</f>
        <v>0</v>
      </c>
      <c r="F24" s="624">
        <f>F23*$B$24</f>
        <v>0</v>
      </c>
      <c r="G24" s="622"/>
      <c r="H24" s="623">
        <f>(H22+H23)*$B$24</f>
        <v>0</v>
      </c>
      <c r="I24" s="624">
        <f>I23*$B$24</f>
        <v>0</v>
      </c>
      <c r="J24" s="622"/>
      <c r="K24" s="623">
        <f>(K22+K23)*$B$24</f>
        <v>0</v>
      </c>
      <c r="L24" s="624">
        <f>L23*$B$24</f>
        <v>0</v>
      </c>
      <c r="M24" s="622"/>
      <c r="N24" s="623">
        <f>(N22+N23)*$B$24</f>
        <v>0</v>
      </c>
      <c r="O24" s="624">
        <f>O23*$B$24</f>
        <v>0</v>
      </c>
      <c r="P24" s="622"/>
      <c r="Q24" s="623">
        <f>(Q22+Q23)*$B$24</f>
        <v>0</v>
      </c>
      <c r="R24" s="624">
        <f>R23*$B$24</f>
        <v>0</v>
      </c>
      <c r="S24" s="622"/>
      <c r="T24" s="623">
        <f>(T22+T23)*$B$24</f>
        <v>0</v>
      </c>
      <c r="U24" s="624">
        <f>U23*$B$24</f>
        <v>0</v>
      </c>
      <c r="V24" s="622"/>
      <c r="W24" s="623">
        <f>(W22+W23)*$B$24</f>
        <v>0</v>
      </c>
      <c r="X24" s="624">
        <f>X23*$B$24</f>
        <v>0</v>
      </c>
      <c r="Y24" s="622"/>
      <c r="Z24" s="623">
        <f>(Z22+Z23)*$B$24</f>
        <v>0</v>
      </c>
      <c r="AA24" s="624">
        <f>AA23*$B$24</f>
        <v>0</v>
      </c>
      <c r="AB24" s="622"/>
      <c r="AC24" s="623">
        <f>(AC22+AC23)*$B$24</f>
        <v>0</v>
      </c>
      <c r="AD24" s="624">
        <f>AD23*$B$24</f>
        <v>0</v>
      </c>
    </row>
    <row r="25" spans="1:30" x14ac:dyDescent="0.2">
      <c r="A25" s="252" t="s">
        <v>706</v>
      </c>
      <c r="B25" s="264"/>
      <c r="C25" s="637"/>
      <c r="D25" s="264"/>
      <c r="E25" s="625">
        <f>SUM(E21+E24)</f>
        <v>0</v>
      </c>
      <c r="F25" s="625">
        <f>SUM(F21+F24)</f>
        <v>0</v>
      </c>
      <c r="G25" s="264"/>
      <c r="H25" s="625">
        <f>SUM(H21+H24)</f>
        <v>0</v>
      </c>
      <c r="I25" s="625">
        <f>SUM(I21+I24)</f>
        <v>0</v>
      </c>
      <c r="J25" s="264"/>
      <c r="K25" s="625">
        <f>SUM(K21+K24)</f>
        <v>0</v>
      </c>
      <c r="L25" s="625">
        <f>SUM(L21+L24)</f>
        <v>0</v>
      </c>
      <c r="M25" s="264"/>
      <c r="N25" s="625">
        <f>SUM(N21+N24)</f>
        <v>0</v>
      </c>
      <c r="O25" s="625">
        <f>SUM(O21+O24)</f>
        <v>0</v>
      </c>
      <c r="P25" s="264"/>
      <c r="Q25" s="625">
        <f>SUM(Q21+Q24)</f>
        <v>0</v>
      </c>
      <c r="R25" s="625">
        <f>SUM(R21+R24)</f>
        <v>0</v>
      </c>
      <c r="S25" s="264"/>
      <c r="T25" s="625">
        <f>SUM(T21+T24)</f>
        <v>0</v>
      </c>
      <c r="U25" s="625">
        <f>SUM(U21+U24)</f>
        <v>0</v>
      </c>
      <c r="V25" s="264"/>
      <c r="W25" s="625">
        <f>SUM(W21+W24)</f>
        <v>0</v>
      </c>
      <c r="X25" s="625">
        <f>SUM(X21+X24)</f>
        <v>0</v>
      </c>
      <c r="Y25" s="264"/>
      <c r="Z25" s="625">
        <f>SUM(Z21+Z24)</f>
        <v>0</v>
      </c>
      <c r="AA25" s="625">
        <f>SUM(AA21+AA24)</f>
        <v>0</v>
      </c>
      <c r="AB25" s="264"/>
      <c r="AC25" s="625">
        <f>SUM(AC21+AC24)</f>
        <v>0</v>
      </c>
      <c r="AD25" s="625">
        <f>SUM(AD21+AD24)</f>
        <v>0</v>
      </c>
    </row>
    <row r="26" spans="1:30" x14ac:dyDescent="0.2">
      <c r="A26" s="264"/>
      <c r="B26" s="264"/>
      <c r="C26" s="264"/>
      <c r="D26" s="264"/>
      <c r="E26" s="264"/>
      <c r="F26" s="264"/>
      <c r="G26" s="264"/>
      <c r="H26" s="264"/>
      <c r="I26" s="264"/>
      <c r="J26" s="264"/>
      <c r="K26" s="264"/>
      <c r="L26" s="264"/>
      <c r="M26" s="264"/>
      <c r="N26" s="264"/>
      <c r="O26" s="264"/>
      <c r="P26" s="264"/>
      <c r="Q26" s="264"/>
      <c r="R26" s="264"/>
      <c r="S26" s="264"/>
      <c r="T26" s="264"/>
      <c r="U26" s="264"/>
      <c r="V26" s="264"/>
      <c r="W26" s="264"/>
      <c r="X26" s="264"/>
      <c r="Y26" s="264"/>
      <c r="Z26" s="264"/>
      <c r="AA26" s="264"/>
      <c r="AB26" s="264"/>
      <c r="AC26" s="264"/>
      <c r="AD26" s="264"/>
    </row>
    <row r="27" spans="1:30" x14ac:dyDescent="0.2">
      <c r="A27" s="264"/>
      <c r="B27" s="264"/>
      <c r="C27" s="264"/>
      <c r="D27" s="264"/>
      <c r="E27" s="264"/>
      <c r="F27" s="264"/>
      <c r="G27" s="264"/>
      <c r="H27" s="264"/>
      <c r="I27" s="264"/>
      <c r="J27" s="264"/>
      <c r="K27" s="264"/>
      <c r="L27" s="264"/>
      <c r="M27" s="264"/>
      <c r="N27" s="264"/>
      <c r="O27" s="264"/>
      <c r="P27" s="264"/>
      <c r="Q27" s="264"/>
      <c r="R27" s="264"/>
      <c r="S27" s="264"/>
      <c r="T27" s="264"/>
      <c r="U27" s="264"/>
      <c r="V27" s="264"/>
      <c r="W27" s="264"/>
      <c r="X27" s="264"/>
      <c r="Y27" s="264"/>
      <c r="Z27" s="264"/>
      <c r="AA27" s="264"/>
      <c r="AB27" s="264"/>
      <c r="AC27" s="264"/>
      <c r="AD27" s="264"/>
    </row>
    <row r="28" spans="1:30" x14ac:dyDescent="0.2">
      <c r="A28" s="264" t="s">
        <v>842</v>
      </c>
      <c r="B28" s="621"/>
      <c r="C28" s="637"/>
      <c r="D28" s="613"/>
      <c r="E28" s="625">
        <f>E25*$B$28</f>
        <v>0</v>
      </c>
      <c r="F28" s="625">
        <f>F25*$B$28</f>
        <v>0</v>
      </c>
      <c r="G28" s="613"/>
      <c r="H28" s="625">
        <f>H25*$B$28</f>
        <v>0</v>
      </c>
      <c r="I28" s="625">
        <f>I25*$B$28</f>
        <v>0</v>
      </c>
      <c r="J28" s="613"/>
      <c r="K28" s="625">
        <f>K25*$B$28</f>
        <v>0</v>
      </c>
      <c r="L28" s="625">
        <f>L25*$B$28</f>
        <v>0</v>
      </c>
      <c r="M28" s="613"/>
      <c r="N28" s="625">
        <f>N25*$B$28</f>
        <v>0</v>
      </c>
      <c r="O28" s="625">
        <f>O25*$B$28</f>
        <v>0</v>
      </c>
      <c r="P28" s="613"/>
      <c r="Q28" s="625">
        <f>Q25*$B$28</f>
        <v>0</v>
      </c>
      <c r="R28" s="625">
        <f>R25*$B$28</f>
        <v>0</v>
      </c>
      <c r="S28" s="613"/>
      <c r="T28" s="625">
        <f>T25*$B$28</f>
        <v>0</v>
      </c>
      <c r="U28" s="625">
        <f>U25*$B$28</f>
        <v>0</v>
      </c>
      <c r="V28" s="613"/>
      <c r="W28" s="625">
        <f>W25*$B$28</f>
        <v>0</v>
      </c>
      <c r="X28" s="625">
        <f>X25*$B$28</f>
        <v>0</v>
      </c>
      <c r="Y28" s="613"/>
      <c r="Z28" s="625">
        <f>Z25*$B$28</f>
        <v>0</v>
      </c>
      <c r="AA28" s="625">
        <f>AA25*$B$28</f>
        <v>0</v>
      </c>
      <c r="AB28" s="613"/>
      <c r="AC28" s="625">
        <f>AC25*$B$28</f>
        <v>0</v>
      </c>
      <c r="AD28" s="625">
        <f>AD25*$B$28</f>
        <v>0</v>
      </c>
    </row>
    <row r="29" spans="1:30" x14ac:dyDescent="0.2">
      <c r="A29" s="264" t="s">
        <v>843</v>
      </c>
      <c r="B29" s="621"/>
      <c r="C29" s="637"/>
      <c r="D29" s="626"/>
      <c r="E29" s="625">
        <f>E25*$B$29</f>
        <v>0</v>
      </c>
      <c r="F29" s="625">
        <f>F25*$B$29</f>
        <v>0</v>
      </c>
      <c r="G29" s="626"/>
      <c r="H29" s="625">
        <f>H25*$B$29</f>
        <v>0</v>
      </c>
      <c r="I29" s="625">
        <f>I25*$B$29</f>
        <v>0</v>
      </c>
      <c r="J29" s="626"/>
      <c r="K29" s="625">
        <f>K25*$B$29</f>
        <v>0</v>
      </c>
      <c r="L29" s="625">
        <f>L25*$B$29</f>
        <v>0</v>
      </c>
      <c r="M29" s="626"/>
      <c r="N29" s="625">
        <f>N25*$B$29</f>
        <v>0</v>
      </c>
      <c r="O29" s="625">
        <f>O25*$B$29</f>
        <v>0</v>
      </c>
      <c r="P29" s="626"/>
      <c r="Q29" s="625">
        <f>Q25*$B$29</f>
        <v>0</v>
      </c>
      <c r="R29" s="625">
        <f>R25*$B$29</f>
        <v>0</v>
      </c>
      <c r="S29" s="626"/>
      <c r="T29" s="625">
        <f>T25*$B$29</f>
        <v>0</v>
      </c>
      <c r="U29" s="625">
        <f>U25*$B$29</f>
        <v>0</v>
      </c>
      <c r="V29" s="626"/>
      <c r="W29" s="625">
        <f>W25*$B$29</f>
        <v>0</v>
      </c>
      <c r="X29" s="625">
        <f>X25*$B$29</f>
        <v>0</v>
      </c>
      <c r="Y29" s="626"/>
      <c r="Z29" s="625">
        <f>Z25*$B$29</f>
        <v>0</v>
      </c>
      <c r="AA29" s="625">
        <f>AA25*$B$29</f>
        <v>0</v>
      </c>
      <c r="AB29" s="626"/>
      <c r="AC29" s="625">
        <f>AC25*$B$29</f>
        <v>0</v>
      </c>
      <c r="AD29" s="625">
        <f>AD25*$B$29</f>
        <v>0</v>
      </c>
    </row>
    <row r="30" spans="1:30" x14ac:dyDescent="0.2">
      <c r="A30" s="264" t="s">
        <v>844</v>
      </c>
      <c r="B30" s="621"/>
      <c r="C30" s="637"/>
      <c r="D30" s="627"/>
      <c r="E30" s="625">
        <f>E25*$B$30</f>
        <v>0</v>
      </c>
      <c r="F30" s="625">
        <f>F25*$B$30</f>
        <v>0</v>
      </c>
      <c r="G30" s="627"/>
      <c r="H30" s="625">
        <f>H25*$B$30</f>
        <v>0</v>
      </c>
      <c r="I30" s="625">
        <f>I25*$B$30</f>
        <v>0</v>
      </c>
      <c r="J30" s="627"/>
      <c r="K30" s="625">
        <f>K25*$B$30</f>
        <v>0</v>
      </c>
      <c r="L30" s="625">
        <f>L25*$B$30</f>
        <v>0</v>
      </c>
      <c r="M30" s="627"/>
      <c r="N30" s="625">
        <f>N25*$B$30</f>
        <v>0</v>
      </c>
      <c r="O30" s="625">
        <f>O25*$B$30</f>
        <v>0</v>
      </c>
      <c r="P30" s="627"/>
      <c r="Q30" s="625">
        <f>Q25*$B$30</f>
        <v>0</v>
      </c>
      <c r="R30" s="625">
        <f>R25*$B$30</f>
        <v>0</v>
      </c>
      <c r="S30" s="627"/>
      <c r="T30" s="625">
        <f>T25*$B$30</f>
        <v>0</v>
      </c>
      <c r="U30" s="625">
        <f>U25*$B$30</f>
        <v>0</v>
      </c>
      <c r="V30" s="627"/>
      <c r="W30" s="625">
        <f>W25*$B$30</f>
        <v>0</v>
      </c>
      <c r="X30" s="625">
        <f>X25*$B$30</f>
        <v>0</v>
      </c>
      <c r="Y30" s="627"/>
      <c r="Z30" s="625">
        <f>Z25*$B$30</f>
        <v>0</v>
      </c>
      <c r="AA30" s="625">
        <f>AA25*$B$30</f>
        <v>0</v>
      </c>
      <c r="AB30" s="627"/>
      <c r="AC30" s="625">
        <f>AC25*$B$30</f>
        <v>0</v>
      </c>
      <c r="AD30" s="625">
        <f>AD25*$B$30</f>
        <v>0</v>
      </c>
    </row>
    <row r="31" spans="1:30" x14ac:dyDescent="0.2">
      <c r="A31" s="264"/>
      <c r="B31" s="264"/>
      <c r="C31" s="683"/>
      <c r="D31" s="264"/>
      <c r="E31" s="628"/>
      <c r="F31" s="264"/>
      <c r="G31" s="264"/>
      <c r="H31" s="628"/>
      <c r="I31" s="264"/>
      <c r="J31" s="264"/>
      <c r="K31" s="628"/>
      <c r="L31" s="264"/>
      <c r="M31" s="264"/>
      <c r="N31" s="628"/>
      <c r="O31" s="264"/>
      <c r="P31" s="264"/>
      <c r="Q31" s="584"/>
      <c r="R31" s="264"/>
      <c r="S31" s="264"/>
      <c r="T31" s="584"/>
      <c r="U31" s="264"/>
      <c r="V31" s="264"/>
      <c r="W31" s="584"/>
      <c r="X31" s="264"/>
      <c r="Y31" s="264"/>
      <c r="Z31" s="584"/>
      <c r="AA31" s="264"/>
      <c r="AB31" s="264"/>
      <c r="AC31" s="584"/>
      <c r="AD31" s="264"/>
    </row>
    <row r="32" spans="1:30" x14ac:dyDescent="0.2">
      <c r="A32" s="264" t="s">
        <v>845</v>
      </c>
      <c r="B32" s="684"/>
      <c r="C32" s="637"/>
      <c r="D32" s="629"/>
      <c r="E32" s="625">
        <f>E28*$B$32</f>
        <v>0</v>
      </c>
      <c r="F32" s="625">
        <f>F28*$B$32</f>
        <v>0</v>
      </c>
      <c r="G32" s="629"/>
      <c r="H32" s="625">
        <f>H28*$B$32</f>
        <v>0</v>
      </c>
      <c r="I32" s="625">
        <f>I28*$B$32</f>
        <v>0</v>
      </c>
      <c r="J32" s="629"/>
      <c r="K32" s="625">
        <f>K28*$B$32</f>
        <v>0</v>
      </c>
      <c r="L32" s="625">
        <f>L28*$B$32</f>
        <v>0</v>
      </c>
      <c r="M32" s="629"/>
      <c r="N32" s="625">
        <f>N28*$B$32</f>
        <v>0</v>
      </c>
      <c r="O32" s="625">
        <f>O28*$B$32</f>
        <v>0</v>
      </c>
      <c r="P32" s="629"/>
      <c r="Q32" s="625">
        <f>Q28*$B$32</f>
        <v>0</v>
      </c>
      <c r="R32" s="625">
        <f>R28*$B$32</f>
        <v>0</v>
      </c>
      <c r="S32" s="629"/>
      <c r="T32" s="625">
        <f>T28*$B$32</f>
        <v>0</v>
      </c>
      <c r="U32" s="625">
        <f>U28*$B$32</f>
        <v>0</v>
      </c>
      <c r="V32" s="629"/>
      <c r="W32" s="625">
        <f>W28*$B$32</f>
        <v>0</v>
      </c>
      <c r="X32" s="625">
        <f>X28*$B$32</f>
        <v>0</v>
      </c>
      <c r="Y32" s="629"/>
      <c r="Z32" s="625">
        <f>Z28*$B$32</f>
        <v>0</v>
      </c>
      <c r="AA32" s="625">
        <f>AA28*$B$32</f>
        <v>0</v>
      </c>
      <c r="AB32" s="629"/>
      <c r="AC32" s="625">
        <f>AC28*$B$32</f>
        <v>0</v>
      </c>
      <c r="AD32" s="625">
        <f>AD28*$B$32</f>
        <v>0</v>
      </c>
    </row>
    <row r="33" spans="1:30" x14ac:dyDescent="0.2">
      <c r="A33" s="264" t="s">
        <v>846</v>
      </c>
      <c r="B33" s="684"/>
      <c r="C33" s="637"/>
      <c r="D33" s="629"/>
      <c r="E33" s="625">
        <f>E29*$B$33</f>
        <v>0</v>
      </c>
      <c r="F33" s="625">
        <f>F29*$B$33</f>
        <v>0</v>
      </c>
      <c r="G33" s="629"/>
      <c r="H33" s="625">
        <f>H29*$B$33</f>
        <v>0</v>
      </c>
      <c r="I33" s="625">
        <f>I29*$B$33</f>
        <v>0</v>
      </c>
      <c r="J33" s="629"/>
      <c r="K33" s="625">
        <f>K29*$B$33</f>
        <v>0</v>
      </c>
      <c r="L33" s="625">
        <f>L29*$B$33</f>
        <v>0</v>
      </c>
      <c r="M33" s="629"/>
      <c r="N33" s="625">
        <f>N29*$B$33</f>
        <v>0</v>
      </c>
      <c r="O33" s="625">
        <f>O29*$B$33</f>
        <v>0</v>
      </c>
      <c r="P33" s="629"/>
      <c r="Q33" s="625">
        <f>Q29*$B$33</f>
        <v>0</v>
      </c>
      <c r="R33" s="625">
        <f>R29*$B$33</f>
        <v>0</v>
      </c>
      <c r="S33" s="629"/>
      <c r="T33" s="625">
        <f>T29*$B$33</f>
        <v>0</v>
      </c>
      <c r="U33" s="625">
        <f>U29*$B$33</f>
        <v>0</v>
      </c>
      <c r="V33" s="629"/>
      <c r="W33" s="625">
        <f>W29*$B$33</f>
        <v>0</v>
      </c>
      <c r="X33" s="625">
        <f>X29*$B$33</f>
        <v>0</v>
      </c>
      <c r="Y33" s="629"/>
      <c r="Z33" s="625">
        <f>Z29*$B$33</f>
        <v>0</v>
      </c>
      <c r="AA33" s="625">
        <f>AA29*$B$33</f>
        <v>0</v>
      </c>
      <c r="AB33" s="629"/>
      <c r="AC33" s="625">
        <f>AC29*$B$33</f>
        <v>0</v>
      </c>
      <c r="AD33" s="625">
        <f>AD29*$B$33</f>
        <v>0</v>
      </c>
    </row>
    <row r="34" spans="1:30" x14ac:dyDescent="0.2">
      <c r="A34" s="264" t="s">
        <v>847</v>
      </c>
      <c r="B34" s="684"/>
      <c r="C34" s="637"/>
      <c r="D34" s="629"/>
      <c r="E34" s="625">
        <f>E30*$B$34</f>
        <v>0</v>
      </c>
      <c r="F34" s="623">
        <f>F30*$B$34</f>
        <v>0</v>
      </c>
      <c r="G34" s="629"/>
      <c r="H34" s="625">
        <f>H30*$B$34</f>
        <v>0</v>
      </c>
      <c r="I34" s="623">
        <f>I30*$B$34</f>
        <v>0</v>
      </c>
      <c r="J34" s="629"/>
      <c r="K34" s="625">
        <f>K30*$B$34</f>
        <v>0</v>
      </c>
      <c r="L34" s="623">
        <f>L30*$B$34</f>
        <v>0</v>
      </c>
      <c r="M34" s="629"/>
      <c r="N34" s="625">
        <f>N30*$B$34</f>
        <v>0</v>
      </c>
      <c r="O34" s="623">
        <f>O30*$B$34</f>
        <v>0</v>
      </c>
      <c r="P34" s="629"/>
      <c r="Q34" s="625">
        <f>Q30*$B$34</f>
        <v>0</v>
      </c>
      <c r="R34" s="623">
        <f>R30*$B$34</f>
        <v>0</v>
      </c>
      <c r="S34" s="629"/>
      <c r="T34" s="625">
        <f>T30*$B$34</f>
        <v>0</v>
      </c>
      <c r="U34" s="623">
        <f>U30*$B$34</f>
        <v>0</v>
      </c>
      <c r="V34" s="629"/>
      <c r="W34" s="625">
        <f>W30*$B$34</f>
        <v>0</v>
      </c>
      <c r="X34" s="623">
        <f>X30*$B$34</f>
        <v>0</v>
      </c>
      <c r="Y34" s="629"/>
      <c r="Z34" s="625">
        <f>Z30*$B$34</f>
        <v>0</v>
      </c>
      <c r="AA34" s="623">
        <f>AA30*$B$34</f>
        <v>0</v>
      </c>
      <c r="AB34" s="629"/>
      <c r="AC34" s="625">
        <f>AC30*$B$34</f>
        <v>0</v>
      </c>
      <c r="AD34" s="623">
        <f>AD30*$B$34</f>
        <v>0</v>
      </c>
    </row>
    <row r="35" spans="1:30" x14ac:dyDescent="0.2">
      <c r="A35" s="630" t="s">
        <v>848</v>
      </c>
      <c r="B35" s="264"/>
      <c r="C35" s="637"/>
      <c r="D35" s="264"/>
      <c r="E35" s="631">
        <f>SUM(E32:E34)</f>
        <v>0</v>
      </c>
      <c r="F35" s="631">
        <f>SUM(F32:F34)</f>
        <v>0</v>
      </c>
      <c r="G35" s="264"/>
      <c r="H35" s="631">
        <f>SUM(H32:H34)</f>
        <v>0</v>
      </c>
      <c r="I35" s="631">
        <f>SUM(I32:I34)</f>
        <v>0</v>
      </c>
      <c r="J35" s="264"/>
      <c r="K35" s="631">
        <f>SUM(K32:K34)</f>
        <v>0</v>
      </c>
      <c r="L35" s="631">
        <f>SUM(L32:L34)</f>
        <v>0</v>
      </c>
      <c r="M35" s="264"/>
      <c r="N35" s="631">
        <f>SUM(N32:N34)</f>
        <v>0</v>
      </c>
      <c r="O35" s="631">
        <f>SUM(O32:O34)</f>
        <v>0</v>
      </c>
      <c r="P35" s="264"/>
      <c r="Q35" s="631">
        <f>SUM(Q32:Q34)</f>
        <v>0</v>
      </c>
      <c r="R35" s="631">
        <f>SUM(R32:R34)</f>
        <v>0</v>
      </c>
      <c r="S35" s="264"/>
      <c r="T35" s="631">
        <f>SUM(T32:T34)</f>
        <v>0</v>
      </c>
      <c r="U35" s="631">
        <f>SUM(U32:U34)</f>
        <v>0</v>
      </c>
      <c r="V35" s="264"/>
      <c r="W35" s="631">
        <f>SUM(W32:W34)</f>
        <v>0</v>
      </c>
      <c r="X35" s="631">
        <f>SUM(X32:X34)</f>
        <v>0</v>
      </c>
      <c r="Y35" s="264"/>
      <c r="Z35" s="631">
        <f>SUM(Z32:Z34)</f>
        <v>0</v>
      </c>
      <c r="AA35" s="631">
        <f>SUM(AA32:AA34)</f>
        <v>0</v>
      </c>
      <c r="AB35" s="264"/>
      <c r="AC35" s="631">
        <f>SUM(AC32:AC34)</f>
        <v>0</v>
      </c>
      <c r="AD35" s="631">
        <f>SUM(AD32:AD34)</f>
        <v>0</v>
      </c>
    </row>
    <row r="36" spans="1:30" x14ac:dyDescent="0.2">
      <c r="A36" s="264"/>
      <c r="B36" s="264"/>
      <c r="C36" s="608"/>
      <c r="D36" s="264"/>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row>
    <row r="37" spans="1:30" x14ac:dyDescent="0.2">
      <c r="A37" s="264" t="s">
        <v>166</v>
      </c>
      <c r="B37" s="264"/>
      <c r="C37" s="685"/>
      <c r="D37" s="264"/>
      <c r="E37" s="632">
        <f>E22+E23</f>
        <v>0</v>
      </c>
      <c r="F37" s="625">
        <f>F23</f>
        <v>0</v>
      </c>
      <c r="G37" s="264"/>
      <c r="H37" s="632">
        <f>H22+H23</f>
        <v>0</v>
      </c>
      <c r="I37" s="625">
        <f>I23</f>
        <v>0</v>
      </c>
      <c r="J37" s="264"/>
      <c r="K37" s="632">
        <f>K22+K23</f>
        <v>0</v>
      </c>
      <c r="L37" s="625">
        <f>L23</f>
        <v>0</v>
      </c>
      <c r="M37" s="264"/>
      <c r="N37" s="632">
        <f>N22+N23</f>
        <v>0</v>
      </c>
      <c r="O37" s="625">
        <f>O23</f>
        <v>0</v>
      </c>
      <c r="P37" s="264"/>
      <c r="Q37" s="632">
        <f>Q22+Q23</f>
        <v>0</v>
      </c>
      <c r="R37" s="625">
        <f>R23</f>
        <v>0</v>
      </c>
      <c r="S37" s="264"/>
      <c r="T37" s="632">
        <f>T22+T23</f>
        <v>0</v>
      </c>
      <c r="U37" s="625">
        <f>U23</f>
        <v>0</v>
      </c>
      <c r="V37" s="283"/>
      <c r="W37" s="632">
        <f>W22+W23</f>
        <v>0</v>
      </c>
      <c r="X37" s="625">
        <f>X23</f>
        <v>0</v>
      </c>
      <c r="Y37" s="264"/>
      <c r="Z37" s="632">
        <f>Z22+Z23</f>
        <v>0</v>
      </c>
      <c r="AA37" s="632">
        <f>AA23</f>
        <v>0</v>
      </c>
      <c r="AB37" s="264"/>
      <c r="AC37" s="632">
        <f>AC22+AC23</f>
        <v>0</v>
      </c>
      <c r="AD37" s="632">
        <f>AD23</f>
        <v>0</v>
      </c>
    </row>
    <row r="38" spans="1:30" x14ac:dyDescent="0.2">
      <c r="A38" s="264" t="s">
        <v>849</v>
      </c>
      <c r="B38" s="633"/>
      <c r="C38" s="637"/>
      <c r="D38" s="584">
        <f>D78</f>
        <v>0</v>
      </c>
      <c r="E38" s="625">
        <f>D38*E$20</f>
        <v>0</v>
      </c>
      <c r="F38" s="625">
        <f>D38*F$20</f>
        <v>0</v>
      </c>
      <c r="G38" s="584">
        <f>E78</f>
        <v>0</v>
      </c>
      <c r="H38" s="625">
        <f>G38*H$20</f>
        <v>0</v>
      </c>
      <c r="I38" s="625">
        <f>G38*I$20</f>
        <v>0</v>
      </c>
      <c r="J38" s="584">
        <f>F78</f>
        <v>0</v>
      </c>
      <c r="K38" s="625">
        <f>J38*K$20</f>
        <v>0</v>
      </c>
      <c r="L38" s="625">
        <f>J38*L$20</f>
        <v>0</v>
      </c>
      <c r="M38" s="584">
        <f>G78</f>
        <v>0</v>
      </c>
      <c r="N38" s="625">
        <f>M38*N$20</f>
        <v>0</v>
      </c>
      <c r="O38" s="625">
        <f>M38*O$20</f>
        <v>0</v>
      </c>
      <c r="P38" s="634">
        <f>H76+H77</f>
        <v>0</v>
      </c>
      <c r="Q38" s="625">
        <f>P38*Q$20</f>
        <v>0</v>
      </c>
      <c r="R38" s="625">
        <f>P38*R$20</f>
        <v>0</v>
      </c>
      <c r="S38" s="634">
        <f>I76+I77</f>
        <v>0</v>
      </c>
      <c r="T38" s="625">
        <f>S38*T$20</f>
        <v>0</v>
      </c>
      <c r="U38" s="625">
        <f>S38*U$20</f>
        <v>0</v>
      </c>
      <c r="V38" s="634">
        <f>J76+J77</f>
        <v>0</v>
      </c>
      <c r="W38" s="625">
        <f>V38*W$20</f>
        <v>0</v>
      </c>
      <c r="X38" s="625">
        <f>V38*X$20</f>
        <v>0</v>
      </c>
      <c r="Y38" s="634">
        <f>K76+K77</f>
        <v>0</v>
      </c>
      <c r="Z38" s="625">
        <f>Y38*Z$20</f>
        <v>0</v>
      </c>
      <c r="AA38" s="625">
        <f>Y38*AA$20</f>
        <v>0</v>
      </c>
      <c r="AB38" s="634">
        <f>L76+L77</f>
        <v>0</v>
      </c>
      <c r="AC38" s="625">
        <f>AB38*AC$20</f>
        <v>0</v>
      </c>
      <c r="AD38" s="625">
        <f>AB38*AD$20</f>
        <v>0</v>
      </c>
    </row>
    <row r="39" spans="1:30" x14ac:dyDescent="0.2">
      <c r="A39" s="264" t="s">
        <v>850</v>
      </c>
      <c r="B39" s="633"/>
      <c r="C39" s="686"/>
      <c r="D39" s="264"/>
      <c r="E39" s="584">
        <f>E66</f>
        <v>0</v>
      </c>
      <c r="F39" s="584">
        <f>F66</f>
        <v>0</v>
      </c>
      <c r="G39" s="264"/>
      <c r="H39" s="584">
        <f>H66</f>
        <v>0</v>
      </c>
      <c r="I39" s="584">
        <f>I66</f>
        <v>0</v>
      </c>
      <c r="J39" s="264"/>
      <c r="K39" s="584">
        <f>K66</f>
        <v>0</v>
      </c>
      <c r="L39" s="584">
        <f>L66</f>
        <v>0</v>
      </c>
      <c r="M39" s="264"/>
      <c r="N39" s="584">
        <f>N66</f>
        <v>0</v>
      </c>
      <c r="O39" s="584">
        <f>O66</f>
        <v>0</v>
      </c>
      <c r="P39" s="633"/>
      <c r="Q39" s="584">
        <f>Q66</f>
        <v>0</v>
      </c>
      <c r="R39" s="584">
        <f>R66</f>
        <v>0</v>
      </c>
      <c r="S39" s="633"/>
      <c r="T39" s="584">
        <f>T66</f>
        <v>0</v>
      </c>
      <c r="U39" s="584">
        <f>U66</f>
        <v>0</v>
      </c>
      <c r="V39" s="633"/>
      <c r="W39" s="584">
        <f>W66</f>
        <v>0</v>
      </c>
      <c r="X39" s="584">
        <f>X66</f>
        <v>0</v>
      </c>
      <c r="Y39" s="633"/>
      <c r="Z39" s="584">
        <f>Z66</f>
        <v>0</v>
      </c>
      <c r="AA39" s="584">
        <f>AA66</f>
        <v>0</v>
      </c>
      <c r="AB39" s="633"/>
      <c r="AC39" s="584">
        <f>AC66</f>
        <v>0</v>
      </c>
      <c r="AD39" s="584">
        <f>AD66</f>
        <v>0</v>
      </c>
    </row>
    <row r="40" spans="1:30" x14ac:dyDescent="0.2">
      <c r="A40" s="264"/>
      <c r="B40" s="264"/>
      <c r="C40" s="608"/>
      <c r="D40" s="264"/>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row>
    <row r="41" spans="1:30" ht="13.5" thickBot="1" x14ac:dyDescent="0.25">
      <c r="A41" s="252" t="s">
        <v>851</v>
      </c>
      <c r="B41" s="264"/>
      <c r="C41" s="637"/>
      <c r="D41" s="264"/>
      <c r="E41" s="635">
        <f>SUM(E35:E39)</f>
        <v>0</v>
      </c>
      <c r="F41" s="635">
        <f>SUM(F35:F39)</f>
        <v>0</v>
      </c>
      <c r="G41" s="264"/>
      <c r="H41" s="635">
        <f>SUM(H35:H39)</f>
        <v>0</v>
      </c>
      <c r="I41" s="635">
        <f>SUM(I35:I39)</f>
        <v>0</v>
      </c>
      <c r="J41" s="264"/>
      <c r="K41" s="635">
        <f>SUM(K35:K39)</f>
        <v>0</v>
      </c>
      <c r="L41" s="635">
        <f>SUM(L35:L39)</f>
        <v>0</v>
      </c>
      <c r="M41" s="264"/>
      <c r="N41" s="635">
        <f>SUM(N35:N39)</f>
        <v>0</v>
      </c>
      <c r="O41" s="635">
        <f>SUM(O35:O39)</f>
        <v>0</v>
      </c>
      <c r="P41" s="264"/>
      <c r="Q41" s="635">
        <f>SUM(Q35:Q39)</f>
        <v>0</v>
      </c>
      <c r="R41" s="635">
        <f>SUM(R35:R39)</f>
        <v>0</v>
      </c>
      <c r="S41" s="264"/>
      <c r="T41" s="635">
        <f>SUM(T35:T39)</f>
        <v>0</v>
      </c>
      <c r="U41" s="635">
        <f>SUM(U35:U39)</f>
        <v>0</v>
      </c>
      <c r="V41" s="264"/>
      <c r="W41" s="635">
        <f>SUM(W35:W39)</f>
        <v>0</v>
      </c>
      <c r="X41" s="635">
        <f>SUM(X35:X39)</f>
        <v>0</v>
      </c>
      <c r="Y41" s="264"/>
      <c r="Z41" s="635">
        <f>SUM(Z35:Z39)</f>
        <v>0</v>
      </c>
      <c r="AA41" s="635">
        <f>SUM(AA35:AA39)</f>
        <v>0</v>
      </c>
      <c r="AB41" s="264"/>
      <c r="AC41" s="635">
        <f>SUM(AC35:AC39)</f>
        <v>0</v>
      </c>
      <c r="AD41" s="635">
        <f>SUM(AD35:AD39)</f>
        <v>0</v>
      </c>
    </row>
    <row r="42" spans="1:30" x14ac:dyDescent="0.2">
      <c r="A42" s="264"/>
      <c r="B42" s="264"/>
      <c r="C42" s="637"/>
      <c r="D42" s="264"/>
      <c r="E42" s="637"/>
      <c r="F42" s="637"/>
      <c r="G42" s="264"/>
      <c r="H42" s="637"/>
      <c r="I42" s="637"/>
      <c r="J42" s="264"/>
      <c r="K42" s="637"/>
      <c r="L42" s="637"/>
      <c r="M42" s="264"/>
      <c r="N42" s="637"/>
      <c r="O42" s="637"/>
      <c r="P42" s="264"/>
      <c r="Q42" s="637"/>
      <c r="R42" s="637"/>
      <c r="S42" s="264"/>
      <c r="T42" s="637"/>
      <c r="U42" s="637"/>
      <c r="V42" s="264"/>
      <c r="W42" s="637"/>
      <c r="X42" s="637"/>
      <c r="Y42" s="264"/>
      <c r="Z42" s="637"/>
      <c r="AA42" s="637"/>
      <c r="AB42" s="264"/>
      <c r="AC42" s="637"/>
      <c r="AD42" s="637"/>
    </row>
    <row r="43" spans="1:30" x14ac:dyDescent="0.2">
      <c r="A43" s="264"/>
      <c r="B43" s="638"/>
      <c r="C43" s="625"/>
      <c r="D43" s="264"/>
      <c r="E43" s="625"/>
      <c r="F43" s="593"/>
      <c r="G43" s="264"/>
      <c r="H43" s="625"/>
      <c r="I43" s="593"/>
      <c r="J43" s="264"/>
      <c r="K43" s="625"/>
      <c r="L43" s="593"/>
      <c r="M43" s="264"/>
      <c r="N43" s="625"/>
      <c r="O43" s="593"/>
      <c r="P43" s="625"/>
      <c r="Q43" s="264"/>
      <c r="R43" s="625"/>
      <c r="S43" s="625"/>
      <c r="T43" s="264"/>
      <c r="U43" s="625"/>
      <c r="V43" s="625"/>
      <c r="W43" s="264"/>
      <c r="X43" s="625"/>
      <c r="Y43" s="625"/>
      <c r="Z43" s="264"/>
      <c r="AA43" s="625"/>
      <c r="AB43" s="625"/>
      <c r="AC43" s="264"/>
      <c r="AD43" s="625"/>
    </row>
    <row r="44" spans="1:30" x14ac:dyDescent="0.2">
      <c r="A44" s="264" t="s">
        <v>852</v>
      </c>
      <c r="B44" s="638"/>
      <c r="C44" s="625"/>
      <c r="D44" s="264"/>
      <c r="E44" s="625"/>
      <c r="F44" s="639">
        <f>F41</f>
        <v>0</v>
      </c>
      <c r="G44" s="264"/>
      <c r="H44" s="625"/>
      <c r="I44" s="639">
        <f>I41</f>
        <v>0</v>
      </c>
      <c r="J44" s="264"/>
      <c r="K44" s="625"/>
      <c r="L44" s="639">
        <f>L41</f>
        <v>0</v>
      </c>
      <c r="M44" s="264"/>
      <c r="N44" s="625"/>
      <c r="O44" s="639">
        <f>O41</f>
        <v>0</v>
      </c>
      <c r="P44" s="625"/>
      <c r="Q44" s="264"/>
      <c r="R44" s="639">
        <f>R41</f>
        <v>0</v>
      </c>
      <c r="S44" s="625"/>
      <c r="T44" s="264"/>
      <c r="U44" s="639">
        <f>U41</f>
        <v>0</v>
      </c>
      <c r="V44" s="625"/>
      <c r="W44" s="264"/>
      <c r="X44" s="639">
        <f>X41</f>
        <v>0</v>
      </c>
      <c r="Y44" s="625"/>
      <c r="Z44" s="264"/>
      <c r="AA44" s="639">
        <f>AA41</f>
        <v>0</v>
      </c>
      <c r="AB44" s="625"/>
      <c r="AC44" s="264"/>
      <c r="AD44" s="639">
        <f>AD41</f>
        <v>0</v>
      </c>
    </row>
    <row r="45" spans="1:30" x14ac:dyDescent="0.2">
      <c r="A45" s="264"/>
      <c r="B45" s="640"/>
      <c r="C45" s="264"/>
      <c r="D45" s="264"/>
      <c r="E45" s="641"/>
      <c r="F45" s="593"/>
      <c r="G45" s="264"/>
      <c r="H45" s="641"/>
      <c r="I45" s="593"/>
      <c r="J45" s="264"/>
      <c r="K45" s="641"/>
      <c r="L45" s="593"/>
      <c r="M45" s="264"/>
      <c r="N45" s="641"/>
      <c r="O45" s="593"/>
      <c r="P45" s="264"/>
      <c r="Q45" s="642"/>
      <c r="R45" s="593"/>
      <c r="S45" s="264"/>
      <c r="T45" s="642"/>
      <c r="U45" s="593"/>
      <c r="V45" s="264"/>
      <c r="W45" s="642"/>
      <c r="X45" s="593"/>
      <c r="Y45" s="264"/>
      <c r="Z45" s="642"/>
      <c r="AA45" s="593"/>
      <c r="AB45" s="264"/>
      <c r="AC45" s="642"/>
      <c r="AD45" s="593"/>
    </row>
    <row r="46" spans="1:30" x14ac:dyDescent="0.2">
      <c r="A46" s="283" t="s">
        <v>1506</v>
      </c>
      <c r="B46" s="264"/>
      <c r="C46" s="584"/>
      <c r="D46" s="584"/>
      <c r="E46" s="584"/>
      <c r="F46" s="639">
        <f>F44/12</f>
        <v>0</v>
      </c>
      <c r="G46" s="584"/>
      <c r="H46" s="584"/>
      <c r="I46" s="639">
        <f>I44/12</f>
        <v>0</v>
      </c>
      <c r="J46" s="584"/>
      <c r="K46" s="584"/>
      <c r="L46" s="639">
        <f>L44/12</f>
        <v>0</v>
      </c>
      <c r="M46" s="584"/>
      <c r="N46" s="584"/>
      <c r="O46" s="639">
        <f>O44/12</f>
        <v>0</v>
      </c>
      <c r="P46" s="584"/>
      <c r="Q46" s="264"/>
      <c r="R46" s="639">
        <f>R44/12</f>
        <v>0</v>
      </c>
      <c r="S46" s="584"/>
      <c r="T46" s="264"/>
      <c r="U46" s="639">
        <f>U44/12</f>
        <v>0</v>
      </c>
      <c r="V46" s="584"/>
      <c r="W46" s="264"/>
      <c r="X46" s="639">
        <f>X44/12</f>
        <v>0</v>
      </c>
      <c r="Y46" s="584"/>
      <c r="Z46" s="264"/>
      <c r="AA46" s="639">
        <f>AA44/12</f>
        <v>0</v>
      </c>
      <c r="AB46" s="584"/>
      <c r="AC46" s="264"/>
      <c r="AD46" s="639">
        <f>AD44/12</f>
        <v>0</v>
      </c>
    </row>
    <row r="47" spans="1:30" x14ac:dyDescent="0.2">
      <c r="A47" s="283"/>
      <c r="B47" s="264"/>
      <c r="C47" s="584"/>
      <c r="D47" s="584"/>
      <c r="E47" s="584"/>
      <c r="F47" s="584"/>
      <c r="G47" s="584"/>
      <c r="H47" s="584"/>
      <c r="I47" s="584"/>
      <c r="J47" s="584"/>
      <c r="K47" s="584"/>
      <c r="L47" s="584"/>
      <c r="M47" s="584"/>
      <c r="N47" s="584"/>
      <c r="O47" s="643"/>
      <c r="P47" s="584"/>
      <c r="Q47" s="264"/>
      <c r="R47" s="584"/>
      <c r="S47" s="584"/>
      <c r="T47" s="264"/>
      <c r="U47" s="264"/>
      <c r="V47" s="584"/>
      <c r="W47" s="264"/>
      <c r="X47" s="584"/>
      <c r="Y47" s="584"/>
      <c r="Z47" s="264"/>
      <c r="AA47" s="264"/>
      <c r="AB47" s="584"/>
      <c r="AC47" s="264"/>
      <c r="AD47" s="264"/>
    </row>
    <row r="48" spans="1:30" x14ac:dyDescent="0.2">
      <c r="A48" s="2125" t="s">
        <v>1516</v>
      </c>
      <c r="B48" s="2125"/>
      <c r="C48" s="2125"/>
      <c r="D48" s="2125"/>
      <c r="E48" s="2125"/>
      <c r="F48" s="2125"/>
      <c r="G48" s="2125"/>
      <c r="H48" s="2125"/>
      <c r="I48" s="2125"/>
      <c r="J48" s="2125"/>
      <c r="K48" s="2125"/>
      <c r="L48" s="2125"/>
      <c r="M48" s="2125"/>
      <c r="N48" s="2125"/>
      <c r="O48" s="2125"/>
      <c r="P48" s="2125"/>
      <c r="Q48" s="2125"/>
      <c r="R48" s="2125"/>
      <c r="S48" s="2125"/>
      <c r="T48" s="2125"/>
      <c r="U48" s="2125"/>
    </row>
    <row r="49" spans="1:30" x14ac:dyDescent="0.2">
      <c r="A49" s="644" t="s">
        <v>1517</v>
      </c>
      <c r="B49" s="1486"/>
      <c r="C49" s="1486"/>
      <c r="D49" s="1486"/>
      <c r="E49" s="1486"/>
      <c r="F49" s="1486"/>
      <c r="G49" s="1486"/>
      <c r="H49" s="1486"/>
      <c r="I49" s="1486"/>
      <c r="J49" s="1486"/>
      <c r="K49" s="1486"/>
      <c r="L49" s="1486"/>
      <c r="M49" s="1486"/>
      <c r="N49" s="1486"/>
      <c r="O49" s="1486"/>
      <c r="P49" s="1486"/>
      <c r="Q49" s="1486"/>
      <c r="R49" s="1486"/>
      <c r="S49" s="1486"/>
      <c r="T49" s="1486"/>
      <c r="U49" s="1486"/>
    </row>
    <row r="50" spans="1:30" x14ac:dyDescent="0.2">
      <c r="A50" s="2132" t="s">
        <v>1935</v>
      </c>
      <c r="B50" s="2132"/>
      <c r="C50" s="2132"/>
      <c r="D50" s="2132"/>
      <c r="E50" s="2132"/>
      <c r="F50" s="2132"/>
      <c r="G50" s="2132"/>
      <c r="H50" s="2132"/>
      <c r="I50" s="2132"/>
      <c r="J50" s="2132"/>
      <c r="K50" s="2132"/>
      <c r="L50" s="2132"/>
      <c r="M50" s="2132"/>
      <c r="N50" s="2132"/>
      <c r="O50" s="2132"/>
      <c r="P50" s="2132"/>
      <c r="Q50" s="2132"/>
      <c r="R50" s="2132"/>
      <c r="S50" s="2132"/>
      <c r="T50" s="2132"/>
      <c r="U50" s="2132"/>
      <c r="V50" s="2132"/>
    </row>
    <row r="51" spans="1:30" ht="15" x14ac:dyDescent="0.2">
      <c r="A51" s="2133"/>
      <c r="B51" s="2133"/>
      <c r="C51" s="687"/>
      <c r="D51" s="687"/>
      <c r="E51" s="687"/>
      <c r="F51" s="687"/>
      <c r="G51" s="687"/>
      <c r="H51" s="687"/>
      <c r="I51" s="687"/>
      <c r="J51" s="687"/>
      <c r="K51" s="687"/>
      <c r="L51" s="687"/>
      <c r="M51" s="687"/>
      <c r="N51" s="687"/>
      <c r="O51" s="687"/>
      <c r="P51" s="302"/>
    </row>
    <row r="52" spans="1:30" ht="16.5" thickBot="1" x14ac:dyDescent="0.3">
      <c r="A52" s="646" t="s">
        <v>853</v>
      </c>
      <c r="B52" s="1488"/>
      <c r="C52" s="687"/>
      <c r="D52" s="687"/>
      <c r="E52" s="687"/>
      <c r="F52" s="687"/>
      <c r="G52" s="687"/>
      <c r="H52" s="687"/>
      <c r="I52" s="687"/>
      <c r="J52" s="687"/>
      <c r="K52" s="687"/>
      <c r="L52" s="687"/>
      <c r="M52" s="687"/>
      <c r="N52" s="687"/>
      <c r="O52" s="687"/>
      <c r="P52" s="302"/>
    </row>
    <row r="53" spans="1:30" ht="13.5" thickBot="1" x14ac:dyDescent="0.25">
      <c r="A53" s="650"/>
      <c r="B53" s="1487"/>
      <c r="C53" s="645"/>
      <c r="D53" s="645"/>
      <c r="E53" s="2123">
        <v>2012</v>
      </c>
      <c r="F53" s="2124"/>
      <c r="G53" s="608"/>
      <c r="H53" s="2123">
        <v>2013</v>
      </c>
      <c r="I53" s="2124"/>
      <c r="J53" s="608"/>
      <c r="K53" s="2123">
        <v>2014</v>
      </c>
      <c r="L53" s="2124"/>
      <c r="M53" s="608"/>
      <c r="N53" s="2123">
        <v>2015</v>
      </c>
      <c r="O53" s="2124"/>
      <c r="P53" s="608"/>
      <c r="Q53" s="2123" t="s">
        <v>1934</v>
      </c>
      <c r="R53" s="2124"/>
      <c r="S53" s="608"/>
      <c r="T53" s="2123">
        <v>2017</v>
      </c>
      <c r="U53" s="2124"/>
      <c r="V53" s="608"/>
      <c r="W53" s="2123">
        <v>2018</v>
      </c>
      <c r="X53" s="2124"/>
      <c r="Y53" s="608"/>
      <c r="Z53" s="2123">
        <v>2019</v>
      </c>
      <c r="AA53" s="2124"/>
      <c r="AB53" s="608"/>
      <c r="AC53" s="2123">
        <v>2020</v>
      </c>
      <c r="AD53" s="2124"/>
    </row>
    <row r="54" spans="1:30" x14ac:dyDescent="0.2">
      <c r="A54" s="648" t="s">
        <v>854</v>
      </c>
      <c r="B54" s="1487"/>
      <c r="C54" s="645"/>
      <c r="D54" s="645"/>
      <c r="E54" s="252" t="s">
        <v>837</v>
      </c>
      <c r="F54" s="579" t="s">
        <v>838</v>
      </c>
      <c r="G54" s="264"/>
      <c r="H54" s="252" t="s">
        <v>837</v>
      </c>
      <c r="I54" s="579" t="s">
        <v>838</v>
      </c>
      <c r="J54" s="264"/>
      <c r="K54" s="252" t="s">
        <v>837</v>
      </c>
      <c r="L54" s="579" t="s">
        <v>838</v>
      </c>
      <c r="M54" s="264"/>
      <c r="N54" s="252" t="s">
        <v>837</v>
      </c>
      <c r="O54" s="579" t="s">
        <v>838</v>
      </c>
      <c r="P54" s="264"/>
      <c r="Q54" s="252" t="s">
        <v>837</v>
      </c>
      <c r="R54" s="579" t="s">
        <v>838</v>
      </c>
      <c r="S54" s="264"/>
      <c r="T54" s="252" t="s">
        <v>837</v>
      </c>
      <c r="U54" s="579" t="s">
        <v>838</v>
      </c>
      <c r="V54" s="264"/>
      <c r="W54" s="252" t="s">
        <v>837</v>
      </c>
      <c r="X54" s="579" t="s">
        <v>838</v>
      </c>
      <c r="Y54" s="264"/>
      <c r="Z54" s="252" t="s">
        <v>837</v>
      </c>
      <c r="AA54" s="579" t="s">
        <v>838</v>
      </c>
      <c r="AB54" s="264"/>
      <c r="AC54" s="252" t="s">
        <v>837</v>
      </c>
      <c r="AD54" s="579" t="s">
        <v>838</v>
      </c>
    </row>
    <row r="55" spans="1:30" x14ac:dyDescent="0.2">
      <c r="A55" s="649"/>
      <c r="B55" s="1487"/>
      <c r="C55" s="645"/>
      <c r="D55" s="645"/>
      <c r="E55" s="252"/>
      <c r="F55" s="579"/>
      <c r="G55" s="611"/>
      <c r="H55" s="252"/>
      <c r="I55" s="579"/>
      <c r="J55" s="611"/>
      <c r="K55" s="252"/>
      <c r="L55" s="579"/>
      <c r="M55" s="611"/>
      <c r="N55" s="252"/>
      <c r="O55" s="579"/>
      <c r="P55" s="611"/>
      <c r="Q55" s="252"/>
      <c r="R55" s="579"/>
      <c r="S55" s="611"/>
      <c r="T55" s="252"/>
      <c r="U55" s="579"/>
      <c r="V55" s="611" t="s">
        <v>388</v>
      </c>
      <c r="W55" s="252"/>
      <c r="X55" s="579"/>
      <c r="Y55" s="611" t="s">
        <v>388</v>
      </c>
      <c r="Z55" s="252"/>
      <c r="AA55" s="579"/>
      <c r="AB55" s="611" t="s">
        <v>388</v>
      </c>
      <c r="AC55" s="252"/>
      <c r="AD55" s="579"/>
    </row>
    <row r="56" spans="1:30" x14ac:dyDescent="0.2">
      <c r="A56" s="650" t="s">
        <v>855</v>
      </c>
      <c r="B56" s="1487"/>
      <c r="C56" s="645"/>
      <c r="D56" s="645"/>
      <c r="E56" s="596">
        <f>E34</f>
        <v>0</v>
      </c>
      <c r="F56" s="651">
        <f>F34</f>
        <v>0</v>
      </c>
      <c r="G56" s="596"/>
      <c r="H56" s="596">
        <f>H34</f>
        <v>0</v>
      </c>
      <c r="I56" s="651">
        <f>I34</f>
        <v>0</v>
      </c>
      <c r="J56" s="596"/>
      <c r="K56" s="596">
        <f>K34</f>
        <v>0</v>
      </c>
      <c r="L56" s="651">
        <f>L34</f>
        <v>0</v>
      </c>
      <c r="M56" s="596"/>
      <c r="N56" s="596">
        <f>N34</f>
        <v>0</v>
      </c>
      <c r="O56" s="651">
        <f>O34</f>
        <v>0</v>
      </c>
      <c r="P56" s="596"/>
      <c r="Q56" s="596">
        <f>Q34</f>
        <v>0</v>
      </c>
      <c r="R56" s="651">
        <f>R34</f>
        <v>0</v>
      </c>
      <c r="S56" s="596"/>
      <c r="T56" s="596">
        <f>T34</f>
        <v>0</v>
      </c>
      <c r="U56" s="651">
        <f>U34</f>
        <v>0</v>
      </c>
      <c r="V56" s="596"/>
      <c r="W56" s="596">
        <f>W34</f>
        <v>0</v>
      </c>
      <c r="X56" s="651">
        <f>X34</f>
        <v>0</v>
      </c>
      <c r="Y56" s="596"/>
      <c r="Z56" s="596">
        <f>Z34</f>
        <v>0</v>
      </c>
      <c r="AA56" s="651">
        <f>AA34</f>
        <v>0</v>
      </c>
      <c r="AB56" s="596"/>
      <c r="AC56" s="596">
        <f>AC34</f>
        <v>0</v>
      </c>
      <c r="AD56" s="651">
        <f>AD34</f>
        <v>0</v>
      </c>
    </row>
    <row r="57" spans="1:30" x14ac:dyDescent="0.2">
      <c r="A57" s="650" t="s">
        <v>1518</v>
      </c>
      <c r="B57" s="1487"/>
      <c r="C57" s="645"/>
      <c r="D57" s="645"/>
      <c r="E57" s="616">
        <f>E38</f>
        <v>0</v>
      </c>
      <c r="F57" s="616">
        <f>F38</f>
        <v>0</v>
      </c>
      <c r="G57" s="595"/>
      <c r="H57" s="616">
        <f>H38</f>
        <v>0</v>
      </c>
      <c r="I57" s="616">
        <f>I38</f>
        <v>0</v>
      </c>
      <c r="J57" s="595"/>
      <c r="K57" s="616">
        <f>K38</f>
        <v>0</v>
      </c>
      <c r="L57" s="616">
        <f>L38</f>
        <v>0</v>
      </c>
      <c r="M57" s="595"/>
      <c r="N57" s="616">
        <f>N38</f>
        <v>0</v>
      </c>
      <c r="O57" s="616">
        <f>O38</f>
        <v>0</v>
      </c>
      <c r="P57" s="595"/>
      <c r="Q57" s="616">
        <f>Q38</f>
        <v>0</v>
      </c>
      <c r="R57" s="616">
        <f>R38</f>
        <v>0</v>
      </c>
      <c r="S57" s="595"/>
      <c r="T57" s="616">
        <f>T38</f>
        <v>0</v>
      </c>
      <c r="U57" s="616">
        <f>U38</f>
        <v>0</v>
      </c>
      <c r="V57" s="595"/>
      <c r="W57" s="616">
        <f>W38</f>
        <v>0</v>
      </c>
      <c r="X57" s="616">
        <f>X38</f>
        <v>0</v>
      </c>
      <c r="Y57" s="595"/>
      <c r="Z57" s="616">
        <f>Z38</f>
        <v>0</v>
      </c>
      <c r="AA57" s="616">
        <f>AA38</f>
        <v>0</v>
      </c>
      <c r="AB57" s="595"/>
      <c r="AC57" s="616">
        <f>AC38</f>
        <v>0</v>
      </c>
      <c r="AD57" s="616">
        <f>AD38</f>
        <v>0</v>
      </c>
    </row>
    <row r="58" spans="1:30" x14ac:dyDescent="0.2">
      <c r="A58" s="650" t="s">
        <v>1519</v>
      </c>
      <c r="B58" s="1487"/>
      <c r="C58" s="645"/>
      <c r="D58" s="645"/>
      <c r="E58" s="595">
        <f>-D94*E$20</f>
        <v>0</v>
      </c>
      <c r="F58" s="595">
        <f>-D94*F$20</f>
        <v>0</v>
      </c>
      <c r="G58" s="595"/>
      <c r="H58" s="595">
        <f>-E94*H$20</f>
        <v>0</v>
      </c>
      <c r="I58" s="595">
        <f>-E94*I$20</f>
        <v>0</v>
      </c>
      <c r="J58" s="595"/>
      <c r="K58" s="595">
        <f>-F94*K$20</f>
        <v>0</v>
      </c>
      <c r="L58" s="595">
        <f>-F94*L$20</f>
        <v>0</v>
      </c>
      <c r="M58" s="595"/>
      <c r="N58" s="595">
        <f>-G94*N$20</f>
        <v>0</v>
      </c>
      <c r="O58" s="595">
        <f>-G94*O$20</f>
        <v>0</v>
      </c>
      <c r="P58" s="595"/>
      <c r="Q58" s="595">
        <f>-H94*Q$20</f>
        <v>0</v>
      </c>
      <c r="R58" s="595">
        <f>-H94*R$20</f>
        <v>0</v>
      </c>
      <c r="S58" s="595"/>
      <c r="T58" s="595">
        <f>-I94*T$20</f>
        <v>0</v>
      </c>
      <c r="U58" s="595">
        <f>-I94*U$20</f>
        <v>0</v>
      </c>
      <c r="V58" s="595"/>
      <c r="W58" s="595">
        <f>-J94*W$20</f>
        <v>0</v>
      </c>
      <c r="X58" s="595">
        <f>-J94*X$20</f>
        <v>0</v>
      </c>
      <c r="Y58" s="595"/>
      <c r="Z58" s="595">
        <f>-K94*Z$20</f>
        <v>0</v>
      </c>
      <c r="AA58" s="595">
        <f>-K94*AA$20</f>
        <v>0</v>
      </c>
      <c r="AB58" s="595"/>
      <c r="AC58" s="595">
        <f>-L94*AC$20</f>
        <v>0</v>
      </c>
      <c r="AD58" s="595">
        <f>-L94*AD$20</f>
        <v>0</v>
      </c>
    </row>
    <row r="59" spans="1:30" x14ac:dyDescent="0.2">
      <c r="A59" s="649" t="s">
        <v>858</v>
      </c>
      <c r="B59" s="1487"/>
      <c r="C59" s="645"/>
      <c r="D59" s="645"/>
      <c r="E59" s="653">
        <f>SUM(E56:E58)</f>
        <v>0</v>
      </c>
      <c r="F59" s="653">
        <f>SUM(F56:F58)</f>
        <v>0</v>
      </c>
      <c r="G59" s="595"/>
      <c r="H59" s="653">
        <f>SUM(H56:H58)</f>
        <v>0</v>
      </c>
      <c r="I59" s="653">
        <f>SUM(I56:I58)</f>
        <v>0</v>
      </c>
      <c r="J59" s="595"/>
      <c r="K59" s="653">
        <f>SUM(K56:K58)</f>
        <v>0</v>
      </c>
      <c r="L59" s="653">
        <f>SUM(L56:L58)</f>
        <v>0</v>
      </c>
      <c r="M59" s="595"/>
      <c r="N59" s="653">
        <f>SUM(N56:N58)</f>
        <v>0</v>
      </c>
      <c r="O59" s="653">
        <f>SUM(O56:O58)</f>
        <v>0</v>
      </c>
      <c r="P59" s="595"/>
      <c r="Q59" s="653">
        <f>SUM(Q56:Q58)</f>
        <v>0</v>
      </c>
      <c r="R59" s="653">
        <f>SUM(R56:R58)</f>
        <v>0</v>
      </c>
      <c r="S59" s="595"/>
      <c r="T59" s="653">
        <f>SUM(T56:T58)</f>
        <v>0</v>
      </c>
      <c r="U59" s="653">
        <f>SUM(U56:U58)</f>
        <v>0</v>
      </c>
      <c r="V59" s="653"/>
      <c r="W59" s="653">
        <f>SUM(W56:W58)</f>
        <v>0</v>
      </c>
      <c r="X59" s="653">
        <f>SUM(X56:X58)</f>
        <v>0</v>
      </c>
      <c r="Y59" s="653"/>
      <c r="Z59" s="653">
        <f>SUM(Z56:Z58)</f>
        <v>0</v>
      </c>
      <c r="AA59" s="653">
        <f>SUM(AA56:AA58)</f>
        <v>0</v>
      </c>
      <c r="AB59" s="653"/>
      <c r="AC59" s="653">
        <f>SUM(AC56:AC58)</f>
        <v>0</v>
      </c>
      <c r="AD59" s="653">
        <f>SUM(AD56:AD58)</f>
        <v>0</v>
      </c>
    </row>
    <row r="60" spans="1:30" x14ac:dyDescent="0.2">
      <c r="A60" s="283"/>
      <c r="B60" s="1487"/>
      <c r="C60" s="645"/>
      <c r="D60" s="645"/>
      <c r="E60" s="283"/>
      <c r="F60" s="283"/>
      <c r="G60" s="283"/>
      <c r="H60" s="283"/>
      <c r="I60" s="283"/>
      <c r="J60" s="283"/>
      <c r="K60" s="283"/>
      <c r="L60" s="283"/>
      <c r="M60" s="283"/>
      <c r="N60" s="283"/>
      <c r="O60" s="283"/>
      <c r="P60" s="283"/>
      <c r="Q60" s="283"/>
      <c r="R60" s="283"/>
      <c r="S60" s="283"/>
      <c r="T60" s="283"/>
      <c r="U60" s="283"/>
      <c r="V60" s="283"/>
      <c r="W60" s="283"/>
      <c r="X60" s="283"/>
      <c r="Y60" s="283"/>
      <c r="Z60" s="283"/>
      <c r="AA60" s="283"/>
      <c r="AB60" s="283"/>
      <c r="AC60" s="283"/>
      <c r="AD60" s="283"/>
    </row>
    <row r="61" spans="1:30" x14ac:dyDescent="0.2">
      <c r="A61" s="650" t="s">
        <v>859</v>
      </c>
      <c r="B61" s="645"/>
      <c r="C61" s="645"/>
      <c r="D61" s="645"/>
      <c r="E61" s="654"/>
      <c r="F61" s="654"/>
      <c r="G61" s="652"/>
      <c r="H61" s="654"/>
      <c r="I61" s="654"/>
      <c r="J61" s="652"/>
      <c r="K61" s="654"/>
      <c r="L61" s="654"/>
      <c r="M61" s="652"/>
      <c r="N61" s="654"/>
      <c r="O61" s="654"/>
      <c r="P61" s="652"/>
      <c r="Q61" s="654"/>
      <c r="R61" s="654"/>
      <c r="S61" s="652"/>
      <c r="T61" s="654"/>
      <c r="U61" s="654"/>
      <c r="V61" s="652"/>
      <c r="W61" s="654"/>
      <c r="X61" s="654"/>
      <c r="Y61" s="595"/>
      <c r="Z61" s="654"/>
      <c r="AA61" s="654"/>
      <c r="AB61" s="595"/>
      <c r="AC61" s="654"/>
      <c r="AD61" s="654"/>
    </row>
    <row r="62" spans="1:30" x14ac:dyDescent="0.2">
      <c r="A62" s="650"/>
      <c r="B62" s="645"/>
      <c r="C62" s="645"/>
      <c r="D62" s="645"/>
      <c r="E62" s="688"/>
      <c r="F62" s="688"/>
      <c r="G62" s="652"/>
      <c r="H62" s="688"/>
      <c r="I62" s="688"/>
      <c r="J62" s="652"/>
      <c r="K62" s="688"/>
      <c r="L62" s="688"/>
      <c r="M62" s="652"/>
      <c r="N62" s="688"/>
      <c r="O62" s="688"/>
      <c r="P62" s="652"/>
      <c r="Q62" s="688"/>
      <c r="R62" s="688"/>
      <c r="S62" s="652"/>
      <c r="T62" s="688"/>
      <c r="U62" s="688"/>
      <c r="V62" s="652"/>
      <c r="W62" s="688"/>
      <c r="X62" s="688"/>
      <c r="Y62" s="595"/>
      <c r="Z62" s="688"/>
      <c r="AA62" s="688"/>
      <c r="AB62" s="595"/>
      <c r="AC62" s="688"/>
      <c r="AD62" s="688"/>
    </row>
    <row r="63" spans="1:30" x14ac:dyDescent="0.2">
      <c r="A63" s="650" t="s">
        <v>860</v>
      </c>
      <c r="B63" s="1487"/>
      <c r="C63" s="645"/>
      <c r="D63" s="645"/>
      <c r="E63" s="655">
        <f>E59*E61</f>
        <v>0</v>
      </c>
      <c r="F63" s="655">
        <f>F59*F61</f>
        <v>0</v>
      </c>
      <c r="G63" s="595"/>
      <c r="H63" s="655">
        <f>H59*H61</f>
        <v>0</v>
      </c>
      <c r="I63" s="655">
        <f>I59*I61</f>
        <v>0</v>
      </c>
      <c r="J63" s="595"/>
      <c r="K63" s="655">
        <f>K59*K61</f>
        <v>0</v>
      </c>
      <c r="L63" s="655">
        <f>L59*L61</f>
        <v>0</v>
      </c>
      <c r="M63" s="595"/>
      <c r="N63" s="655">
        <f>N59*N61</f>
        <v>0</v>
      </c>
      <c r="O63" s="655">
        <f>O59*O61</f>
        <v>0</v>
      </c>
      <c r="P63" s="595"/>
      <c r="Q63" s="655">
        <f>Q59*Q61</f>
        <v>0</v>
      </c>
      <c r="R63" s="655">
        <f>R59*R61</f>
        <v>0</v>
      </c>
      <c r="S63" s="595"/>
      <c r="T63" s="655">
        <f>T59*T61</f>
        <v>0</v>
      </c>
      <c r="U63" s="655">
        <f>U59*U61</f>
        <v>0</v>
      </c>
      <c r="V63" s="595"/>
      <c r="W63" s="655">
        <f>W59*W61</f>
        <v>0</v>
      </c>
      <c r="X63" s="655">
        <f>X59*X61</f>
        <v>0</v>
      </c>
      <c r="Y63" s="595"/>
      <c r="Z63" s="655">
        <f>Z59*Z61</f>
        <v>0</v>
      </c>
      <c r="AA63" s="655">
        <f>AA59*AA61</f>
        <v>0</v>
      </c>
      <c r="AB63" s="595"/>
      <c r="AC63" s="655">
        <f>AC59*AC61</f>
        <v>0</v>
      </c>
      <c r="AD63" s="655">
        <f>AD59*AD61</f>
        <v>0</v>
      </c>
    </row>
    <row r="64" spans="1:30" x14ac:dyDescent="0.2">
      <c r="A64" s="656" t="s">
        <v>861</v>
      </c>
      <c r="B64" s="1487"/>
      <c r="C64" s="645"/>
      <c r="D64" s="645"/>
      <c r="E64" s="650"/>
      <c r="F64" s="650"/>
      <c r="G64" s="647"/>
      <c r="H64" s="650"/>
      <c r="I64" s="650"/>
      <c r="J64" s="647"/>
      <c r="K64" s="650"/>
      <c r="L64" s="650"/>
      <c r="M64" s="647"/>
      <c r="N64" s="650"/>
      <c r="O64" s="650"/>
      <c r="P64" s="647"/>
      <c r="Q64" s="650"/>
      <c r="R64" s="650"/>
      <c r="S64" s="647"/>
      <c r="T64" s="650"/>
      <c r="U64" s="650"/>
      <c r="V64" s="647"/>
      <c r="W64" s="650"/>
      <c r="X64" s="650"/>
      <c r="Y64" s="647"/>
      <c r="Z64" s="650"/>
      <c r="AA64" s="650"/>
      <c r="AB64" s="647"/>
      <c r="AC64" s="650"/>
      <c r="AD64" s="650"/>
    </row>
    <row r="65" spans="1:30" x14ac:dyDescent="0.2">
      <c r="A65" s="650" t="s">
        <v>860</v>
      </c>
      <c r="B65" s="1487"/>
      <c r="C65" s="645"/>
      <c r="D65" s="645"/>
      <c r="E65" s="657">
        <f>E63/(1-E61)</f>
        <v>0</v>
      </c>
      <c r="F65" s="657">
        <f>F63/(1-F61)</f>
        <v>0</v>
      </c>
      <c r="G65" s="658"/>
      <c r="H65" s="657">
        <f>H63/(1-H61)</f>
        <v>0</v>
      </c>
      <c r="I65" s="657">
        <f>I63/(1-I61)</f>
        <v>0</v>
      </c>
      <c r="J65" s="658"/>
      <c r="K65" s="657">
        <f>K63/(1-K61)</f>
        <v>0</v>
      </c>
      <c r="L65" s="657">
        <f>L63/(1-L61)</f>
        <v>0</v>
      </c>
      <c r="M65" s="658"/>
      <c r="N65" s="657">
        <f>N63/(1-N61)</f>
        <v>0</v>
      </c>
      <c r="O65" s="657">
        <f>O63/(1-O61)</f>
        <v>0</v>
      </c>
      <c r="P65" s="658"/>
      <c r="Q65" s="657">
        <f>Q63/(1-Q61)</f>
        <v>0</v>
      </c>
      <c r="R65" s="657">
        <f>R63/(1-R61)</f>
        <v>0</v>
      </c>
      <c r="S65" s="658"/>
      <c r="T65" s="657">
        <f>T63/(1-T61)</f>
        <v>0</v>
      </c>
      <c r="U65" s="657">
        <f>U63/(1-U61)</f>
        <v>0</v>
      </c>
      <c r="V65" s="658"/>
      <c r="W65" s="657">
        <f>W63/(1-W61)</f>
        <v>0</v>
      </c>
      <c r="X65" s="657">
        <f>X63/(1-X61)</f>
        <v>0</v>
      </c>
      <c r="Y65" s="658"/>
      <c r="Z65" s="657">
        <f>Z63/(1-Z61)</f>
        <v>0</v>
      </c>
      <c r="AA65" s="657">
        <f>AA63/(1-AA61)</f>
        <v>0</v>
      </c>
      <c r="AB65" s="658"/>
      <c r="AC65" s="657">
        <f>AC63/(1-AC61)</f>
        <v>0</v>
      </c>
      <c r="AD65" s="657">
        <f>AD63/(1-AD61)</f>
        <v>0</v>
      </c>
    </row>
    <row r="66" spans="1:30" x14ac:dyDescent="0.2">
      <c r="A66" s="649" t="s">
        <v>862</v>
      </c>
      <c r="B66" s="1487"/>
      <c r="C66" s="645"/>
      <c r="D66" s="645"/>
      <c r="E66" s="659">
        <f>SUM(E65:E65)</f>
        <v>0</v>
      </c>
      <c r="F66" s="659">
        <f>SUM(F65:F65)</f>
        <v>0</v>
      </c>
      <c r="G66" s="660"/>
      <c r="H66" s="659">
        <f>SUM(H65:H65)</f>
        <v>0</v>
      </c>
      <c r="I66" s="659">
        <f>SUM(I65:I65)</f>
        <v>0</v>
      </c>
      <c r="J66" s="660"/>
      <c r="K66" s="659">
        <f>SUM(K65:K65)</f>
        <v>0</v>
      </c>
      <c r="L66" s="659">
        <f>SUM(L65:L65)</f>
        <v>0</v>
      </c>
      <c r="M66" s="660"/>
      <c r="N66" s="659">
        <f>SUM(N65:N65)</f>
        <v>0</v>
      </c>
      <c r="O66" s="659">
        <f>SUM(O65:O65)</f>
        <v>0</v>
      </c>
      <c r="P66" s="660"/>
      <c r="Q66" s="659">
        <f>SUM(Q65:Q65)</f>
        <v>0</v>
      </c>
      <c r="R66" s="659">
        <f>SUM(R65:R65)</f>
        <v>0</v>
      </c>
      <c r="S66" s="660"/>
      <c r="T66" s="659">
        <f>SUM(T65:T65)</f>
        <v>0</v>
      </c>
      <c r="U66" s="659">
        <f>SUM(U65:U65)</f>
        <v>0</v>
      </c>
      <c r="V66" s="660"/>
      <c r="W66" s="659">
        <f>SUM(W65:W65)</f>
        <v>0</v>
      </c>
      <c r="X66" s="659">
        <f>SUM(X65:X65)</f>
        <v>0</v>
      </c>
      <c r="Y66" s="660"/>
      <c r="Z66" s="659">
        <f>SUM(Z65:Z65)</f>
        <v>0</v>
      </c>
      <c r="AA66" s="659">
        <f>SUM(AA65:AA65)</f>
        <v>0</v>
      </c>
      <c r="AB66" s="660"/>
      <c r="AC66" s="659">
        <f>SUM(AC65:AC65)</f>
        <v>0</v>
      </c>
      <c r="AD66" s="659">
        <f>SUM(AD65:AD65)</f>
        <v>0</v>
      </c>
    </row>
    <row r="67" spans="1:30" x14ac:dyDescent="0.2">
      <c r="A67" s="264"/>
      <c r="B67" s="1486"/>
      <c r="C67" s="661"/>
      <c r="D67" s="661"/>
      <c r="E67" s="661"/>
      <c r="F67" s="661"/>
      <c r="G67" s="661"/>
      <c r="H67" s="661"/>
      <c r="I67" s="661"/>
      <c r="J67" s="661"/>
      <c r="K67" s="661"/>
      <c r="L67" s="661"/>
      <c r="M67" s="661"/>
      <c r="N67" s="661"/>
      <c r="O67" s="661"/>
      <c r="P67" s="264"/>
      <c r="Q67" s="264"/>
      <c r="R67" s="264"/>
      <c r="S67" s="264"/>
      <c r="T67" s="264"/>
      <c r="U67" s="264"/>
      <c r="V67" s="264"/>
      <c r="W67" s="264"/>
      <c r="X67" s="264"/>
      <c r="Y67" s="264"/>
      <c r="Z67" s="264"/>
      <c r="AA67" s="264"/>
    </row>
    <row r="68" spans="1:30" ht="13.5" thickBot="1" x14ac:dyDescent="0.25">
      <c r="A68" s="264"/>
      <c r="B68" s="1486"/>
      <c r="C68" s="661"/>
      <c r="D68" s="661"/>
      <c r="E68" s="661"/>
      <c r="F68" s="661"/>
      <c r="G68" s="661"/>
      <c r="H68" s="661"/>
      <c r="I68" s="661"/>
      <c r="J68" s="661"/>
      <c r="K68" s="661"/>
      <c r="L68" s="661"/>
      <c r="M68" s="661"/>
      <c r="N68" s="661"/>
      <c r="O68" s="661"/>
      <c r="P68" s="264"/>
      <c r="Q68" s="264"/>
    </row>
    <row r="69" spans="1:30" ht="15.75" thickBot="1" x14ac:dyDescent="0.25">
      <c r="A69" s="667" t="s">
        <v>863</v>
      </c>
      <c r="B69" s="662"/>
      <c r="C69" s="689"/>
      <c r="D69" s="663">
        <v>2011</v>
      </c>
      <c r="E69" s="663">
        <v>2012</v>
      </c>
      <c r="F69" s="663">
        <v>2013</v>
      </c>
      <c r="G69" s="663">
        <v>2014</v>
      </c>
      <c r="H69" s="664">
        <v>2015</v>
      </c>
      <c r="I69" s="664">
        <v>2016</v>
      </c>
      <c r="J69" s="664">
        <v>2017</v>
      </c>
      <c r="K69" s="690">
        <v>2018</v>
      </c>
      <c r="L69" s="690">
        <v>2019</v>
      </c>
      <c r="M69" s="665"/>
      <c r="N69" s="666"/>
      <c r="O69" s="666"/>
      <c r="P69" s="666"/>
      <c r="Q69" s="666"/>
      <c r="R69" s="666"/>
    </row>
    <row r="70" spans="1:30" x14ac:dyDescent="0.2">
      <c r="A70" s="662"/>
      <c r="B70" s="672" t="s">
        <v>864</v>
      </c>
      <c r="C70" s="673">
        <v>25</v>
      </c>
      <c r="D70" s="616"/>
      <c r="E70" s="616"/>
      <c r="F70" s="616"/>
      <c r="G70" s="616"/>
      <c r="H70" s="616"/>
      <c r="I70" s="283"/>
      <c r="J70" s="616"/>
      <c r="K70" s="283"/>
      <c r="L70" s="283"/>
      <c r="M70" s="283"/>
      <c r="N70" s="283"/>
      <c r="O70" s="283"/>
      <c r="P70" s="283"/>
      <c r="Q70" s="666"/>
      <c r="R70" s="666"/>
    </row>
    <row r="71" spans="1:30" x14ac:dyDescent="0.2">
      <c r="A71" s="662" t="s">
        <v>865</v>
      </c>
      <c r="B71" s="662"/>
      <c r="C71" s="595"/>
      <c r="D71" s="653"/>
      <c r="E71" s="653">
        <f t="shared" ref="E71:L71" si="0">D73</f>
        <v>0</v>
      </c>
      <c r="F71" s="653">
        <f t="shared" si="0"/>
        <v>0</v>
      </c>
      <c r="G71" s="653">
        <f t="shared" si="0"/>
        <v>0</v>
      </c>
      <c r="H71" s="653">
        <f t="shared" si="0"/>
        <v>0</v>
      </c>
      <c r="I71" s="653">
        <f t="shared" si="0"/>
        <v>0</v>
      </c>
      <c r="J71" s="653">
        <f t="shared" si="0"/>
        <v>0</v>
      </c>
      <c r="K71" s="653">
        <f t="shared" si="0"/>
        <v>0</v>
      </c>
      <c r="L71" s="653">
        <f t="shared" si="0"/>
        <v>0</v>
      </c>
      <c r="M71" s="283"/>
      <c r="N71" s="283"/>
      <c r="O71" s="283"/>
      <c r="P71" s="283"/>
      <c r="Q71" s="666"/>
      <c r="R71" s="666"/>
    </row>
    <row r="72" spans="1:30" x14ac:dyDescent="0.2">
      <c r="A72" s="662" t="s">
        <v>866</v>
      </c>
      <c r="B72" s="662"/>
      <c r="C72" s="691"/>
      <c r="D72" s="669">
        <f>'App.2-FA Proposed REG Invest.'!C99</f>
        <v>0</v>
      </c>
      <c r="E72" s="669">
        <f>'App.2-FA Proposed REG Invest.'!D99</f>
        <v>0</v>
      </c>
      <c r="F72" s="669">
        <f>'App.2-FA Proposed REG Invest.'!E99</f>
        <v>0</v>
      </c>
      <c r="G72" s="669">
        <f>'App.2-FA Proposed REG Invest.'!F99</f>
        <v>0</v>
      </c>
      <c r="H72" s="669">
        <f>'App.2-FA Proposed REG Invest.'!G99</f>
        <v>0</v>
      </c>
      <c r="I72" s="669">
        <f>'App.2-FA Proposed REG Invest.'!H99</f>
        <v>0</v>
      </c>
      <c r="J72" s="669">
        <f>'App.2-FA Proposed REG Invest.'!I99</f>
        <v>0</v>
      </c>
      <c r="K72" s="669">
        <f>'App.2-FA Proposed REG Invest.'!J99</f>
        <v>0</v>
      </c>
      <c r="L72" s="669">
        <f>'App.2-FA Proposed REG Invest.'!K99</f>
        <v>0</v>
      </c>
      <c r="M72" s="283"/>
      <c r="N72" s="283"/>
      <c r="O72" s="283"/>
      <c r="P72" s="674"/>
      <c r="Q72" s="666"/>
      <c r="R72" s="666"/>
    </row>
    <row r="73" spans="1:30" x14ac:dyDescent="0.2">
      <c r="A73" s="662" t="s">
        <v>867</v>
      </c>
      <c r="B73" s="662"/>
      <c r="C73" s="595"/>
      <c r="D73" s="653">
        <f t="shared" ref="D73:L73" si="1">SUM(D71:D72)</f>
        <v>0</v>
      </c>
      <c r="E73" s="653">
        <f t="shared" si="1"/>
        <v>0</v>
      </c>
      <c r="F73" s="653">
        <f t="shared" si="1"/>
        <v>0</v>
      </c>
      <c r="G73" s="653">
        <f t="shared" si="1"/>
        <v>0</v>
      </c>
      <c r="H73" s="653">
        <f t="shared" si="1"/>
        <v>0</v>
      </c>
      <c r="I73" s="653">
        <f t="shared" si="1"/>
        <v>0</v>
      </c>
      <c r="J73" s="653">
        <f t="shared" si="1"/>
        <v>0</v>
      </c>
      <c r="K73" s="653">
        <f t="shared" si="1"/>
        <v>0</v>
      </c>
      <c r="L73" s="653">
        <f t="shared" si="1"/>
        <v>0</v>
      </c>
      <c r="M73" s="666"/>
      <c r="N73" s="666"/>
      <c r="O73" s="666"/>
      <c r="P73" s="666"/>
      <c r="Q73" s="666"/>
      <c r="R73" s="666"/>
    </row>
    <row r="74" spans="1:30" x14ac:dyDescent="0.2">
      <c r="A74" s="662"/>
      <c r="B74" s="662"/>
      <c r="C74" s="595"/>
      <c r="D74" s="595"/>
      <c r="E74" s="595"/>
      <c r="F74" s="595"/>
      <c r="G74" s="595"/>
      <c r="H74" s="616"/>
      <c r="I74" s="283"/>
      <c r="J74" s="616"/>
      <c r="K74" s="283"/>
      <c r="L74" s="283"/>
      <c r="M74" s="283"/>
      <c r="N74" s="666"/>
      <c r="O74" s="666"/>
      <c r="P74" s="666"/>
      <c r="Q74" s="666"/>
      <c r="R74" s="666"/>
    </row>
    <row r="75" spans="1:30" x14ac:dyDescent="0.2">
      <c r="A75" s="662" t="s">
        <v>868</v>
      </c>
      <c r="B75" s="662"/>
      <c r="C75" s="595"/>
      <c r="D75" s="653"/>
      <c r="E75" s="653">
        <f>+D78</f>
        <v>0</v>
      </c>
      <c r="F75" s="653">
        <f t="shared" ref="F75:G75" si="2">E78</f>
        <v>0</v>
      </c>
      <c r="G75" s="653">
        <f t="shared" si="2"/>
        <v>0</v>
      </c>
      <c r="H75" s="653">
        <f>G78</f>
        <v>0</v>
      </c>
      <c r="I75" s="653">
        <f>H78</f>
        <v>0</v>
      </c>
      <c r="J75" s="653">
        <f>I78</f>
        <v>0</v>
      </c>
      <c r="K75" s="653">
        <f>J78</f>
        <v>0</v>
      </c>
      <c r="L75" s="653">
        <f>K78</f>
        <v>0</v>
      </c>
      <c r="M75" s="283"/>
      <c r="N75" s="666"/>
      <c r="O75" s="666"/>
      <c r="P75" s="666"/>
      <c r="Q75" s="666"/>
      <c r="R75" s="666"/>
    </row>
    <row r="76" spans="1:30" x14ac:dyDescent="0.2">
      <c r="A76" s="662" t="s">
        <v>869</v>
      </c>
      <c r="B76" s="662"/>
      <c r="C76" s="595"/>
      <c r="D76" s="692"/>
      <c r="E76" s="595">
        <f t="shared" ref="E76:G76" si="3">IF(ISERROR(E71/$C$70), 0, E71/$C$70)</f>
        <v>0</v>
      </c>
      <c r="F76" s="595">
        <f t="shared" si="3"/>
        <v>0</v>
      </c>
      <c r="G76" s="595">
        <f t="shared" si="3"/>
        <v>0</v>
      </c>
      <c r="H76" s="595">
        <f>H71/$C$70</f>
        <v>0</v>
      </c>
      <c r="I76" s="595">
        <f>I71/$C$70</f>
        <v>0</v>
      </c>
      <c r="J76" s="595">
        <f>J71/$C$70</f>
        <v>0</v>
      </c>
      <c r="K76" s="595">
        <f>K71/$C$70</f>
        <v>0</v>
      </c>
      <c r="L76" s="595">
        <f>L71/$C$70</f>
        <v>0</v>
      </c>
      <c r="M76" s="283"/>
      <c r="N76" s="666"/>
      <c r="O76" s="666"/>
      <c r="P76" s="666"/>
      <c r="Q76" s="666"/>
      <c r="R76" s="666"/>
    </row>
    <row r="77" spans="1:30" x14ac:dyDescent="0.2">
      <c r="A77" s="662" t="s">
        <v>870</v>
      </c>
      <c r="B77" s="264"/>
      <c r="C77" s="264"/>
      <c r="D77" s="616">
        <f>D72/C70/2</f>
        <v>0</v>
      </c>
      <c r="E77" s="616">
        <f>E72/C70/2</f>
        <v>0</v>
      </c>
      <c r="F77" s="616">
        <f>F72/C70/2</f>
        <v>0</v>
      </c>
      <c r="G77" s="616">
        <f>G72/C70/2</f>
        <v>0</v>
      </c>
      <c r="H77" s="616">
        <f>H72/C70/2</f>
        <v>0</v>
      </c>
      <c r="I77" s="616">
        <f>I72/C70/2</f>
        <v>0</v>
      </c>
      <c r="J77" s="616">
        <f>J72/C70/2</f>
        <v>0</v>
      </c>
      <c r="K77" s="616">
        <f>K72/C70/2</f>
        <v>0</v>
      </c>
      <c r="L77" s="693">
        <f>L72/C70/2</f>
        <v>0</v>
      </c>
      <c r="M77" s="283"/>
      <c r="N77" s="666"/>
      <c r="O77" s="666"/>
      <c r="P77" s="666"/>
      <c r="Q77" s="666"/>
      <c r="R77" s="666"/>
    </row>
    <row r="78" spans="1:30" x14ac:dyDescent="0.2">
      <c r="A78" s="662" t="s">
        <v>871</v>
      </c>
      <c r="B78" s="662"/>
      <c r="C78" s="595"/>
      <c r="D78" s="653">
        <f>SUM(D75+D77)</f>
        <v>0</v>
      </c>
      <c r="E78" s="653">
        <f t="shared" ref="E78:L78" si="4">SUM(E75:E77)</f>
        <v>0</v>
      </c>
      <c r="F78" s="653">
        <f t="shared" si="4"/>
        <v>0</v>
      </c>
      <c r="G78" s="653">
        <f t="shared" si="4"/>
        <v>0</v>
      </c>
      <c r="H78" s="653">
        <f t="shared" si="4"/>
        <v>0</v>
      </c>
      <c r="I78" s="653">
        <f t="shared" si="4"/>
        <v>0</v>
      </c>
      <c r="J78" s="653">
        <f t="shared" si="4"/>
        <v>0</v>
      </c>
      <c r="K78" s="653">
        <f t="shared" si="4"/>
        <v>0</v>
      </c>
      <c r="L78" s="653">
        <f t="shared" si="4"/>
        <v>0</v>
      </c>
      <c r="M78" s="283"/>
      <c r="N78" s="666"/>
      <c r="O78" s="666"/>
      <c r="P78" s="666"/>
      <c r="Q78" s="666"/>
      <c r="R78" s="666"/>
    </row>
    <row r="79" spans="1:30" x14ac:dyDescent="0.2">
      <c r="A79" s="662"/>
      <c r="B79" s="662"/>
      <c r="C79" s="595"/>
      <c r="D79" s="616"/>
      <c r="E79" s="616"/>
      <c r="F79" s="616"/>
      <c r="G79" s="616"/>
      <c r="H79" s="616"/>
      <c r="I79" s="616"/>
      <c r="J79" s="616"/>
      <c r="K79" s="616"/>
      <c r="L79" s="616"/>
      <c r="M79" s="283"/>
      <c r="N79" s="666"/>
      <c r="O79" s="674"/>
      <c r="P79" s="283"/>
      <c r="Q79" s="666"/>
      <c r="R79" s="666"/>
    </row>
    <row r="80" spans="1:30" x14ac:dyDescent="0.2">
      <c r="A80" s="662" t="s">
        <v>872</v>
      </c>
      <c r="B80" s="662"/>
      <c r="C80" s="595"/>
      <c r="D80" s="616">
        <f>D71-D75</f>
        <v>0</v>
      </c>
      <c r="E80" s="616">
        <f>E71-E75</f>
        <v>0</v>
      </c>
      <c r="F80" s="616">
        <f>F71-F75</f>
        <v>0</v>
      </c>
      <c r="G80" s="616">
        <f>G71-G75</f>
        <v>0</v>
      </c>
      <c r="H80" s="616">
        <f>G81</f>
        <v>0</v>
      </c>
      <c r="I80" s="616">
        <f>H81</f>
        <v>0</v>
      </c>
      <c r="J80" s="616">
        <f>I81</f>
        <v>0</v>
      </c>
      <c r="K80" s="616">
        <f>J81</f>
        <v>0</v>
      </c>
      <c r="L80" s="616">
        <f>K81</f>
        <v>0</v>
      </c>
      <c r="M80" s="283"/>
      <c r="N80" s="666"/>
      <c r="O80" s="283"/>
      <c r="P80" s="666"/>
      <c r="Q80" s="666"/>
      <c r="R80" s="666"/>
    </row>
    <row r="81" spans="1:18" x14ac:dyDescent="0.2">
      <c r="A81" s="662" t="s">
        <v>873</v>
      </c>
      <c r="B81" s="662"/>
      <c r="C81" s="595"/>
      <c r="D81" s="653">
        <f t="shared" ref="D81:L81" si="5">D73-D78</f>
        <v>0</v>
      </c>
      <c r="E81" s="653">
        <f t="shared" si="5"/>
        <v>0</v>
      </c>
      <c r="F81" s="653">
        <f t="shared" si="5"/>
        <v>0</v>
      </c>
      <c r="G81" s="653">
        <f t="shared" si="5"/>
        <v>0</v>
      </c>
      <c r="H81" s="653">
        <f t="shared" si="5"/>
        <v>0</v>
      </c>
      <c r="I81" s="653">
        <f t="shared" si="5"/>
        <v>0</v>
      </c>
      <c r="J81" s="653">
        <f t="shared" si="5"/>
        <v>0</v>
      </c>
      <c r="K81" s="653">
        <f t="shared" si="5"/>
        <v>0</v>
      </c>
      <c r="L81" s="653">
        <f t="shared" si="5"/>
        <v>0</v>
      </c>
      <c r="M81" s="283"/>
      <c r="N81" s="666"/>
      <c r="O81" s="666"/>
      <c r="P81" s="666"/>
      <c r="Q81" s="666"/>
      <c r="R81" s="666"/>
    </row>
    <row r="82" spans="1:18" ht="13.5" thickBot="1" x14ac:dyDescent="0.25">
      <c r="A82" s="668" t="s">
        <v>874</v>
      </c>
      <c r="B82" s="662"/>
      <c r="C82" s="595"/>
      <c r="D82" s="675">
        <f t="shared" ref="D82:L82" si="6">SUM(D80:D81)/2</f>
        <v>0</v>
      </c>
      <c r="E82" s="675">
        <f t="shared" si="6"/>
        <v>0</v>
      </c>
      <c r="F82" s="675">
        <f t="shared" si="6"/>
        <v>0</v>
      </c>
      <c r="G82" s="675">
        <f t="shared" si="6"/>
        <v>0</v>
      </c>
      <c r="H82" s="675">
        <f t="shared" si="6"/>
        <v>0</v>
      </c>
      <c r="I82" s="675">
        <f t="shared" si="6"/>
        <v>0</v>
      </c>
      <c r="J82" s="675">
        <f t="shared" si="6"/>
        <v>0</v>
      </c>
      <c r="K82" s="675">
        <f t="shared" si="6"/>
        <v>0</v>
      </c>
      <c r="L82" s="675">
        <f t="shared" si="6"/>
        <v>0</v>
      </c>
      <c r="M82" s="283"/>
      <c r="N82" s="666"/>
      <c r="O82" s="666"/>
      <c r="P82" s="666"/>
      <c r="Q82" s="666"/>
      <c r="R82" s="666"/>
    </row>
    <row r="83" spans="1:18" x14ac:dyDescent="0.2">
      <c r="A83" s="662"/>
      <c r="B83" s="662"/>
      <c r="C83" s="595"/>
      <c r="D83" s="616"/>
      <c r="E83" s="616"/>
      <c r="F83" s="616"/>
      <c r="G83" s="616"/>
      <c r="H83" s="616"/>
      <c r="I83" s="283"/>
      <c r="J83" s="616"/>
      <c r="K83" s="283"/>
      <c r="L83" s="283"/>
      <c r="M83" s="283"/>
      <c r="N83" s="666"/>
      <c r="O83" s="666"/>
      <c r="P83" s="666"/>
      <c r="Q83" s="666"/>
      <c r="R83" s="666"/>
    </row>
    <row r="84" spans="1:18" ht="13.5" thickBot="1" x14ac:dyDescent="0.25">
      <c r="A84" s="667" t="s">
        <v>875</v>
      </c>
      <c r="B84" s="668"/>
      <c r="C84" s="616"/>
      <c r="D84" s="616"/>
      <c r="E84" s="616"/>
      <c r="F84" s="616"/>
      <c r="G84" s="616"/>
      <c r="H84" s="616"/>
      <c r="I84" s="283"/>
      <c r="J84" s="616"/>
      <c r="K84" s="283"/>
      <c r="L84" s="283"/>
      <c r="M84" s="283"/>
      <c r="N84" s="666"/>
      <c r="O84" s="666"/>
      <c r="P84" s="666"/>
      <c r="Q84" s="666"/>
      <c r="R84" s="666"/>
    </row>
    <row r="85" spans="1:18" ht="13.5" thickBot="1" x14ac:dyDescent="0.25">
      <c r="A85" s="668"/>
      <c r="B85" s="283"/>
      <c r="C85" s="668"/>
      <c r="D85" s="663">
        <v>2014</v>
      </c>
      <c r="E85" s="663">
        <v>2014</v>
      </c>
      <c r="F85" s="663">
        <v>2014</v>
      </c>
      <c r="G85" s="663">
        <v>2014</v>
      </c>
      <c r="H85" s="664">
        <v>2015</v>
      </c>
      <c r="I85" s="664">
        <v>2016</v>
      </c>
      <c r="J85" s="664">
        <v>2017</v>
      </c>
      <c r="K85" s="690">
        <v>2018</v>
      </c>
      <c r="L85" s="690">
        <v>2019</v>
      </c>
      <c r="M85" s="283"/>
      <c r="N85" s="666"/>
      <c r="O85" s="666"/>
      <c r="P85" s="666"/>
      <c r="Q85" s="666"/>
      <c r="R85" s="666"/>
    </row>
    <row r="86" spans="1:18" x14ac:dyDescent="0.2">
      <c r="A86" s="662"/>
      <c r="B86" s="283"/>
      <c r="C86" s="662"/>
      <c r="D86" s="616"/>
      <c r="E86" s="616"/>
      <c r="F86" s="616"/>
      <c r="G86" s="616"/>
      <c r="H86" s="616"/>
      <c r="I86" s="616"/>
      <c r="J86" s="616"/>
      <c r="K86" s="616"/>
      <c r="L86" s="616"/>
      <c r="M86" s="283"/>
      <c r="N86" s="666"/>
      <c r="O86" s="666"/>
      <c r="P86" s="666"/>
      <c r="Q86" s="666"/>
      <c r="R86" s="666"/>
    </row>
    <row r="87" spans="1:18" x14ac:dyDescent="0.2">
      <c r="A87" s="662" t="s">
        <v>876</v>
      </c>
      <c r="B87" s="283"/>
      <c r="C87" s="662"/>
      <c r="D87" s="653"/>
      <c r="E87" s="653">
        <f t="shared" ref="E87:L87" si="7">D95</f>
        <v>0</v>
      </c>
      <c r="F87" s="653">
        <f t="shared" si="7"/>
        <v>0</v>
      </c>
      <c r="G87" s="653">
        <f t="shared" si="7"/>
        <v>0</v>
      </c>
      <c r="H87" s="653">
        <f t="shared" si="7"/>
        <v>0</v>
      </c>
      <c r="I87" s="653">
        <f t="shared" si="7"/>
        <v>0</v>
      </c>
      <c r="J87" s="653">
        <f t="shared" si="7"/>
        <v>0</v>
      </c>
      <c r="K87" s="653">
        <f t="shared" si="7"/>
        <v>0</v>
      </c>
      <c r="L87" s="653">
        <f t="shared" si="7"/>
        <v>0</v>
      </c>
      <c r="M87" s="283"/>
      <c r="N87" s="666"/>
      <c r="O87" s="666"/>
      <c r="P87" s="666"/>
      <c r="Q87" s="666"/>
      <c r="R87" s="666"/>
    </row>
    <row r="88" spans="1:18" x14ac:dyDescent="0.2">
      <c r="A88" s="662" t="s">
        <v>877</v>
      </c>
      <c r="B88" s="283"/>
      <c r="C88" s="662"/>
      <c r="D88" s="616">
        <f t="shared" ref="D88:L88" si="8">D72</f>
        <v>0</v>
      </c>
      <c r="E88" s="616">
        <f t="shared" si="8"/>
        <v>0</v>
      </c>
      <c r="F88" s="616">
        <f t="shared" si="8"/>
        <v>0</v>
      </c>
      <c r="G88" s="616">
        <f t="shared" si="8"/>
        <v>0</v>
      </c>
      <c r="H88" s="616">
        <f t="shared" si="8"/>
        <v>0</v>
      </c>
      <c r="I88" s="616">
        <f t="shared" si="8"/>
        <v>0</v>
      </c>
      <c r="J88" s="616">
        <f t="shared" si="8"/>
        <v>0</v>
      </c>
      <c r="K88" s="616">
        <f t="shared" si="8"/>
        <v>0</v>
      </c>
      <c r="L88" s="616">
        <f t="shared" si="8"/>
        <v>0</v>
      </c>
      <c r="M88" s="283"/>
      <c r="N88" s="666"/>
      <c r="O88" s="674"/>
      <c r="P88" s="283"/>
      <c r="Q88" s="666"/>
      <c r="R88" s="666"/>
    </row>
    <row r="89" spans="1:18" x14ac:dyDescent="0.2">
      <c r="A89" s="662" t="s">
        <v>878</v>
      </c>
      <c r="B89" s="283"/>
      <c r="C89" s="662"/>
      <c r="D89" s="653">
        <f t="shared" ref="D89:L89" si="9">SUM(D87:D88)</f>
        <v>0</v>
      </c>
      <c r="E89" s="653">
        <f t="shared" si="9"/>
        <v>0</v>
      </c>
      <c r="F89" s="653">
        <f t="shared" si="9"/>
        <v>0</v>
      </c>
      <c r="G89" s="653">
        <f t="shared" si="9"/>
        <v>0</v>
      </c>
      <c r="H89" s="653">
        <f t="shared" si="9"/>
        <v>0</v>
      </c>
      <c r="I89" s="653">
        <f t="shared" si="9"/>
        <v>0</v>
      </c>
      <c r="J89" s="653">
        <f t="shared" si="9"/>
        <v>0</v>
      </c>
      <c r="K89" s="653">
        <f t="shared" si="9"/>
        <v>0</v>
      </c>
      <c r="L89" s="653">
        <f t="shared" si="9"/>
        <v>0</v>
      </c>
      <c r="M89" s="283"/>
      <c r="N89" s="666"/>
      <c r="O89" s="283"/>
      <c r="P89" s="666"/>
      <c r="Q89" s="666"/>
      <c r="R89" s="666"/>
    </row>
    <row r="90" spans="1:18" x14ac:dyDescent="0.2">
      <c r="A90" s="662" t="s">
        <v>879</v>
      </c>
      <c r="B90" s="283"/>
      <c r="C90" s="662"/>
      <c r="D90" s="616">
        <f t="shared" ref="D90:L90" si="10">D88/2</f>
        <v>0</v>
      </c>
      <c r="E90" s="616">
        <f t="shared" si="10"/>
        <v>0</v>
      </c>
      <c r="F90" s="616">
        <f t="shared" si="10"/>
        <v>0</v>
      </c>
      <c r="G90" s="616">
        <f t="shared" si="10"/>
        <v>0</v>
      </c>
      <c r="H90" s="616">
        <f t="shared" si="10"/>
        <v>0</v>
      </c>
      <c r="I90" s="616">
        <f t="shared" si="10"/>
        <v>0</v>
      </c>
      <c r="J90" s="616">
        <f t="shared" si="10"/>
        <v>0</v>
      </c>
      <c r="K90" s="616">
        <f t="shared" si="10"/>
        <v>0</v>
      </c>
      <c r="L90" s="616">
        <f t="shared" si="10"/>
        <v>0</v>
      </c>
      <c r="M90" s="283"/>
      <c r="N90" s="666"/>
      <c r="O90" s="666"/>
      <c r="P90" s="666"/>
      <c r="Q90" s="666"/>
      <c r="R90" s="666"/>
    </row>
    <row r="91" spans="1:18" x14ac:dyDescent="0.2">
      <c r="A91" s="662" t="s">
        <v>880</v>
      </c>
      <c r="B91" s="283"/>
      <c r="C91" s="662"/>
      <c r="D91" s="653">
        <f t="shared" ref="D91:L91" si="11">D89-D90</f>
        <v>0</v>
      </c>
      <c r="E91" s="653">
        <f t="shared" si="11"/>
        <v>0</v>
      </c>
      <c r="F91" s="653">
        <f t="shared" si="11"/>
        <v>0</v>
      </c>
      <c r="G91" s="653">
        <f t="shared" si="11"/>
        <v>0</v>
      </c>
      <c r="H91" s="653">
        <f t="shared" si="11"/>
        <v>0</v>
      </c>
      <c r="I91" s="653">
        <f t="shared" si="11"/>
        <v>0</v>
      </c>
      <c r="J91" s="653">
        <f t="shared" si="11"/>
        <v>0</v>
      </c>
      <c r="K91" s="653">
        <f t="shared" si="11"/>
        <v>0</v>
      </c>
      <c r="L91" s="653">
        <f t="shared" si="11"/>
        <v>0</v>
      </c>
      <c r="M91" s="666"/>
      <c r="N91" s="666"/>
      <c r="O91" s="666"/>
      <c r="P91" s="666"/>
      <c r="Q91" s="666"/>
      <c r="R91" s="666"/>
    </row>
    <row r="92" spans="1:18" x14ac:dyDescent="0.2">
      <c r="A92" s="662" t="s">
        <v>881</v>
      </c>
      <c r="B92" s="283"/>
      <c r="C92" s="676">
        <v>47</v>
      </c>
      <c r="D92" s="676">
        <f>$C$92</f>
        <v>47</v>
      </c>
      <c r="E92" s="676">
        <f t="shared" ref="E92:L92" si="12">$C$92</f>
        <v>47</v>
      </c>
      <c r="F92" s="676">
        <f t="shared" si="12"/>
        <v>47</v>
      </c>
      <c r="G92" s="676">
        <f t="shared" si="12"/>
        <v>47</v>
      </c>
      <c r="H92" s="676">
        <f t="shared" si="12"/>
        <v>47</v>
      </c>
      <c r="I92" s="676">
        <f t="shared" si="12"/>
        <v>47</v>
      </c>
      <c r="J92" s="676">
        <f t="shared" si="12"/>
        <v>47</v>
      </c>
      <c r="K92" s="676">
        <f t="shared" si="12"/>
        <v>47</v>
      </c>
      <c r="L92" s="676">
        <f t="shared" si="12"/>
        <v>47</v>
      </c>
      <c r="M92" s="666"/>
      <c r="N92" s="666"/>
      <c r="O92" s="666"/>
      <c r="P92" s="666"/>
      <c r="Q92" s="666"/>
      <c r="R92" s="666"/>
    </row>
    <row r="93" spans="1:18" x14ac:dyDescent="0.2">
      <c r="A93" s="662" t="s">
        <v>882</v>
      </c>
      <c r="B93" s="283"/>
      <c r="C93" s="677">
        <v>0.08</v>
      </c>
      <c r="D93" s="677">
        <f>$C$93</f>
        <v>0.08</v>
      </c>
      <c r="E93" s="677">
        <f t="shared" ref="E93:L93" si="13">$C$93</f>
        <v>0.08</v>
      </c>
      <c r="F93" s="677">
        <f t="shared" si="13"/>
        <v>0.08</v>
      </c>
      <c r="G93" s="677">
        <f t="shared" si="13"/>
        <v>0.08</v>
      </c>
      <c r="H93" s="677">
        <f t="shared" si="13"/>
        <v>0.08</v>
      </c>
      <c r="I93" s="677">
        <f t="shared" si="13"/>
        <v>0.08</v>
      </c>
      <c r="J93" s="677">
        <f t="shared" si="13"/>
        <v>0.08</v>
      </c>
      <c r="K93" s="677">
        <f t="shared" si="13"/>
        <v>0.08</v>
      </c>
      <c r="L93" s="677">
        <f t="shared" si="13"/>
        <v>0.08</v>
      </c>
      <c r="M93" s="283"/>
      <c r="N93" s="666"/>
      <c r="O93" s="666"/>
      <c r="P93" s="666"/>
      <c r="Q93" s="666"/>
      <c r="R93" s="666"/>
    </row>
    <row r="94" spans="1:18" x14ac:dyDescent="0.2">
      <c r="A94" s="662" t="s">
        <v>883</v>
      </c>
      <c r="B94" s="283"/>
      <c r="C94" s="662"/>
      <c r="D94" s="653">
        <f>D91*D$93</f>
        <v>0</v>
      </c>
      <c r="E94" s="653">
        <f>E91*E$93</f>
        <v>0</v>
      </c>
      <c r="F94" s="653">
        <f>F91*F$93</f>
        <v>0</v>
      </c>
      <c r="G94" s="653">
        <f>G91*G$93</f>
        <v>0</v>
      </c>
      <c r="H94" s="653">
        <f t="shared" ref="H94:L94" si="14">H91*H$93</f>
        <v>0</v>
      </c>
      <c r="I94" s="653">
        <f t="shared" si="14"/>
        <v>0</v>
      </c>
      <c r="J94" s="653">
        <f t="shared" si="14"/>
        <v>0</v>
      </c>
      <c r="K94" s="653">
        <f t="shared" si="14"/>
        <v>0</v>
      </c>
      <c r="L94" s="653">
        <f t="shared" si="14"/>
        <v>0</v>
      </c>
      <c r="M94" s="283"/>
      <c r="N94" s="666"/>
      <c r="O94" s="666"/>
      <c r="P94" s="666"/>
      <c r="Q94" s="666"/>
      <c r="R94" s="666"/>
    </row>
    <row r="95" spans="1:18" ht="13.5" thickBot="1" x14ac:dyDescent="0.25">
      <c r="A95" s="668" t="s">
        <v>884</v>
      </c>
      <c r="B95" s="283"/>
      <c r="C95" s="662"/>
      <c r="D95" s="675">
        <f t="shared" ref="D95:L95" si="15">D89-D94</f>
        <v>0</v>
      </c>
      <c r="E95" s="675">
        <f t="shared" si="15"/>
        <v>0</v>
      </c>
      <c r="F95" s="675">
        <f t="shared" si="15"/>
        <v>0</v>
      </c>
      <c r="G95" s="675">
        <f t="shared" si="15"/>
        <v>0</v>
      </c>
      <c r="H95" s="675">
        <f t="shared" si="15"/>
        <v>0</v>
      </c>
      <c r="I95" s="675">
        <f t="shared" si="15"/>
        <v>0</v>
      </c>
      <c r="J95" s="675">
        <f t="shared" si="15"/>
        <v>0</v>
      </c>
      <c r="K95" s="675">
        <f t="shared" si="15"/>
        <v>0</v>
      </c>
      <c r="L95" s="675">
        <f t="shared" si="15"/>
        <v>0</v>
      </c>
      <c r="M95" s="283"/>
      <c r="N95" s="666"/>
      <c r="O95" s="666"/>
      <c r="P95" s="666"/>
      <c r="Q95" s="666"/>
      <c r="R95" s="666"/>
    </row>
    <row r="96" spans="1:18" x14ac:dyDescent="0.2">
      <c r="A96" s="662"/>
      <c r="B96" s="662"/>
      <c r="C96" s="616"/>
      <c r="D96" s="616"/>
      <c r="E96" s="616"/>
      <c r="F96" s="616"/>
      <c r="G96" s="616"/>
      <c r="H96" s="616"/>
      <c r="I96" s="283"/>
      <c r="J96" s="616"/>
      <c r="K96" s="283"/>
      <c r="M96" s="283"/>
      <c r="N96" s="666"/>
      <c r="O96" s="666"/>
      <c r="P96" s="666"/>
      <c r="Q96" s="666"/>
      <c r="R96" s="666"/>
    </row>
    <row r="97" spans="13:24" x14ac:dyDescent="0.2">
      <c r="S97" s="283"/>
      <c r="T97" s="666"/>
      <c r="U97" s="666"/>
      <c r="V97" s="666"/>
      <c r="W97" s="666"/>
      <c r="X97" s="666"/>
    </row>
    <row r="98" spans="13:24" x14ac:dyDescent="0.2">
      <c r="S98" s="283"/>
      <c r="T98" s="666"/>
      <c r="U98" s="666"/>
      <c r="V98" s="666"/>
      <c r="W98" s="666"/>
      <c r="X98" s="666"/>
    </row>
    <row r="99" spans="13:24" x14ac:dyDescent="0.2">
      <c r="S99" s="283"/>
      <c r="T99" s="666"/>
      <c r="U99" s="666"/>
      <c r="V99" s="666"/>
      <c r="W99" s="666"/>
      <c r="X99" s="666"/>
    </row>
    <row r="100" spans="13:24" x14ac:dyDescent="0.2">
      <c r="S100" s="283"/>
      <c r="T100" s="666"/>
      <c r="U100" s="674"/>
      <c r="V100" s="283"/>
      <c r="W100" s="666"/>
      <c r="X100" s="666"/>
    </row>
    <row r="101" spans="13:24" x14ac:dyDescent="0.2">
      <c r="S101" s="283"/>
      <c r="T101" s="666"/>
      <c r="U101" s="283"/>
      <c r="V101" s="666"/>
      <c r="W101" s="666"/>
      <c r="X101" s="666"/>
    </row>
    <row r="102" spans="13:24" x14ac:dyDescent="0.2">
      <c r="M102" s="283"/>
      <c r="S102" s="283"/>
      <c r="T102" s="666"/>
      <c r="U102" s="666"/>
      <c r="V102" s="666"/>
      <c r="W102" s="666"/>
      <c r="X102" s="666"/>
    </row>
    <row r="105" spans="13:24" x14ac:dyDescent="0.2">
      <c r="S105" s="283"/>
    </row>
    <row r="106" spans="13:24" x14ac:dyDescent="0.2">
      <c r="S106" s="283"/>
    </row>
    <row r="107" spans="13:24" x14ac:dyDescent="0.2">
      <c r="S107" s="283"/>
    </row>
    <row r="108" spans="13:24" x14ac:dyDescent="0.2">
      <c r="S108" s="283"/>
    </row>
    <row r="109" spans="13:24" x14ac:dyDescent="0.2">
      <c r="S109" s="283"/>
    </row>
    <row r="110" spans="13:24" x14ac:dyDescent="0.2">
      <c r="S110" s="283"/>
    </row>
    <row r="111" spans="13:24" x14ac:dyDescent="0.2">
      <c r="S111" s="283"/>
    </row>
    <row r="112" spans="13:24" x14ac:dyDescent="0.2">
      <c r="S112" s="283"/>
      <c r="U112" s="584"/>
      <c r="V112" s="283"/>
    </row>
    <row r="113" spans="19:21" x14ac:dyDescent="0.2">
      <c r="S113" s="283"/>
      <c r="U113" s="283"/>
    </row>
    <row r="114" spans="19:21" x14ac:dyDescent="0.2">
      <c r="S114" s="283"/>
    </row>
  </sheetData>
  <mergeCells count="26">
    <mergeCell ref="A9:O9"/>
    <mergeCell ref="A10:O10"/>
    <mergeCell ref="A12:O12"/>
    <mergeCell ref="A13:O13"/>
    <mergeCell ref="A15:O15"/>
    <mergeCell ref="D18:F18"/>
    <mergeCell ref="G18:I18"/>
    <mergeCell ref="J18:L18"/>
    <mergeCell ref="M18:O18"/>
    <mergeCell ref="P18:R18"/>
    <mergeCell ref="S18:U18"/>
    <mergeCell ref="V18:X18"/>
    <mergeCell ref="Y18:AA18"/>
    <mergeCell ref="AB18:AD18"/>
    <mergeCell ref="W53:X53"/>
    <mergeCell ref="Z53:AA53"/>
    <mergeCell ref="AC53:AD53"/>
    <mergeCell ref="A48:U48"/>
    <mergeCell ref="A50:V50"/>
    <mergeCell ref="A51:B51"/>
    <mergeCell ref="E53:F53"/>
    <mergeCell ref="H53:I53"/>
    <mergeCell ref="K53:L53"/>
    <mergeCell ref="N53:O53"/>
    <mergeCell ref="Q53:R53"/>
    <mergeCell ref="T53:U53"/>
  </mergeCells>
  <dataValidations disablePrompts="1" count="1">
    <dataValidation allowBlank="1" showInputMessage="1" showErrorMessage="1" promptTitle="Date Format" prompt="E.g:  &quot;August 1, 2011&quot;" sqref="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dataValidations>
  <pageMargins left="0.70866141732283472" right="0.70866141732283472" top="0.74803149606299213" bottom="0.74803149606299213" header="0.31496062992125984" footer="0.31496062992125984"/>
  <pageSetup scale="27"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O49"/>
  <sheetViews>
    <sheetView showGridLines="0" zoomScaleNormal="100" workbookViewId="0"/>
  </sheetViews>
  <sheetFormatPr defaultColWidth="8.85546875" defaultRowHeight="15" x14ac:dyDescent="0.25"/>
  <cols>
    <col min="1" max="1" width="24" style="572" customWidth="1"/>
    <col min="2" max="3" width="10.28515625" style="572" customWidth="1"/>
    <col min="4" max="16384" width="8.85546875" style="572"/>
  </cols>
  <sheetData>
    <row r="1" spans="1:15" s="530" customFormat="1" x14ac:dyDescent="0.25">
      <c r="A1" s="140"/>
      <c r="B1" s="140"/>
      <c r="C1" s="140"/>
      <c r="D1" s="140"/>
      <c r="E1" s="140"/>
      <c r="F1" s="140"/>
      <c r="G1" s="140"/>
      <c r="I1" s="252" t="s">
        <v>394</v>
      </c>
      <c r="K1" s="1513" t="str">
        <f>EBNUMBER</f>
        <v>EB-2015-0089</v>
      </c>
    </row>
    <row r="2" spans="1:15" s="530" customFormat="1" x14ac:dyDescent="0.25">
      <c r="A2" s="140"/>
      <c r="B2" s="140"/>
      <c r="C2" s="140"/>
      <c r="D2" s="140"/>
      <c r="E2" s="140"/>
      <c r="F2" s="140"/>
      <c r="G2" s="140"/>
      <c r="I2" s="252" t="s">
        <v>395</v>
      </c>
      <c r="K2" s="254">
        <v>2</v>
      </c>
    </row>
    <row r="3" spans="1:15" s="530" customFormat="1" x14ac:dyDescent="0.25">
      <c r="A3" s="140"/>
      <c r="B3" s="140"/>
      <c r="C3" s="140"/>
      <c r="D3" s="140"/>
      <c r="E3" s="140"/>
      <c r="F3" s="140"/>
      <c r="G3" s="140"/>
      <c r="I3" s="252" t="s">
        <v>396</v>
      </c>
      <c r="K3" s="254" t="s">
        <v>2456</v>
      </c>
    </row>
    <row r="4" spans="1:15" s="530" customFormat="1" x14ac:dyDescent="0.25">
      <c r="A4" s="140"/>
      <c r="B4" s="140"/>
      <c r="C4" s="140"/>
      <c r="D4" s="140"/>
      <c r="E4" s="140"/>
      <c r="F4" s="140"/>
      <c r="G4" s="140"/>
      <c r="I4" s="252" t="s">
        <v>397</v>
      </c>
      <c r="K4" s="254" t="s">
        <v>2404</v>
      </c>
    </row>
    <row r="5" spans="1:15" s="530" customFormat="1" x14ac:dyDescent="0.25">
      <c r="A5" s="140"/>
      <c r="B5" s="140"/>
      <c r="C5" s="140"/>
      <c r="D5" s="140"/>
      <c r="E5" s="140"/>
      <c r="F5" s="140"/>
      <c r="G5" s="140"/>
      <c r="I5" s="252" t="s">
        <v>398</v>
      </c>
      <c r="K5" s="255">
        <v>69</v>
      </c>
    </row>
    <row r="6" spans="1:15" s="530" customFormat="1" x14ac:dyDescent="0.25">
      <c r="A6" s="140"/>
      <c r="B6" s="140"/>
      <c r="C6" s="140"/>
      <c r="D6" s="140"/>
      <c r="E6" s="140"/>
      <c r="F6" s="140"/>
      <c r="G6" s="140"/>
      <c r="I6" s="252"/>
      <c r="K6" s="253"/>
    </row>
    <row r="7" spans="1:15" s="530" customFormat="1" x14ac:dyDescent="0.25">
      <c r="A7" s="140"/>
      <c r="B7" s="140"/>
      <c r="C7" s="140"/>
      <c r="D7" s="140"/>
      <c r="E7" s="140"/>
      <c r="F7" s="140"/>
      <c r="G7" s="140"/>
      <c r="I7" s="252" t="s">
        <v>399</v>
      </c>
      <c r="K7" s="1836" t="s">
        <v>2455</v>
      </c>
    </row>
    <row r="8" spans="1:15" s="530" customFormat="1" x14ac:dyDescent="0.25">
      <c r="A8" s="158"/>
      <c r="B8" s="158"/>
      <c r="C8" s="158"/>
      <c r="D8" s="158"/>
      <c r="E8" s="158"/>
      <c r="F8" s="158"/>
      <c r="G8" s="158"/>
      <c r="H8" s="158"/>
      <c r="I8" s="158"/>
      <c r="J8" s="570"/>
      <c r="K8" s="570"/>
      <c r="L8" s="570"/>
      <c r="M8" s="570"/>
      <c r="N8" s="570"/>
      <c r="O8" s="570"/>
    </row>
    <row r="9" spans="1:15" s="530" customFormat="1" ht="18" x14ac:dyDescent="0.25">
      <c r="A9" s="1979" t="s">
        <v>165</v>
      </c>
      <c r="B9" s="1979"/>
      <c r="C9" s="1979"/>
      <c r="D9" s="1979"/>
      <c r="E9" s="1979"/>
      <c r="F9" s="1979"/>
      <c r="G9" s="1979"/>
      <c r="H9" s="1979"/>
      <c r="I9" s="1979"/>
      <c r="J9" s="1979"/>
      <c r="K9" s="1979"/>
      <c r="L9" s="570"/>
      <c r="M9" s="570"/>
      <c r="N9" s="570"/>
      <c r="O9" s="570"/>
    </row>
    <row r="10" spans="1:15" s="530" customFormat="1" ht="18" x14ac:dyDescent="0.25">
      <c r="A10" s="1979" t="s">
        <v>1505</v>
      </c>
      <c r="B10" s="1979"/>
      <c r="C10" s="1979"/>
      <c r="D10" s="1979"/>
      <c r="E10" s="1979"/>
      <c r="F10" s="1979"/>
      <c r="G10" s="1979"/>
      <c r="H10" s="1979"/>
      <c r="I10" s="1979"/>
      <c r="J10" s="1979"/>
      <c r="K10" s="1979"/>
      <c r="L10" s="570"/>
      <c r="M10" s="570"/>
      <c r="N10" s="570"/>
      <c r="O10" s="570"/>
    </row>
    <row r="11" spans="1:15" s="530" customFormat="1" ht="18" x14ac:dyDescent="0.25">
      <c r="A11" s="1979" t="s">
        <v>1836</v>
      </c>
      <c r="B11" s="1979"/>
      <c r="C11" s="1979"/>
      <c r="D11" s="1979"/>
      <c r="E11" s="1979"/>
      <c r="F11" s="1979"/>
      <c r="G11" s="1979"/>
      <c r="H11" s="1979"/>
      <c r="I11" s="1979"/>
      <c r="J11" s="1979"/>
      <c r="K11" s="1979"/>
      <c r="L11" s="570"/>
      <c r="M11" s="570"/>
      <c r="N11" s="570"/>
      <c r="O11" s="570"/>
    </row>
    <row r="12" spans="1:15" ht="15.75" thickBot="1" x14ac:dyDescent="0.3">
      <c r="A12" s="1681" t="s">
        <v>2189</v>
      </c>
      <c r="B12" s="1681"/>
      <c r="C12" s="606"/>
      <c r="D12" s="606"/>
      <c r="E12" s="606"/>
      <c r="F12" s="606"/>
      <c r="G12" s="606"/>
      <c r="H12" s="606"/>
      <c r="I12" s="606"/>
      <c r="J12" s="606"/>
      <c r="K12" s="606"/>
      <c r="L12" s="606"/>
      <c r="M12" s="606"/>
      <c r="N12" s="606"/>
      <c r="O12" s="606"/>
    </row>
    <row r="13" spans="1:15" ht="15.75" thickBot="1" x14ac:dyDescent="0.3">
      <c r="A13" s="2139" t="s">
        <v>565</v>
      </c>
      <c r="B13" s="2141" t="s">
        <v>1834</v>
      </c>
      <c r="C13" s="2142"/>
      <c r="D13" s="2142"/>
      <c r="E13" s="2142"/>
      <c r="F13" s="2142"/>
      <c r="G13" s="2143" t="s">
        <v>1835</v>
      </c>
      <c r="H13" s="2142"/>
      <c r="I13" s="2142"/>
      <c r="J13" s="2142"/>
      <c r="K13" s="2144"/>
      <c r="L13" s="606"/>
      <c r="M13" s="606"/>
      <c r="N13" s="606"/>
      <c r="O13" s="606"/>
    </row>
    <row r="14" spans="1:15" x14ac:dyDescent="0.25">
      <c r="A14" s="2140"/>
      <c r="B14" s="694">
        <v>2010</v>
      </c>
      <c r="C14" s="1489">
        <v>2011</v>
      </c>
      <c r="D14" s="695">
        <v>2012</v>
      </c>
      <c r="E14" s="695">
        <v>2013</v>
      </c>
      <c r="F14" s="696">
        <v>2014</v>
      </c>
      <c r="G14" s="694">
        <v>2010</v>
      </c>
      <c r="H14" s="1489">
        <v>2011</v>
      </c>
      <c r="I14" s="695">
        <v>2012</v>
      </c>
      <c r="J14" s="695">
        <v>2013</v>
      </c>
      <c r="K14" s="696">
        <v>2014</v>
      </c>
      <c r="L14" s="606"/>
      <c r="M14" s="606"/>
      <c r="N14" s="606"/>
      <c r="O14" s="606"/>
    </row>
    <row r="15" spans="1:15" x14ac:dyDescent="0.25">
      <c r="A15" s="697" t="s">
        <v>655</v>
      </c>
      <c r="B15" s="700">
        <v>0.68459999999999999</v>
      </c>
      <c r="C15" s="698">
        <v>1.3965000000000001</v>
      </c>
      <c r="D15" s="699">
        <v>0.88539999999999996</v>
      </c>
      <c r="E15" s="699">
        <v>8.41</v>
      </c>
      <c r="F15" s="699">
        <v>1.2297063802265411</v>
      </c>
      <c r="G15" s="700">
        <v>0.5464</v>
      </c>
      <c r="H15" s="698">
        <v>1.0455000000000001</v>
      </c>
      <c r="I15" s="699">
        <v>0.81520000000000004</v>
      </c>
      <c r="J15" s="699">
        <v>7.94</v>
      </c>
      <c r="K15" s="699">
        <v>1.2226757302541262</v>
      </c>
      <c r="L15" s="606"/>
      <c r="M15" s="606"/>
      <c r="N15" s="606"/>
      <c r="O15" s="606"/>
    </row>
    <row r="16" spans="1:15" ht="15.75" thickBot="1" x14ac:dyDescent="0.3">
      <c r="A16" s="701" t="s">
        <v>656</v>
      </c>
      <c r="B16" s="704">
        <v>0.73450000000000004</v>
      </c>
      <c r="C16" s="702">
        <v>1.3070999999999999</v>
      </c>
      <c r="D16" s="703">
        <v>1.1049</v>
      </c>
      <c r="E16" s="703">
        <v>1.02</v>
      </c>
      <c r="F16" s="703">
        <v>1.0592915921288015</v>
      </c>
      <c r="G16" s="704">
        <v>0.39729999999999999</v>
      </c>
      <c r="H16" s="702">
        <v>1.1177999999999999</v>
      </c>
      <c r="I16" s="703">
        <v>1.0508999999999999</v>
      </c>
      <c r="J16" s="703">
        <v>0.99</v>
      </c>
      <c r="K16" s="703">
        <v>1.0563148479427549</v>
      </c>
      <c r="L16" s="606"/>
      <c r="M16" s="606"/>
      <c r="N16" s="606"/>
      <c r="O16" s="606"/>
    </row>
    <row r="17" spans="1:15" x14ac:dyDescent="0.25">
      <c r="A17" s="61"/>
      <c r="B17" s="61"/>
      <c r="C17" s="61"/>
      <c r="D17" s="61"/>
      <c r="E17" s="61"/>
      <c r="F17" s="61"/>
      <c r="G17" s="61"/>
      <c r="H17" s="61"/>
      <c r="I17" s="61"/>
      <c r="J17" s="61"/>
      <c r="K17" s="61"/>
      <c r="L17" s="606"/>
      <c r="M17" s="606"/>
      <c r="N17" s="606"/>
      <c r="O17" s="606"/>
    </row>
    <row r="18" spans="1:15" ht="15.75" thickBot="1" x14ac:dyDescent="0.3">
      <c r="A18" s="2145" t="s">
        <v>816</v>
      </c>
      <c r="B18" s="2145"/>
      <c r="C18" s="2145"/>
      <c r="D18" s="2145"/>
      <c r="E18" s="2145"/>
      <c r="F18" s="2145"/>
      <c r="G18" s="2145"/>
      <c r="H18" s="2145"/>
      <c r="I18" s="2145"/>
      <c r="J18" s="2145"/>
      <c r="K18" s="2145"/>
      <c r="L18" s="606"/>
      <c r="M18" s="606"/>
      <c r="N18" s="606"/>
      <c r="O18" s="606"/>
    </row>
    <row r="19" spans="1:15" ht="16.5" thickTop="1" thickBot="1" x14ac:dyDescent="0.3">
      <c r="A19" s="705" t="s">
        <v>655</v>
      </c>
      <c r="B19" s="2146"/>
      <c r="C19" s="2146"/>
      <c r="D19" s="2146"/>
      <c r="E19" s="2146"/>
      <c r="F19" s="706">
        <f>IF(ISERROR(AVERAGE(B15:F15)), "", AVERAGE(B15:F15))</f>
        <v>2.5212412760453082</v>
      </c>
      <c r="G19" s="2147"/>
      <c r="H19" s="2146"/>
      <c r="I19" s="2146"/>
      <c r="J19" s="2146"/>
      <c r="K19" s="706">
        <f>IF(ISERROR(AVERAGE(G15:K15)), "", AVERAGE(G15:K15))</f>
        <v>2.3139551460508256</v>
      </c>
      <c r="L19" s="606"/>
      <c r="M19" s="606"/>
      <c r="N19" s="606"/>
      <c r="O19" s="606"/>
    </row>
    <row r="20" spans="1:15" ht="15.75" thickBot="1" x14ac:dyDescent="0.3">
      <c r="A20" s="707" t="s">
        <v>656</v>
      </c>
      <c r="B20" s="2136"/>
      <c r="C20" s="2136"/>
      <c r="D20" s="2136"/>
      <c r="E20" s="2136"/>
      <c r="F20" s="706">
        <f>IF(ISERROR(AVERAGE(B16:F16)), "", AVERAGE(B16:F16))</f>
        <v>1.04515831842576</v>
      </c>
      <c r="G20" s="2137"/>
      <c r="H20" s="2136"/>
      <c r="I20" s="2136"/>
      <c r="J20" s="2136"/>
      <c r="K20" s="706">
        <f>IF(ISERROR(AVERAGE(G16:K16)), "", AVERAGE(G16:K16))</f>
        <v>0.9224629695885509</v>
      </c>
    </row>
    <row r="21" spans="1:15" x14ac:dyDescent="0.25">
      <c r="A21" s="61"/>
      <c r="B21" s="61"/>
      <c r="C21" s="61"/>
      <c r="D21" s="61"/>
      <c r="E21" s="61"/>
      <c r="F21" s="61"/>
      <c r="G21" s="61"/>
      <c r="H21" s="61"/>
      <c r="I21" s="61"/>
      <c r="J21" s="61"/>
      <c r="K21" s="61"/>
    </row>
    <row r="22" spans="1:15" x14ac:dyDescent="0.25">
      <c r="A22" s="2138" t="s">
        <v>657</v>
      </c>
      <c r="B22" s="2138"/>
      <c r="C22" s="2138"/>
      <c r="D22" s="2138"/>
      <c r="E22" s="2138"/>
      <c r="F22" s="2138"/>
      <c r="G22" s="2138"/>
      <c r="H22" s="2138"/>
      <c r="I22" s="2138"/>
      <c r="J22" s="2138"/>
      <c r="K22" s="2138"/>
    </row>
    <row r="23" spans="1:15" x14ac:dyDescent="0.25">
      <c r="A23" s="2138" t="s">
        <v>658</v>
      </c>
      <c r="B23" s="2138"/>
      <c r="C23" s="2138"/>
      <c r="D23" s="2138"/>
      <c r="E23" s="2138"/>
      <c r="F23" s="2138"/>
      <c r="G23" s="2138"/>
      <c r="H23" s="2138"/>
      <c r="I23" s="2138"/>
      <c r="J23" s="2138"/>
      <c r="K23" s="2138"/>
    </row>
    <row r="24" spans="1:15" x14ac:dyDescent="0.25">
      <c r="A24" s="1604"/>
      <c r="B24" s="1604"/>
      <c r="C24" s="1604"/>
      <c r="D24" s="1604"/>
      <c r="E24" s="1604"/>
      <c r="F24" s="1604"/>
      <c r="G24" s="1604"/>
      <c r="H24" s="1604"/>
      <c r="I24" s="1604"/>
      <c r="J24" s="1604"/>
      <c r="K24" s="1604"/>
    </row>
    <row r="25" spans="1:15" ht="15.75" thickBot="1" x14ac:dyDescent="0.3">
      <c r="A25" s="1681" t="s">
        <v>2190</v>
      </c>
      <c r="B25" s="1681"/>
      <c r="C25" s="606"/>
      <c r="D25" s="606"/>
      <c r="E25" s="606"/>
      <c r="F25" s="606"/>
      <c r="G25" s="606"/>
      <c r="H25" s="606"/>
      <c r="I25" s="606"/>
      <c r="J25" s="606"/>
      <c r="K25" s="606"/>
      <c r="L25" s="606"/>
      <c r="M25" s="606"/>
      <c r="N25" s="606"/>
      <c r="O25" s="606"/>
    </row>
    <row r="26" spans="1:15" ht="15.75" thickBot="1" x14ac:dyDescent="0.3">
      <c r="A26" s="2139" t="s">
        <v>565</v>
      </c>
      <c r="B26" s="2141" t="s">
        <v>1834</v>
      </c>
      <c r="C26" s="2142"/>
      <c r="D26" s="2142"/>
      <c r="E26" s="2142"/>
      <c r="F26" s="2142"/>
      <c r="G26" s="2143" t="s">
        <v>1835</v>
      </c>
      <c r="H26" s="2142"/>
      <c r="I26" s="2142"/>
      <c r="J26" s="2142"/>
      <c r="K26" s="2144"/>
      <c r="L26" s="606"/>
      <c r="M26" s="606"/>
      <c r="N26" s="606"/>
      <c r="O26" s="606"/>
    </row>
    <row r="27" spans="1:15" x14ac:dyDescent="0.25">
      <c r="A27" s="2140"/>
      <c r="B27" s="694">
        <v>2010</v>
      </c>
      <c r="C27" s="1603">
        <v>2011</v>
      </c>
      <c r="D27" s="695">
        <v>2012</v>
      </c>
      <c r="E27" s="695">
        <v>2013</v>
      </c>
      <c r="F27" s="696">
        <v>2014</v>
      </c>
      <c r="G27" s="694">
        <v>2010</v>
      </c>
      <c r="H27" s="1603">
        <v>2011</v>
      </c>
      <c r="I27" s="695">
        <v>2012</v>
      </c>
      <c r="J27" s="695">
        <v>2013</v>
      </c>
      <c r="K27" s="696">
        <v>2014</v>
      </c>
      <c r="L27" s="606"/>
      <c r="M27" s="606"/>
      <c r="N27" s="606"/>
      <c r="O27" s="606"/>
    </row>
    <row r="28" spans="1:15" x14ac:dyDescent="0.25">
      <c r="A28" s="697" t="s">
        <v>655</v>
      </c>
      <c r="B28" s="700">
        <v>0.68459999999999999</v>
      </c>
      <c r="C28" s="698">
        <v>1.3965000000000001</v>
      </c>
      <c r="D28" s="699">
        <v>0.88539999999999996</v>
      </c>
      <c r="E28" s="699">
        <v>1.69</v>
      </c>
      <c r="F28" s="699">
        <v>1.2297063802265411</v>
      </c>
      <c r="G28" s="700">
        <v>0.5464</v>
      </c>
      <c r="H28" s="698">
        <v>1.0455000000000001</v>
      </c>
      <c r="I28" s="699">
        <v>0.81520000000000004</v>
      </c>
      <c r="J28" s="699">
        <v>1.52</v>
      </c>
      <c r="K28" s="699">
        <v>1.2226757302541262</v>
      </c>
      <c r="L28" s="606"/>
      <c r="M28" s="606"/>
      <c r="N28" s="606"/>
      <c r="O28" s="606"/>
    </row>
    <row r="29" spans="1:15" ht="15.75" thickBot="1" x14ac:dyDescent="0.3">
      <c r="A29" s="701" t="s">
        <v>656</v>
      </c>
      <c r="B29" s="704">
        <v>0.73450000000000004</v>
      </c>
      <c r="C29" s="702">
        <v>1.3070999999999999</v>
      </c>
      <c r="D29" s="703">
        <v>1.1049</v>
      </c>
      <c r="E29" s="703">
        <v>0.68</v>
      </c>
      <c r="F29" s="703">
        <v>1.0592915921288015</v>
      </c>
      <c r="G29" s="704">
        <v>0.39729999999999999</v>
      </c>
      <c r="H29" s="702">
        <v>1.1177999999999999</v>
      </c>
      <c r="I29" s="703">
        <v>1.0508999999999999</v>
      </c>
      <c r="J29" s="703">
        <v>0.66</v>
      </c>
      <c r="K29" s="703">
        <v>1.0563148479427549</v>
      </c>
      <c r="L29" s="606"/>
      <c r="M29" s="606"/>
      <c r="N29" s="606"/>
      <c r="O29" s="606"/>
    </row>
    <row r="30" spans="1:15" x14ac:dyDescent="0.25">
      <c r="A30" s="61"/>
      <c r="B30" s="61"/>
      <c r="C30" s="61"/>
      <c r="D30" s="61"/>
      <c r="E30" s="61"/>
      <c r="F30" s="61"/>
      <c r="G30" s="61"/>
      <c r="H30" s="61"/>
      <c r="I30" s="61"/>
      <c r="J30" s="61"/>
      <c r="K30" s="61"/>
      <c r="L30" s="606"/>
      <c r="M30" s="606"/>
      <c r="N30" s="606"/>
      <c r="O30" s="606"/>
    </row>
    <row r="31" spans="1:15" ht="15.75" thickBot="1" x14ac:dyDescent="0.3">
      <c r="A31" s="2145" t="s">
        <v>816</v>
      </c>
      <c r="B31" s="2145"/>
      <c r="C31" s="2145"/>
      <c r="D31" s="2145"/>
      <c r="E31" s="2145"/>
      <c r="F31" s="2145"/>
      <c r="G31" s="2145"/>
      <c r="H31" s="2145"/>
      <c r="I31" s="2145"/>
      <c r="J31" s="2145"/>
      <c r="K31" s="2145"/>
      <c r="L31" s="606"/>
      <c r="M31" s="606"/>
      <c r="N31" s="606"/>
      <c r="O31" s="606"/>
    </row>
    <row r="32" spans="1:15" ht="16.5" thickTop="1" thickBot="1" x14ac:dyDescent="0.3">
      <c r="A32" s="705" t="s">
        <v>655</v>
      </c>
      <c r="B32" s="2146"/>
      <c r="C32" s="2146"/>
      <c r="D32" s="2146"/>
      <c r="E32" s="2146"/>
      <c r="F32" s="706">
        <f>IF(ISERROR(AVERAGE(B28:F28)), "", AVERAGE(B28:F28))</f>
        <v>1.1772412760453081</v>
      </c>
      <c r="G32" s="2147"/>
      <c r="H32" s="2146"/>
      <c r="I32" s="2146"/>
      <c r="J32" s="2146"/>
      <c r="K32" s="706">
        <f>IF(ISERROR(AVERAGE(G28:K28)), "", AVERAGE(G28:K28))</f>
        <v>1.0299551460508254</v>
      </c>
      <c r="L32" s="606"/>
      <c r="M32" s="606"/>
      <c r="N32" s="606"/>
      <c r="O32" s="606"/>
    </row>
    <row r="33" spans="1:11" ht="15.75" thickBot="1" x14ac:dyDescent="0.3">
      <c r="A33" s="707" t="s">
        <v>656</v>
      </c>
      <c r="B33" s="2136"/>
      <c r="C33" s="2136"/>
      <c r="D33" s="2136"/>
      <c r="E33" s="2136"/>
      <c r="F33" s="706">
        <f>IF(ISERROR(AVERAGE(B29:F29)), "", AVERAGE(B29:F29))</f>
        <v>0.97715831842576029</v>
      </c>
      <c r="G33" s="2137"/>
      <c r="H33" s="2136"/>
      <c r="I33" s="2136"/>
      <c r="J33" s="2136"/>
      <c r="K33" s="706">
        <f>IF(ISERROR(AVERAGE(G29:K29)), "", AVERAGE(G29:K29))</f>
        <v>0.85646296958855095</v>
      </c>
    </row>
    <row r="34" spans="1:11" x14ac:dyDescent="0.25">
      <c r="A34" s="61"/>
      <c r="B34" s="61"/>
      <c r="C34" s="61"/>
      <c r="D34" s="61"/>
      <c r="E34" s="61"/>
      <c r="F34" s="61"/>
      <c r="G34" s="61"/>
      <c r="H34" s="61"/>
      <c r="I34" s="61"/>
      <c r="J34" s="61"/>
      <c r="K34" s="61"/>
    </row>
    <row r="35" spans="1:11" x14ac:dyDescent="0.25">
      <c r="A35" s="2138" t="s">
        <v>657</v>
      </c>
      <c r="B35" s="2138"/>
      <c r="C35" s="2138"/>
      <c r="D35" s="2138"/>
      <c r="E35" s="2138"/>
      <c r="F35" s="2138"/>
      <c r="G35" s="2138"/>
      <c r="H35" s="2138"/>
      <c r="I35" s="2138"/>
      <c r="J35" s="2138"/>
      <c r="K35" s="2138"/>
    </row>
    <row r="36" spans="1:11" x14ac:dyDescent="0.25">
      <c r="A36" s="2138" t="s">
        <v>658</v>
      </c>
      <c r="B36" s="2138"/>
      <c r="C36" s="2138"/>
      <c r="D36" s="2138"/>
      <c r="E36" s="2138"/>
      <c r="F36" s="2138"/>
      <c r="G36" s="2138"/>
      <c r="H36" s="2138"/>
      <c r="I36" s="2138"/>
      <c r="J36" s="2138"/>
      <c r="K36" s="2138"/>
    </row>
    <row r="37" spans="1:11" ht="15.75" thickBot="1" x14ac:dyDescent="0.3"/>
    <row r="38" spans="1:11" ht="45.75" thickBot="1" x14ac:dyDescent="0.3">
      <c r="A38" s="2152" t="s">
        <v>1570</v>
      </c>
      <c r="B38" s="2153"/>
      <c r="C38" s="708" t="s">
        <v>1569</v>
      </c>
      <c r="D38" s="709">
        <v>2010</v>
      </c>
      <c r="E38" s="709">
        <v>2011</v>
      </c>
      <c r="F38" s="710">
        <v>2012</v>
      </c>
      <c r="G38" s="710">
        <v>2013</v>
      </c>
      <c r="H38" s="711">
        <v>2014</v>
      </c>
    </row>
    <row r="39" spans="1:11" ht="32.25" customHeight="1" x14ac:dyDescent="0.25">
      <c r="A39" s="2154" t="s">
        <v>1571</v>
      </c>
      <c r="B39" s="2155"/>
      <c r="C39" s="712">
        <v>0.9</v>
      </c>
      <c r="D39" s="1682">
        <v>0.99099999999999999</v>
      </c>
      <c r="E39" s="1682">
        <v>0.99</v>
      </c>
      <c r="F39" s="1682">
        <v>0.98599999999999999</v>
      </c>
      <c r="G39" s="1682">
        <v>0.98</v>
      </c>
      <c r="H39" s="1682">
        <v>0.995</v>
      </c>
    </row>
    <row r="40" spans="1:11" ht="32.25" customHeight="1" x14ac:dyDescent="0.25">
      <c r="A40" s="2148" t="s">
        <v>1572</v>
      </c>
      <c r="B40" s="2149"/>
      <c r="C40" s="713">
        <v>0.9</v>
      </c>
      <c r="D40" s="1683" t="s">
        <v>2177</v>
      </c>
      <c r="E40" s="1683" t="s">
        <v>2177</v>
      </c>
      <c r="F40" s="1683" t="s">
        <v>2177</v>
      </c>
      <c r="G40" s="1683" t="s">
        <v>2177</v>
      </c>
      <c r="H40" s="1683" t="s">
        <v>2177</v>
      </c>
    </row>
    <row r="41" spans="1:11" ht="32.25" customHeight="1" x14ac:dyDescent="0.25">
      <c r="A41" s="2148" t="s">
        <v>1573</v>
      </c>
      <c r="B41" s="2149"/>
      <c r="C41" s="713">
        <v>0.65</v>
      </c>
      <c r="D41" s="1682">
        <v>0.79</v>
      </c>
      <c r="E41" s="1682">
        <v>0.76800000000000002</v>
      </c>
      <c r="F41" s="1682">
        <v>0.82599999999999996</v>
      </c>
      <c r="G41" s="1682">
        <v>0.745</v>
      </c>
      <c r="H41" s="1682">
        <v>0.77800000000000002</v>
      </c>
    </row>
    <row r="42" spans="1:11" ht="32.25" customHeight="1" x14ac:dyDescent="0.25">
      <c r="A42" s="2148" t="s">
        <v>1574</v>
      </c>
      <c r="B42" s="2149"/>
      <c r="C42" s="713">
        <v>0.9</v>
      </c>
      <c r="D42" s="1683">
        <v>0</v>
      </c>
      <c r="E42" s="1683">
        <v>1</v>
      </c>
      <c r="F42" s="1683">
        <v>1</v>
      </c>
      <c r="G42" s="1682">
        <v>0.997</v>
      </c>
      <c r="H42" s="1682">
        <v>0.998</v>
      </c>
    </row>
    <row r="43" spans="1:11" ht="32.25" customHeight="1" x14ac:dyDescent="0.25">
      <c r="A43" s="2148" t="s">
        <v>1575</v>
      </c>
      <c r="B43" s="2149"/>
      <c r="C43" s="713">
        <v>0.8</v>
      </c>
      <c r="D43" s="1683">
        <v>1</v>
      </c>
      <c r="E43" s="1683">
        <v>1</v>
      </c>
      <c r="F43" s="1683">
        <v>1</v>
      </c>
      <c r="G43" s="1683">
        <v>1</v>
      </c>
      <c r="H43" s="1683">
        <v>1</v>
      </c>
    </row>
    <row r="44" spans="1:11" ht="32.25" customHeight="1" x14ac:dyDescent="0.25">
      <c r="A44" s="2148" t="s">
        <v>1576</v>
      </c>
      <c r="B44" s="2149"/>
      <c r="C44" s="713">
        <v>0.8</v>
      </c>
      <c r="D44" s="1683">
        <v>1</v>
      </c>
      <c r="E44" s="1683">
        <v>1</v>
      </c>
      <c r="F44" s="1683">
        <v>1</v>
      </c>
      <c r="G44" s="1683">
        <v>1</v>
      </c>
      <c r="H44" s="1683">
        <v>1</v>
      </c>
    </row>
    <row r="45" spans="1:11" ht="32.25" customHeight="1" x14ac:dyDescent="0.25">
      <c r="A45" s="2148" t="s">
        <v>1577</v>
      </c>
      <c r="B45" s="2149"/>
      <c r="C45" s="713">
        <v>0.8</v>
      </c>
      <c r="D45" s="1683">
        <v>1</v>
      </c>
      <c r="E45" s="1683">
        <v>1</v>
      </c>
      <c r="F45" s="1683">
        <v>1</v>
      </c>
      <c r="G45" s="1683">
        <v>1</v>
      </c>
      <c r="H45" s="1683">
        <v>1</v>
      </c>
    </row>
    <row r="46" spans="1:11" ht="32.25" customHeight="1" x14ac:dyDescent="0.25">
      <c r="A46" s="2148" t="s">
        <v>1578</v>
      </c>
      <c r="B46" s="2149"/>
      <c r="C46" s="713">
        <v>0.1</v>
      </c>
      <c r="D46" s="1682">
        <v>1.9E-2</v>
      </c>
      <c r="E46" s="1683">
        <v>0</v>
      </c>
      <c r="F46" s="1682">
        <v>1E-3</v>
      </c>
      <c r="G46" s="1682">
        <v>5.7000000000000002E-2</v>
      </c>
      <c r="H46" s="1682">
        <v>2.5999999999999999E-2</v>
      </c>
    </row>
    <row r="47" spans="1:11" ht="32.25" customHeight="1" x14ac:dyDescent="0.25">
      <c r="A47" s="2148" t="s">
        <v>1579</v>
      </c>
      <c r="B47" s="2149"/>
      <c r="C47" s="713">
        <v>0.9</v>
      </c>
      <c r="D47" s="1683">
        <v>1</v>
      </c>
      <c r="E47" s="1683">
        <v>1</v>
      </c>
      <c r="F47" s="1682">
        <v>0.96699999999999997</v>
      </c>
      <c r="G47" s="1682">
        <v>0.94299999999999995</v>
      </c>
      <c r="H47" s="1682">
        <v>0.96899999999999997</v>
      </c>
    </row>
    <row r="48" spans="1:11" ht="32.25" customHeight="1" x14ac:dyDescent="0.25">
      <c r="A48" s="2148" t="s">
        <v>1580</v>
      </c>
      <c r="B48" s="2149"/>
      <c r="C48" s="713">
        <v>1</v>
      </c>
      <c r="D48" s="1822" t="s">
        <v>2177</v>
      </c>
      <c r="E48" s="1822" t="s">
        <v>2177</v>
      </c>
      <c r="F48" s="1822" t="s">
        <v>2177</v>
      </c>
      <c r="G48" s="1822" t="s">
        <v>2177</v>
      </c>
      <c r="H48" s="1683">
        <v>1</v>
      </c>
    </row>
    <row r="49" spans="1:8" ht="32.25" customHeight="1" thickBot="1" x14ac:dyDescent="0.3">
      <c r="A49" s="2150" t="s">
        <v>1581</v>
      </c>
      <c r="B49" s="2151"/>
      <c r="C49" s="714">
        <v>0.85</v>
      </c>
      <c r="D49" s="1683">
        <v>0</v>
      </c>
      <c r="E49" s="1682">
        <v>0.94799999999999995</v>
      </c>
      <c r="F49" s="1682">
        <v>0.93100000000000005</v>
      </c>
      <c r="G49" s="1682">
        <v>0.91200000000000003</v>
      </c>
      <c r="H49" s="1682">
        <v>0.95099999999999996</v>
      </c>
    </row>
  </sheetData>
  <mergeCells count="35">
    <mergeCell ref="B19:E19"/>
    <mergeCell ref="G19:J19"/>
    <mergeCell ref="A22:K22"/>
    <mergeCell ref="A23:K23"/>
    <mergeCell ref="A18:K18"/>
    <mergeCell ref="B20:E20"/>
    <mergeCell ref="G20:J20"/>
    <mergeCell ref="A9:K9"/>
    <mergeCell ref="A10:K10"/>
    <mergeCell ref="A11:K11"/>
    <mergeCell ref="A13:A14"/>
    <mergeCell ref="B13:F13"/>
    <mergeCell ref="G13:K13"/>
    <mergeCell ref="A38:B38"/>
    <mergeCell ref="A39:B39"/>
    <mergeCell ref="A40:B40"/>
    <mergeCell ref="A46:B46"/>
    <mergeCell ref="A47:B47"/>
    <mergeCell ref="A48:B48"/>
    <mergeCell ref="A49:B49"/>
    <mergeCell ref="A41:B41"/>
    <mergeCell ref="A42:B42"/>
    <mergeCell ref="A43:B43"/>
    <mergeCell ref="A44:B44"/>
    <mergeCell ref="A45:B45"/>
    <mergeCell ref="B33:E33"/>
    <mergeCell ref="G33:J33"/>
    <mergeCell ref="A35:K35"/>
    <mergeCell ref="A36:K36"/>
    <mergeCell ref="A26:A27"/>
    <mergeCell ref="B26:F26"/>
    <mergeCell ref="G26:K26"/>
    <mergeCell ref="A31:K31"/>
    <mergeCell ref="B32:E32"/>
    <mergeCell ref="G32:J32"/>
  </mergeCells>
  <dataValidations count="1">
    <dataValidation allowBlank="1" showInputMessage="1" showErrorMessage="1" promptTitle="Date Format" prompt="E.g:  &quot;August 1, 2011&quot;" sqref="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dataValidations>
  <pageMargins left="0.7" right="0.7" top="0.75" bottom="0.75" header="0.3" footer="0.3"/>
  <pageSetup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B3:G6"/>
  <sheetViews>
    <sheetView showGridLines="0" zoomScaleNormal="100" workbookViewId="0"/>
  </sheetViews>
  <sheetFormatPr defaultRowHeight="12.75" x14ac:dyDescent="0.2"/>
  <cols>
    <col min="1" max="1" width="2.7109375" style="61" customWidth="1"/>
    <col min="2" max="2" width="81.85546875" style="61" customWidth="1"/>
    <col min="3" max="5" width="9.140625" style="61"/>
    <col min="6" max="6" width="12.7109375" style="61" bestFit="1" customWidth="1"/>
    <col min="7" max="7" width="10.7109375" style="61" customWidth="1"/>
    <col min="8" max="16384" width="9.140625" style="61"/>
  </cols>
  <sheetData>
    <row r="3" spans="2:7" ht="18" x14ac:dyDescent="0.25">
      <c r="B3" s="1940"/>
      <c r="C3" s="1940"/>
      <c r="D3" s="1940"/>
      <c r="E3" s="1940"/>
      <c r="F3" s="1940"/>
      <c r="G3" s="1940"/>
    </row>
    <row r="4" spans="2:7" ht="18" x14ac:dyDescent="0.25">
      <c r="B4" s="1940" t="s">
        <v>154</v>
      </c>
      <c r="C4" s="1940"/>
      <c r="D4" s="1940"/>
      <c r="E4" s="1940"/>
      <c r="F4" s="1940"/>
      <c r="G4" s="1940"/>
    </row>
    <row r="6" spans="2:7" ht="51" customHeight="1" x14ac:dyDescent="0.2">
      <c r="B6" s="1939" t="s">
        <v>378</v>
      </c>
      <c r="C6" s="1939"/>
      <c r="D6" s="1939"/>
      <c r="E6" s="1939"/>
      <c r="F6" s="1939"/>
      <c r="G6" s="1939"/>
    </row>
  </sheetData>
  <mergeCells count="3">
    <mergeCell ref="B6:G6"/>
    <mergeCell ref="B3:G3"/>
    <mergeCell ref="B4:G4"/>
  </mergeCells>
  <phoneticPr fontId="17" type="noConversion"/>
  <pageMargins left="0.75" right="0.75" top="1" bottom="1" header="0.5" footer="0.5"/>
  <pageSetup scale="87"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60"/>
  <sheetViews>
    <sheetView showGridLines="0" zoomScaleNormal="100" workbookViewId="0">
      <selection activeCell="A10" sqref="A10:J10"/>
    </sheetView>
  </sheetViews>
  <sheetFormatPr defaultRowHeight="12.75" x14ac:dyDescent="0.2"/>
  <cols>
    <col min="1" max="1" width="11.28515625" style="61" customWidth="1"/>
    <col min="2" max="2" width="24.140625" style="61" customWidth="1"/>
    <col min="3" max="3" width="19" style="61" bestFit="1" customWidth="1"/>
    <col min="4" max="10" width="13.7109375" style="61" customWidth="1"/>
    <col min="11" max="16384" width="9.140625" style="61"/>
  </cols>
  <sheetData>
    <row r="1" spans="1:10" x14ac:dyDescent="0.2">
      <c r="H1" s="252"/>
      <c r="I1" s="715" t="s">
        <v>394</v>
      </c>
      <c r="J1" s="1513" t="str">
        <f>EBNUMBER</f>
        <v>EB-2015-0089</v>
      </c>
    </row>
    <row r="2" spans="1:10" x14ac:dyDescent="0.2">
      <c r="H2" s="252"/>
      <c r="I2" s="715" t="s">
        <v>395</v>
      </c>
      <c r="J2" s="254">
        <v>3</v>
      </c>
    </row>
    <row r="3" spans="1:10" x14ac:dyDescent="0.2">
      <c r="H3" s="252"/>
      <c r="I3" s="715" t="s">
        <v>396</v>
      </c>
      <c r="J3" s="254" t="s">
        <v>2458</v>
      </c>
    </row>
    <row r="4" spans="1:10" x14ac:dyDescent="0.2">
      <c r="H4" s="252"/>
      <c r="I4" s="715" t="s">
        <v>397</v>
      </c>
      <c r="J4" s="254" t="s">
        <v>2407</v>
      </c>
    </row>
    <row r="5" spans="1:10" x14ac:dyDescent="0.2">
      <c r="H5" s="252"/>
      <c r="I5" s="715" t="s">
        <v>398</v>
      </c>
      <c r="J5" s="255">
        <v>36</v>
      </c>
    </row>
    <row r="6" spans="1:10" x14ac:dyDescent="0.2">
      <c r="H6" s="252"/>
      <c r="I6" s="715"/>
      <c r="J6" s="253"/>
    </row>
    <row r="7" spans="1:10" x14ac:dyDescent="0.2">
      <c r="H7" s="252"/>
      <c r="I7" s="715" t="s">
        <v>399</v>
      </c>
      <c r="J7" s="1836" t="s">
        <v>2459</v>
      </c>
    </row>
    <row r="8" spans="1:10" x14ac:dyDescent="0.2">
      <c r="I8" s="1491"/>
    </row>
    <row r="9" spans="1:10" ht="18" x14ac:dyDescent="0.25">
      <c r="A9" s="1940" t="s">
        <v>2444</v>
      </c>
      <c r="B9" s="1940"/>
      <c r="C9" s="1940"/>
      <c r="D9" s="1940"/>
      <c r="E9" s="1940"/>
      <c r="F9" s="1940"/>
      <c r="G9" s="1940"/>
      <c r="H9" s="1940"/>
      <c r="I9" s="1940"/>
      <c r="J9" s="1940"/>
    </row>
    <row r="10" spans="1:10" ht="18" x14ac:dyDescent="0.25">
      <c r="A10" s="1940" t="s">
        <v>52</v>
      </c>
      <c r="B10" s="1940"/>
      <c r="C10" s="1940"/>
      <c r="D10" s="1940"/>
      <c r="E10" s="1940"/>
      <c r="F10" s="1940"/>
      <c r="G10" s="1940"/>
      <c r="H10" s="1940"/>
      <c r="I10" s="1940"/>
      <c r="J10" s="1940"/>
    </row>
    <row r="11" spans="1:10" ht="13.5" thickBot="1" x14ac:dyDescent="0.25"/>
    <row r="12" spans="1:10" x14ac:dyDescent="0.2">
      <c r="A12" s="716" t="s">
        <v>51</v>
      </c>
      <c r="B12" s="717" t="s">
        <v>131</v>
      </c>
      <c r="C12" s="1799" t="s">
        <v>405</v>
      </c>
      <c r="D12" s="1502" t="str">
        <f>H13-3 &amp; " Actual"</f>
        <v>2011 Actual</v>
      </c>
      <c r="E12" s="1502" t="str">
        <f>H13-2 &amp; " Actual"</f>
        <v>2012 Actual</v>
      </c>
      <c r="F12" s="1519" t="str">
        <f>H13-1 &amp; " Actual" &amp; CHAR(178)</f>
        <v>2013 Actual²</v>
      </c>
      <c r="G12" s="1793" t="str">
        <f>"Actual Year" &amp; CHAR(178)</f>
        <v>Actual Year²</v>
      </c>
      <c r="H12" s="1519" t="str">
        <f>"Actual Year" &amp; CHAR(178)</f>
        <v>Actual Year²</v>
      </c>
      <c r="I12" s="1499" t="str">
        <f>"Bridge Year" &amp; CHAR(178)</f>
        <v>Bridge Year²</v>
      </c>
      <c r="J12" s="718" t="s">
        <v>407</v>
      </c>
    </row>
    <row r="13" spans="1:10" x14ac:dyDescent="0.2">
      <c r="A13" s="719"/>
      <c r="B13" s="720"/>
      <c r="C13" s="1800" t="s">
        <v>2349</v>
      </c>
      <c r="D13" s="721">
        <v>2011</v>
      </c>
      <c r="E13" s="721">
        <v>2012</v>
      </c>
      <c r="F13" s="721">
        <v>2013</v>
      </c>
      <c r="G13" s="722">
        <v>2013</v>
      </c>
      <c r="H13" s="722">
        <v>2014</v>
      </c>
      <c r="I13" s="722">
        <f>BridgeYear</f>
        <v>2015</v>
      </c>
      <c r="J13" s="723">
        <f>TestYear</f>
        <v>2016</v>
      </c>
    </row>
    <row r="14" spans="1:10" x14ac:dyDescent="0.2">
      <c r="A14" s="719"/>
      <c r="B14" s="724" t="s">
        <v>150</v>
      </c>
      <c r="C14" s="259" t="s">
        <v>151</v>
      </c>
      <c r="D14" s="259" t="s">
        <v>151</v>
      </c>
      <c r="E14" s="259" t="s">
        <v>151</v>
      </c>
      <c r="F14" s="259" t="s">
        <v>151</v>
      </c>
      <c r="G14" s="259" t="s">
        <v>152</v>
      </c>
      <c r="H14" s="259" t="s">
        <v>152</v>
      </c>
      <c r="I14" s="725" t="s">
        <v>152</v>
      </c>
      <c r="J14" s="726" t="s">
        <v>152</v>
      </c>
    </row>
    <row r="15" spans="1:10" x14ac:dyDescent="0.2">
      <c r="A15" s="727">
        <v>4235</v>
      </c>
      <c r="B15" s="728" t="s">
        <v>53</v>
      </c>
      <c r="C15" s="356">
        <v>403492</v>
      </c>
      <c r="D15" s="356">
        <v>520106</v>
      </c>
      <c r="E15" s="356">
        <v>490084</v>
      </c>
      <c r="F15" s="356">
        <v>651385</v>
      </c>
      <c r="G15" s="356">
        <v>651385</v>
      </c>
      <c r="H15" s="356">
        <v>640410</v>
      </c>
      <c r="I15" s="729">
        <f>366030+13838+219107+926+1575+77355</f>
        <v>678831</v>
      </c>
      <c r="J15" s="730">
        <f>384332+14529+232223+750+2500+81223-1</f>
        <v>715556</v>
      </c>
    </row>
    <row r="16" spans="1:10" x14ac:dyDescent="0.2">
      <c r="A16" s="727">
        <v>4225</v>
      </c>
      <c r="B16" s="728" t="s">
        <v>54</v>
      </c>
      <c r="C16" s="356">
        <v>156670</v>
      </c>
      <c r="D16" s="356">
        <v>161220</v>
      </c>
      <c r="E16" s="356">
        <v>170412</v>
      </c>
      <c r="F16" s="356">
        <v>197390</v>
      </c>
      <c r="G16" s="356">
        <v>197390</v>
      </c>
      <c r="H16" s="356">
        <v>174673.44</v>
      </c>
      <c r="I16" s="729">
        <v>169520</v>
      </c>
      <c r="J16" s="730">
        <v>177995</v>
      </c>
    </row>
    <row r="17" spans="1:10" x14ac:dyDescent="0.2">
      <c r="A17" s="727" t="s">
        <v>2191</v>
      </c>
      <c r="B17" s="728" t="s">
        <v>55</v>
      </c>
      <c r="C17" s="356">
        <v>36869</v>
      </c>
      <c r="D17" s="356">
        <v>31276</v>
      </c>
      <c r="E17" s="356">
        <v>26548</v>
      </c>
      <c r="F17" s="356">
        <v>23215</v>
      </c>
      <c r="G17" s="356">
        <v>23215</v>
      </c>
      <c r="H17" s="356">
        <v>21891.599999999999</v>
      </c>
      <c r="I17" s="729">
        <f>6459+3690+10802+135+246</f>
        <v>21332</v>
      </c>
      <c r="J17" s="730">
        <f>6782+3875+11342+142+258</f>
        <v>22399</v>
      </c>
    </row>
    <row r="18" spans="1:10" x14ac:dyDescent="0.2">
      <c r="A18" s="731">
        <v>4210</v>
      </c>
      <c r="B18" s="1684" t="s">
        <v>2192</v>
      </c>
      <c r="C18" s="356">
        <v>135213</v>
      </c>
      <c r="D18" s="356">
        <v>150186</v>
      </c>
      <c r="E18" s="356">
        <v>150408</v>
      </c>
      <c r="F18" s="356">
        <v>151415</v>
      </c>
      <c r="G18" s="356">
        <v>151415</v>
      </c>
      <c r="H18" s="356">
        <v>150118.92000000001</v>
      </c>
      <c r="I18" s="729">
        <v>150720</v>
      </c>
      <c r="J18" s="730">
        <v>152227</v>
      </c>
    </row>
    <row r="19" spans="1:10" x14ac:dyDescent="0.2">
      <c r="A19" s="731">
        <v>4215</v>
      </c>
      <c r="B19" s="1684" t="s">
        <v>2295</v>
      </c>
      <c r="C19" s="356">
        <v>75804</v>
      </c>
      <c r="D19" s="356"/>
      <c r="E19" s="356"/>
      <c r="F19" s="356"/>
      <c r="G19" s="356"/>
      <c r="H19" s="356"/>
      <c r="I19" s="729">
        <v>100000</v>
      </c>
      <c r="J19" s="730">
        <v>108828</v>
      </c>
    </row>
    <row r="20" spans="1:10" x14ac:dyDescent="0.2">
      <c r="A20" s="731">
        <v>4355</v>
      </c>
      <c r="B20" s="1684" t="s">
        <v>2193</v>
      </c>
      <c r="C20" s="356">
        <v>6250</v>
      </c>
      <c r="D20" s="356">
        <v>1593</v>
      </c>
      <c r="E20" s="356">
        <v>2012</v>
      </c>
      <c r="F20" s="356">
        <v>25000</v>
      </c>
      <c r="G20" s="356">
        <v>25000</v>
      </c>
      <c r="H20" s="356">
        <v>1200</v>
      </c>
      <c r="I20" s="729">
        <v>15000</v>
      </c>
      <c r="J20" s="730">
        <v>7500</v>
      </c>
    </row>
    <row r="21" spans="1:10" x14ac:dyDescent="0.2">
      <c r="A21" s="731">
        <v>4390</v>
      </c>
      <c r="B21" s="1684" t="s">
        <v>2194</v>
      </c>
      <c r="C21" s="356">
        <v>600101</v>
      </c>
      <c r="D21" s="356">
        <v>598637</v>
      </c>
      <c r="E21" s="356">
        <v>539016</v>
      </c>
      <c r="F21" s="356">
        <v>554153</v>
      </c>
      <c r="G21" s="356">
        <v>554153</v>
      </c>
      <c r="H21" s="356">
        <v>613863.82999999996</v>
      </c>
      <c r="I21" s="729">
        <f>583970+17043+2000+4433+102+3828</f>
        <v>611376</v>
      </c>
      <c r="J21" s="730">
        <f>617536+17895+2000+4654+3828</f>
        <v>645913</v>
      </c>
    </row>
    <row r="22" spans="1:10" ht="25.5" x14ac:dyDescent="0.2">
      <c r="A22" s="731">
        <v>4375</v>
      </c>
      <c r="B22" s="1685" t="s">
        <v>2195</v>
      </c>
      <c r="C22" s="356">
        <v>0</v>
      </c>
      <c r="D22" s="356">
        <v>527378</v>
      </c>
      <c r="E22" s="356">
        <v>443399</v>
      </c>
      <c r="F22" s="356">
        <v>320525</v>
      </c>
      <c r="G22" s="356">
        <v>320525</v>
      </c>
      <c r="H22" s="356">
        <v>920720.97</v>
      </c>
      <c r="I22" s="729">
        <v>0</v>
      </c>
      <c r="J22" s="730">
        <v>0</v>
      </c>
    </row>
    <row r="23" spans="1:10" ht="25.5" x14ac:dyDescent="0.2">
      <c r="A23" s="731">
        <v>4380</v>
      </c>
      <c r="B23" s="1685" t="s">
        <v>2196</v>
      </c>
      <c r="C23" s="356">
        <v>0</v>
      </c>
      <c r="D23" s="356">
        <v>-412129</v>
      </c>
      <c r="E23" s="356">
        <v>-429875</v>
      </c>
      <c r="F23" s="356">
        <v>-300681</v>
      </c>
      <c r="G23" s="356">
        <v>-300681</v>
      </c>
      <c r="H23" s="356">
        <v>-920720.96999999986</v>
      </c>
      <c r="I23" s="729">
        <v>0</v>
      </c>
      <c r="J23" s="730">
        <v>0</v>
      </c>
    </row>
    <row r="24" spans="1:10" x14ac:dyDescent="0.2">
      <c r="A24" s="731">
        <v>4405</v>
      </c>
      <c r="B24" s="1684" t="s">
        <v>2197</v>
      </c>
      <c r="C24" s="356">
        <v>45000</v>
      </c>
      <c r="D24" s="356">
        <v>38539</v>
      </c>
      <c r="E24" s="356">
        <v>64159</v>
      </c>
      <c r="F24" s="356">
        <v>89345</v>
      </c>
      <c r="G24" s="356">
        <v>89345</v>
      </c>
      <c r="H24" s="356">
        <v>123861.38</v>
      </c>
      <c r="I24" s="729">
        <f>67064+46253-4</f>
        <v>113313</v>
      </c>
      <c r="J24" s="730">
        <f>70417+30000</f>
        <v>100417</v>
      </c>
    </row>
    <row r="25" spans="1:10" x14ac:dyDescent="0.2">
      <c r="A25" s="731"/>
      <c r="B25" s="732"/>
      <c r="C25" s="356"/>
      <c r="D25" s="356"/>
      <c r="E25" s="356"/>
      <c r="F25" s="356"/>
      <c r="G25" s="356"/>
      <c r="H25" s="356"/>
      <c r="I25" s="729"/>
      <c r="J25" s="730"/>
    </row>
    <row r="26" spans="1:10" ht="7.5" customHeight="1" x14ac:dyDescent="0.2">
      <c r="A26" s="2177"/>
      <c r="B26" s="2178"/>
      <c r="C26" s="2178"/>
      <c r="D26" s="2178"/>
      <c r="E26" s="2178"/>
      <c r="F26" s="2178"/>
      <c r="G26" s="2178"/>
      <c r="H26" s="2178"/>
      <c r="I26" s="2179"/>
      <c r="J26" s="2180"/>
    </row>
    <row r="27" spans="1:10" x14ac:dyDescent="0.2">
      <c r="A27" s="2175" t="s">
        <v>53</v>
      </c>
      <c r="B27" s="2176"/>
      <c r="C27" s="733">
        <f t="shared" ref="C27:J28" si="0">C15</f>
        <v>403492</v>
      </c>
      <c r="D27" s="733">
        <f t="shared" si="0"/>
        <v>520106</v>
      </c>
      <c r="E27" s="733">
        <f t="shared" si="0"/>
        <v>490084</v>
      </c>
      <c r="F27" s="733">
        <f t="shared" si="0"/>
        <v>651385</v>
      </c>
      <c r="G27" s="733">
        <f t="shared" si="0"/>
        <v>651385</v>
      </c>
      <c r="H27" s="733">
        <f t="shared" si="0"/>
        <v>640410</v>
      </c>
      <c r="I27" s="733">
        <f t="shared" si="0"/>
        <v>678831</v>
      </c>
      <c r="J27" s="733">
        <f t="shared" si="0"/>
        <v>715556</v>
      </c>
    </row>
    <row r="28" spans="1:10" x14ac:dyDescent="0.2">
      <c r="A28" s="2175" t="s">
        <v>54</v>
      </c>
      <c r="B28" s="2176"/>
      <c r="C28" s="734">
        <f t="shared" si="0"/>
        <v>156670</v>
      </c>
      <c r="D28" s="734">
        <f t="shared" si="0"/>
        <v>161220</v>
      </c>
      <c r="E28" s="734">
        <f t="shared" si="0"/>
        <v>170412</v>
      </c>
      <c r="F28" s="734">
        <f t="shared" si="0"/>
        <v>197390</v>
      </c>
      <c r="G28" s="734">
        <f t="shared" si="0"/>
        <v>197390</v>
      </c>
      <c r="H28" s="734">
        <f t="shared" si="0"/>
        <v>174673.44</v>
      </c>
      <c r="I28" s="734">
        <f t="shared" si="0"/>
        <v>169520</v>
      </c>
      <c r="J28" s="735">
        <f t="shared" si="0"/>
        <v>177995</v>
      </c>
    </row>
    <row r="29" spans="1:10" x14ac:dyDescent="0.2">
      <c r="A29" s="2175" t="s">
        <v>301</v>
      </c>
      <c r="B29" s="2176"/>
      <c r="C29" s="1686">
        <f>+C17+C18+C19</f>
        <v>247886</v>
      </c>
      <c r="D29" s="1686">
        <f t="shared" ref="D29:H29" si="1">+D17+D18</f>
        <v>181462</v>
      </c>
      <c r="E29" s="1686">
        <f t="shared" si="1"/>
        <v>176956</v>
      </c>
      <c r="F29" s="1686">
        <f t="shared" si="1"/>
        <v>174630</v>
      </c>
      <c r="G29" s="1686">
        <f t="shared" si="1"/>
        <v>174630</v>
      </c>
      <c r="H29" s="1686">
        <f t="shared" si="1"/>
        <v>172010.52000000002</v>
      </c>
      <c r="I29" s="1686">
        <f>+I17+I18</f>
        <v>172052</v>
      </c>
      <c r="J29" s="1686">
        <f>+J17+J18+J19</f>
        <v>283454</v>
      </c>
    </row>
    <row r="30" spans="1:10" ht="13.5" thickBot="1" x14ac:dyDescent="0.25">
      <c r="A30" s="2182" t="s">
        <v>302</v>
      </c>
      <c r="B30" s="2183"/>
      <c r="C30" s="1687">
        <f>+C20+C21+C22+C23+C24</f>
        <v>651351</v>
      </c>
      <c r="D30" s="1687">
        <f>+D20+D21+D22+D23+D24</f>
        <v>754018</v>
      </c>
      <c r="E30" s="1687">
        <f t="shared" ref="E30:J30" si="2">+E20+E21+E22+E23+E24</f>
        <v>618711</v>
      </c>
      <c r="F30" s="1687">
        <f t="shared" si="2"/>
        <v>688342</v>
      </c>
      <c r="G30" s="1687">
        <f t="shared" si="2"/>
        <v>688342</v>
      </c>
      <c r="H30" s="1687">
        <f t="shared" si="2"/>
        <v>738925.21</v>
      </c>
      <c r="I30" s="1687">
        <f>+I20+I21+I22+I23+I24+I19</f>
        <v>839689</v>
      </c>
      <c r="J30" s="1687">
        <f t="shared" si="2"/>
        <v>753830</v>
      </c>
    </row>
    <row r="31" spans="1:10" ht="14.25" thickTop="1" thickBot="1" x14ac:dyDescent="0.25">
      <c r="A31" s="2184" t="s">
        <v>388</v>
      </c>
      <c r="B31" s="2185"/>
      <c r="C31" s="425">
        <f t="shared" ref="C31" si="3">SUM(C27:C30)</f>
        <v>1459399</v>
      </c>
      <c r="D31" s="425">
        <f t="shared" ref="D31:J31" si="4">SUM(D27:D30)</f>
        <v>1616806</v>
      </c>
      <c r="E31" s="425">
        <f t="shared" si="4"/>
        <v>1456163</v>
      </c>
      <c r="F31" s="425">
        <f t="shared" si="4"/>
        <v>1711747</v>
      </c>
      <c r="G31" s="425">
        <f t="shared" ref="G31" si="5">SUM(G27:G30)</f>
        <v>1711747</v>
      </c>
      <c r="H31" s="425">
        <f t="shared" si="4"/>
        <v>1726019.17</v>
      </c>
      <c r="I31" s="425">
        <f t="shared" si="4"/>
        <v>1860092</v>
      </c>
      <c r="J31" s="738">
        <f t="shared" si="4"/>
        <v>1930835</v>
      </c>
    </row>
    <row r="33" spans="1:10" x14ac:dyDescent="0.2">
      <c r="A33" s="580" t="s">
        <v>324</v>
      </c>
      <c r="B33" s="252"/>
      <c r="C33" s="252"/>
      <c r="D33" s="580" t="s">
        <v>156</v>
      </c>
      <c r="I33" s="1897"/>
      <c r="J33" s="1897"/>
    </row>
    <row r="34" spans="1:10" x14ac:dyDescent="0.2">
      <c r="A34" s="2181" t="s">
        <v>155</v>
      </c>
      <c r="B34" s="2181"/>
      <c r="C34" s="1791"/>
      <c r="D34" s="1491">
        <v>4235</v>
      </c>
    </row>
    <row r="35" spans="1:10" x14ac:dyDescent="0.2">
      <c r="A35" s="2181" t="s">
        <v>157</v>
      </c>
      <c r="B35" s="2181"/>
      <c r="C35" s="1791"/>
      <c r="D35" s="1491">
        <v>4225</v>
      </c>
    </row>
    <row r="36" spans="1:10" x14ac:dyDescent="0.2">
      <c r="A36" s="2181" t="s">
        <v>158</v>
      </c>
      <c r="B36" s="2181"/>
      <c r="C36" s="1791"/>
      <c r="D36" s="2181" t="s">
        <v>249</v>
      </c>
      <c r="E36" s="2181"/>
      <c r="F36" s="2181"/>
      <c r="G36" s="2181"/>
      <c r="H36" s="2181"/>
      <c r="I36" s="2181"/>
      <c r="J36" s="2181"/>
    </row>
    <row r="37" spans="1:10" x14ac:dyDescent="0.2">
      <c r="A37" s="2181" t="s">
        <v>159</v>
      </c>
      <c r="B37" s="2181"/>
      <c r="C37" s="1791"/>
      <c r="D37" s="1943" t="s">
        <v>119</v>
      </c>
      <c r="E37" s="1943"/>
      <c r="F37" s="1943"/>
      <c r="G37" s="1943"/>
      <c r="H37" s="1943"/>
      <c r="I37" s="1943"/>
      <c r="J37" s="1943"/>
    </row>
    <row r="38" spans="1:10" x14ac:dyDescent="0.2">
      <c r="D38" s="1943"/>
      <c r="E38" s="1943"/>
      <c r="F38" s="1943"/>
      <c r="G38" s="1943"/>
      <c r="H38" s="1943"/>
      <c r="I38" s="1943"/>
      <c r="J38" s="1943"/>
    </row>
    <row r="40" spans="1:10" x14ac:dyDescent="0.2">
      <c r="A40" s="252" t="s">
        <v>303</v>
      </c>
      <c r="B40" s="264"/>
      <c r="C40" s="264"/>
      <c r="D40" s="1497"/>
      <c r="E40" s="1497"/>
      <c r="F40" s="1497"/>
      <c r="G40" s="1792"/>
      <c r="H40" s="1497"/>
      <c r="I40" s="1497"/>
      <c r="J40" s="1497"/>
    </row>
    <row r="41" spans="1:10" x14ac:dyDescent="0.2">
      <c r="A41" s="2174"/>
      <c r="B41" s="2174"/>
      <c r="C41" s="2174"/>
      <c r="D41" s="2174"/>
      <c r="E41" s="2174"/>
      <c r="F41" s="2174"/>
      <c r="G41" s="2174"/>
      <c r="H41" s="2174"/>
      <c r="I41" s="2174"/>
      <c r="J41" s="2174"/>
    </row>
    <row r="42" spans="1:10" ht="12.75" customHeight="1" x14ac:dyDescent="0.2">
      <c r="A42" s="739" t="s">
        <v>304</v>
      </c>
      <c r="B42" s="740"/>
      <c r="C42" s="740"/>
      <c r="D42" s="740"/>
      <c r="E42" s="740"/>
      <c r="F42" s="740"/>
      <c r="G42" s="740"/>
      <c r="H42" s="740"/>
      <c r="I42" s="740"/>
      <c r="J42" s="740"/>
    </row>
    <row r="43" spans="1:10" x14ac:dyDescent="0.2">
      <c r="A43" s="740"/>
      <c r="B43" s="740"/>
      <c r="C43" s="740"/>
      <c r="D43" s="740"/>
      <c r="E43" s="740"/>
      <c r="F43" s="740"/>
      <c r="G43" s="740"/>
      <c r="H43" s="740"/>
      <c r="I43" s="740"/>
      <c r="J43" s="740"/>
    </row>
    <row r="44" spans="1:10" x14ac:dyDescent="0.2">
      <c r="A44" s="2188" t="s">
        <v>305</v>
      </c>
      <c r="B44" s="2188"/>
      <c r="C44" s="2188"/>
      <c r="D44" s="2188"/>
      <c r="E44" s="2188"/>
      <c r="F44" s="2188"/>
      <c r="G44" s="2188"/>
      <c r="H44" s="2188"/>
      <c r="I44" s="2188"/>
      <c r="J44" s="2188"/>
    </row>
    <row r="45" spans="1:10" x14ac:dyDescent="0.2">
      <c r="A45" s="2188"/>
      <c r="B45" s="2188"/>
      <c r="C45" s="2188"/>
      <c r="D45" s="2188"/>
      <c r="E45" s="2188"/>
      <c r="F45" s="2188"/>
      <c r="G45" s="2188"/>
      <c r="H45" s="2188"/>
      <c r="I45" s="2188"/>
      <c r="J45" s="2188"/>
    </row>
    <row r="48" spans="1:10" ht="13.5" thickBot="1" x14ac:dyDescent="0.25">
      <c r="A48" s="252" t="s">
        <v>2198</v>
      </c>
    </row>
    <row r="49" spans="1:10" x14ac:dyDescent="0.2">
      <c r="A49" s="741"/>
      <c r="B49" s="742"/>
      <c r="C49" s="742"/>
      <c r="D49" s="1502" t="str">
        <f t="shared" ref="D49:J49" si="6">D12</f>
        <v>2011 Actual</v>
      </c>
      <c r="E49" s="1502" t="str">
        <f t="shared" si="6"/>
        <v>2012 Actual</v>
      </c>
      <c r="F49" s="1502" t="str">
        <f t="shared" si="6"/>
        <v>2013 Actual²</v>
      </c>
      <c r="G49" s="1793" t="str">
        <f t="shared" si="6"/>
        <v>Actual Year²</v>
      </c>
      <c r="H49" s="1502" t="str">
        <f t="shared" si="6"/>
        <v>Actual Year²</v>
      </c>
      <c r="I49" s="1502" t="str">
        <f t="shared" si="6"/>
        <v>Bridge Year²</v>
      </c>
      <c r="J49" s="743" t="str">
        <f t="shared" si="6"/>
        <v>Test Year</v>
      </c>
    </row>
    <row r="50" spans="1:10" x14ac:dyDescent="0.2">
      <c r="A50" s="744"/>
      <c r="B50" s="745"/>
      <c r="C50" s="745"/>
      <c r="D50" s="746">
        <v>2011</v>
      </c>
      <c r="E50" s="746">
        <v>2012</v>
      </c>
      <c r="F50" s="746">
        <v>2013</v>
      </c>
      <c r="G50" s="746">
        <f>G13</f>
        <v>2013</v>
      </c>
      <c r="H50" s="746">
        <f>H13</f>
        <v>2014</v>
      </c>
      <c r="I50" s="746">
        <f>I13</f>
        <v>2015</v>
      </c>
      <c r="J50" s="747">
        <f>J13</f>
        <v>2016</v>
      </c>
    </row>
    <row r="51" spans="1:10" x14ac:dyDescent="0.2">
      <c r="A51" s="2162" t="s">
        <v>150</v>
      </c>
      <c r="B51" s="2163"/>
      <c r="C51" s="1798"/>
      <c r="D51" s="748" t="str">
        <f t="shared" ref="D51:J51" si="7">IF(D14=0, "", D14)</f>
        <v>CGAAP</v>
      </c>
      <c r="E51" s="748" t="str">
        <f t="shared" si="7"/>
        <v>CGAAP</v>
      </c>
      <c r="F51" s="748" t="str">
        <f t="shared" si="7"/>
        <v>CGAAP</v>
      </c>
      <c r="G51" s="748" t="str">
        <f t="shared" si="7"/>
        <v>MIFRS</v>
      </c>
      <c r="H51" s="748" t="str">
        <f t="shared" si="7"/>
        <v>MIFRS</v>
      </c>
      <c r="I51" s="748" t="str">
        <f t="shared" si="7"/>
        <v>MIFRS</v>
      </c>
      <c r="J51" s="748" t="str">
        <f t="shared" si="7"/>
        <v>MIFRS</v>
      </c>
    </row>
    <row r="52" spans="1:10" x14ac:dyDescent="0.2">
      <c r="A52" s="1689" t="s">
        <v>2205</v>
      </c>
      <c r="B52" s="1690"/>
      <c r="C52" s="1786"/>
      <c r="D52" s="1535">
        <v>10299</v>
      </c>
      <c r="E52" s="1535">
        <v>8477</v>
      </c>
      <c r="F52" s="1535">
        <v>7228</v>
      </c>
      <c r="G52" s="1535">
        <v>7228</v>
      </c>
      <c r="H52" s="1535">
        <v>6715</v>
      </c>
      <c r="I52" s="1535">
        <v>6459</v>
      </c>
      <c r="J52" s="1691">
        <v>6782</v>
      </c>
    </row>
    <row r="53" spans="1:10" x14ac:dyDescent="0.2">
      <c r="A53" s="1689" t="s">
        <v>2206</v>
      </c>
      <c r="B53" s="1690"/>
      <c r="C53" s="1786"/>
      <c r="D53" s="1535">
        <v>3120</v>
      </c>
      <c r="E53" s="1535">
        <v>3300</v>
      </c>
      <c r="F53" s="1535">
        <v>3300</v>
      </c>
      <c r="G53" s="1535">
        <v>3300</v>
      </c>
      <c r="H53" s="1535">
        <v>3400</v>
      </c>
      <c r="I53" s="1535">
        <v>3690</v>
      </c>
      <c r="J53" s="1691">
        <v>3875</v>
      </c>
    </row>
    <row r="54" spans="1:10" x14ac:dyDescent="0.2">
      <c r="A54" s="1689" t="s">
        <v>2207</v>
      </c>
      <c r="B54" s="1690"/>
      <c r="C54" s="1786"/>
      <c r="D54" s="1535">
        <v>17178</v>
      </c>
      <c r="E54" s="1535">
        <v>14165</v>
      </c>
      <c r="F54" s="1535">
        <v>12098</v>
      </c>
      <c r="G54" s="1535">
        <v>12098</v>
      </c>
      <c r="H54" s="1535">
        <v>11255</v>
      </c>
      <c r="I54" s="1535">
        <v>10802</v>
      </c>
      <c r="J54" s="1691">
        <v>11342</v>
      </c>
    </row>
    <row r="55" spans="1:10" x14ac:dyDescent="0.2">
      <c r="A55" s="2160" t="s">
        <v>2208</v>
      </c>
      <c r="B55" s="2161"/>
      <c r="C55" s="1785"/>
      <c r="D55" s="1535">
        <v>244</v>
      </c>
      <c r="E55" s="1535">
        <v>219</v>
      </c>
      <c r="F55" s="1535">
        <v>220</v>
      </c>
      <c r="G55" s="1535">
        <v>220</v>
      </c>
      <c r="H55" s="1535">
        <v>188</v>
      </c>
      <c r="I55" s="1535">
        <v>135</v>
      </c>
      <c r="J55" s="1691">
        <v>142</v>
      </c>
    </row>
    <row r="56" spans="1:10" x14ac:dyDescent="0.2">
      <c r="A56" s="2190" t="s">
        <v>2209</v>
      </c>
      <c r="B56" s="2167"/>
      <c r="C56" s="1787"/>
      <c r="D56" s="1692">
        <v>435</v>
      </c>
      <c r="E56" s="1692">
        <v>387</v>
      </c>
      <c r="F56" s="1692">
        <v>369</v>
      </c>
      <c r="G56" s="1692">
        <v>369</v>
      </c>
      <c r="H56" s="1535">
        <v>335</v>
      </c>
      <c r="I56" s="1693">
        <v>246</v>
      </c>
      <c r="J56" s="1691">
        <v>258</v>
      </c>
    </row>
    <row r="57" spans="1:10" ht="13.5" thickBot="1" x14ac:dyDescent="0.25">
      <c r="A57" s="2158" t="s">
        <v>388</v>
      </c>
      <c r="B57" s="2159"/>
      <c r="C57" s="1784"/>
      <c r="D57" s="425">
        <f t="shared" ref="D57:J57" si="8">SUM(D52:D56)</f>
        <v>31276</v>
      </c>
      <c r="E57" s="425">
        <f t="shared" si="8"/>
        <v>26548</v>
      </c>
      <c r="F57" s="425">
        <f t="shared" si="8"/>
        <v>23215</v>
      </c>
      <c r="G57" s="425">
        <f t="shared" ref="G57" si="9">SUM(G52:G56)</f>
        <v>23215</v>
      </c>
      <c r="H57" s="425">
        <f t="shared" si="8"/>
        <v>21893</v>
      </c>
      <c r="I57" s="425">
        <f t="shared" si="8"/>
        <v>21332</v>
      </c>
      <c r="J57" s="755">
        <f t="shared" si="8"/>
        <v>22399</v>
      </c>
    </row>
    <row r="59" spans="1:10" ht="13.5" thickBot="1" x14ac:dyDescent="0.25">
      <c r="A59" s="252" t="s">
        <v>2199</v>
      </c>
    </row>
    <row r="60" spans="1:10" x14ac:dyDescent="0.2">
      <c r="A60" s="741"/>
      <c r="B60" s="742"/>
      <c r="C60" s="742"/>
      <c r="D60" s="1605" t="str">
        <f>+D49</f>
        <v>2011 Actual</v>
      </c>
      <c r="E60" s="1605" t="str">
        <f t="shared" ref="E60:J60" si="10">+E49</f>
        <v>2012 Actual</v>
      </c>
      <c r="F60" s="1605" t="str">
        <f t="shared" si="10"/>
        <v>2013 Actual²</v>
      </c>
      <c r="G60" s="1793" t="str">
        <f t="shared" ref="G60" si="11">+G49</f>
        <v>Actual Year²</v>
      </c>
      <c r="H60" s="1605" t="str">
        <f t="shared" si="10"/>
        <v>Actual Year²</v>
      </c>
      <c r="I60" s="1605" t="str">
        <f t="shared" si="10"/>
        <v>Bridge Year²</v>
      </c>
      <c r="J60" s="1605" t="str">
        <f t="shared" si="10"/>
        <v>Test Year</v>
      </c>
    </row>
    <row r="61" spans="1:10" x14ac:dyDescent="0.2">
      <c r="A61" s="744"/>
      <c r="B61" s="745"/>
      <c r="C61" s="745"/>
      <c r="D61" s="746">
        <f>+D50</f>
        <v>2011</v>
      </c>
      <c r="E61" s="746">
        <f t="shared" ref="E61:J61" si="12">+E50</f>
        <v>2012</v>
      </c>
      <c r="F61" s="746">
        <f t="shared" si="12"/>
        <v>2013</v>
      </c>
      <c r="G61" s="746">
        <f t="shared" ref="G61" si="13">+G50</f>
        <v>2013</v>
      </c>
      <c r="H61" s="746">
        <f t="shared" si="12"/>
        <v>2014</v>
      </c>
      <c r="I61" s="746">
        <f t="shared" si="12"/>
        <v>2015</v>
      </c>
      <c r="J61" s="746">
        <f t="shared" si="12"/>
        <v>2016</v>
      </c>
    </row>
    <row r="62" spans="1:10" x14ac:dyDescent="0.2">
      <c r="A62" s="2162" t="s">
        <v>150</v>
      </c>
      <c r="B62" s="2163"/>
      <c r="C62" s="1798"/>
      <c r="D62" s="748" t="str">
        <f>+D51</f>
        <v>CGAAP</v>
      </c>
      <c r="E62" s="748" t="str">
        <f t="shared" ref="E62:J62" si="14">+E51</f>
        <v>CGAAP</v>
      </c>
      <c r="F62" s="748" t="str">
        <f t="shared" si="14"/>
        <v>CGAAP</v>
      </c>
      <c r="G62" s="748" t="str">
        <f t="shared" ref="G62" si="15">+G51</f>
        <v>MIFRS</v>
      </c>
      <c r="H62" s="748" t="str">
        <f t="shared" si="14"/>
        <v>MIFRS</v>
      </c>
      <c r="I62" s="748" t="str">
        <f t="shared" si="14"/>
        <v>MIFRS</v>
      </c>
      <c r="J62" s="748" t="str">
        <f t="shared" si="14"/>
        <v>MIFRS</v>
      </c>
    </row>
    <row r="63" spans="1:10" x14ac:dyDescent="0.2">
      <c r="A63" s="2164" t="s">
        <v>2210</v>
      </c>
      <c r="B63" s="2165"/>
      <c r="C63" s="1786"/>
      <c r="D63" s="1535">
        <v>150186</v>
      </c>
      <c r="E63" s="1535">
        <f t="shared" ref="E63:J63" si="16">+E18</f>
        <v>150408</v>
      </c>
      <c r="F63" s="1535">
        <f t="shared" si="16"/>
        <v>151415</v>
      </c>
      <c r="G63" s="1535">
        <f t="shared" si="16"/>
        <v>151415</v>
      </c>
      <c r="H63" s="1535">
        <f t="shared" si="16"/>
        <v>150118.92000000001</v>
      </c>
      <c r="I63" s="1535">
        <f t="shared" si="16"/>
        <v>150720</v>
      </c>
      <c r="J63" s="1535">
        <f t="shared" si="16"/>
        <v>152227</v>
      </c>
    </row>
    <row r="64" spans="1:10" x14ac:dyDescent="0.2">
      <c r="A64" s="2172"/>
      <c r="B64" s="2173"/>
      <c r="C64" s="1790"/>
      <c r="D64" s="356"/>
      <c r="E64" s="356"/>
      <c r="F64" s="356"/>
      <c r="G64" s="356"/>
      <c r="H64" s="356"/>
      <c r="I64" s="749"/>
      <c r="J64" s="730"/>
    </row>
    <row r="65" spans="1:10" x14ac:dyDescent="0.2">
      <c r="A65" s="2170"/>
      <c r="B65" s="2171"/>
      <c r="C65" s="1789"/>
      <c r="D65" s="750"/>
      <c r="E65" s="750"/>
      <c r="F65" s="750"/>
      <c r="G65" s="750"/>
      <c r="H65" s="750"/>
      <c r="I65" s="751"/>
      <c r="J65" s="752"/>
    </row>
    <row r="66" spans="1:10" ht="14.25" x14ac:dyDescent="0.2">
      <c r="A66" s="2168" t="s">
        <v>132</v>
      </c>
      <c r="B66" s="2169"/>
      <c r="C66" s="1788"/>
      <c r="D66" s="356"/>
      <c r="E66" s="356"/>
      <c r="F66" s="356"/>
      <c r="G66" s="356"/>
      <c r="H66" s="356"/>
      <c r="I66" s="749"/>
      <c r="J66" s="730"/>
    </row>
    <row r="67" spans="1:10" ht="13.5" thickBot="1" x14ac:dyDescent="0.25">
      <c r="A67" s="2156"/>
      <c r="B67" s="2157"/>
      <c r="C67" s="1783"/>
      <c r="D67" s="418"/>
      <c r="E67" s="418"/>
      <c r="F67" s="418"/>
      <c r="G67" s="418"/>
      <c r="H67" s="418"/>
      <c r="I67" s="753"/>
      <c r="J67" s="754"/>
    </row>
    <row r="68" spans="1:10" ht="14.25" thickTop="1" thickBot="1" x14ac:dyDescent="0.25">
      <c r="A68" s="2158" t="s">
        <v>388</v>
      </c>
      <c r="B68" s="2159"/>
      <c r="C68" s="1784"/>
      <c r="D68" s="425">
        <f t="shared" ref="D68:J68" si="17">SUM(D63:D67)</f>
        <v>150186</v>
      </c>
      <c r="E68" s="425">
        <f t="shared" si="17"/>
        <v>150408</v>
      </c>
      <c r="F68" s="425">
        <f t="shared" si="17"/>
        <v>151415</v>
      </c>
      <c r="G68" s="425">
        <f t="shared" ref="G68" si="18">SUM(G63:G67)</f>
        <v>151415</v>
      </c>
      <c r="H68" s="425">
        <f t="shared" si="17"/>
        <v>150118.92000000001</v>
      </c>
      <c r="I68" s="425">
        <f t="shared" si="17"/>
        <v>150720</v>
      </c>
      <c r="J68" s="755">
        <f t="shared" si="17"/>
        <v>152227</v>
      </c>
    </row>
    <row r="70" spans="1:10" ht="13.5" thickBot="1" x14ac:dyDescent="0.25">
      <c r="A70" s="252" t="s">
        <v>2296</v>
      </c>
    </row>
    <row r="71" spans="1:10" x14ac:dyDescent="0.2">
      <c r="A71" s="741"/>
      <c r="B71" s="742"/>
      <c r="C71" s="742"/>
      <c r="D71" s="1673" t="str">
        <f>+D60</f>
        <v>2011 Actual</v>
      </c>
      <c r="E71" s="1673" t="str">
        <f t="shared" ref="E71:J71" si="19">+E60</f>
        <v>2012 Actual</v>
      </c>
      <c r="F71" s="1673" t="str">
        <f t="shared" si="19"/>
        <v>2013 Actual²</v>
      </c>
      <c r="G71" s="1793" t="str">
        <f t="shared" ref="G71" si="20">+G60</f>
        <v>Actual Year²</v>
      </c>
      <c r="H71" s="1673" t="str">
        <f t="shared" si="19"/>
        <v>Actual Year²</v>
      </c>
      <c r="I71" s="1673" t="str">
        <f t="shared" si="19"/>
        <v>Bridge Year²</v>
      </c>
      <c r="J71" s="1673" t="str">
        <f t="shared" si="19"/>
        <v>Test Year</v>
      </c>
    </row>
    <row r="72" spans="1:10" x14ac:dyDescent="0.2">
      <c r="A72" s="744"/>
      <c r="B72" s="745"/>
      <c r="C72" s="745"/>
      <c r="D72" s="746">
        <f>+D61</f>
        <v>2011</v>
      </c>
      <c r="E72" s="746">
        <f t="shared" ref="E72:J72" si="21">+E61</f>
        <v>2012</v>
      </c>
      <c r="F72" s="746">
        <f t="shared" si="21"/>
        <v>2013</v>
      </c>
      <c r="G72" s="746">
        <f t="shared" ref="G72" si="22">+G61</f>
        <v>2013</v>
      </c>
      <c r="H72" s="746">
        <f t="shared" si="21"/>
        <v>2014</v>
      </c>
      <c r="I72" s="746">
        <f t="shared" si="21"/>
        <v>2015</v>
      </c>
      <c r="J72" s="746">
        <f t="shared" si="21"/>
        <v>2016</v>
      </c>
    </row>
    <row r="73" spans="1:10" x14ac:dyDescent="0.2">
      <c r="A73" s="2162" t="s">
        <v>150</v>
      </c>
      <c r="B73" s="2163"/>
      <c r="C73" s="1798"/>
      <c r="D73" s="748" t="str">
        <f>+D62</f>
        <v>CGAAP</v>
      </c>
      <c r="E73" s="748" t="str">
        <f t="shared" ref="E73:J73" si="23">+E62</f>
        <v>CGAAP</v>
      </c>
      <c r="F73" s="748" t="str">
        <f t="shared" si="23"/>
        <v>CGAAP</v>
      </c>
      <c r="G73" s="748" t="str">
        <f t="shared" ref="G73" si="24">+G62</f>
        <v>MIFRS</v>
      </c>
      <c r="H73" s="748" t="str">
        <f t="shared" si="23"/>
        <v>MIFRS</v>
      </c>
      <c r="I73" s="748" t="str">
        <f t="shared" si="23"/>
        <v>MIFRS</v>
      </c>
      <c r="J73" s="748" t="str">
        <f t="shared" si="23"/>
        <v>MIFRS</v>
      </c>
    </row>
    <row r="74" spans="1:10" x14ac:dyDescent="0.2">
      <c r="A74" s="2164" t="s">
        <v>2297</v>
      </c>
      <c r="B74" s="2165"/>
      <c r="C74" s="1786"/>
      <c r="D74" s="1535"/>
      <c r="E74" s="1535"/>
      <c r="F74" s="1535"/>
      <c r="G74" s="1535"/>
      <c r="H74" s="1535"/>
      <c r="I74" s="1535"/>
      <c r="J74" s="1535">
        <f>+J19</f>
        <v>108828</v>
      </c>
    </row>
    <row r="75" spans="1:10" x14ac:dyDescent="0.2">
      <c r="A75" s="2172"/>
      <c r="B75" s="2173"/>
      <c r="C75" s="1790"/>
      <c r="D75" s="356"/>
      <c r="E75" s="356"/>
      <c r="F75" s="356"/>
      <c r="G75" s="356"/>
      <c r="H75" s="356"/>
      <c r="I75" s="749"/>
      <c r="J75" s="730"/>
    </row>
    <row r="76" spans="1:10" x14ac:dyDescent="0.2">
      <c r="A76" s="2170" t="s">
        <v>2340</v>
      </c>
      <c r="B76" s="2171"/>
      <c r="C76" s="1789"/>
      <c r="D76" s="750"/>
      <c r="E76" s="750"/>
      <c r="F76" s="750"/>
      <c r="G76" s="750"/>
      <c r="H76" s="750"/>
      <c r="I76" s="751"/>
      <c r="J76" s="752"/>
    </row>
    <row r="77" spans="1:10" ht="14.25" x14ac:dyDescent="0.2">
      <c r="A77" s="2168" t="s">
        <v>132</v>
      </c>
      <c r="B77" s="2169"/>
      <c r="C77" s="1788"/>
      <c r="D77" s="356"/>
      <c r="E77" s="356"/>
      <c r="F77" s="356"/>
      <c r="G77" s="356"/>
      <c r="H77" s="356"/>
      <c r="I77" s="749"/>
      <c r="J77" s="730"/>
    </row>
    <row r="78" spans="1:10" ht="13.5" thickBot="1" x14ac:dyDescent="0.25">
      <c r="A78" s="2156"/>
      <c r="B78" s="2157"/>
      <c r="C78" s="1783"/>
      <c r="D78" s="418"/>
      <c r="E78" s="418"/>
      <c r="F78" s="418"/>
      <c r="G78" s="418"/>
      <c r="H78" s="418"/>
      <c r="I78" s="753"/>
      <c r="J78" s="754"/>
    </row>
    <row r="79" spans="1:10" ht="14.25" thickTop="1" thickBot="1" x14ac:dyDescent="0.25">
      <c r="A79" s="2158" t="s">
        <v>388</v>
      </c>
      <c r="B79" s="2159"/>
      <c r="C79" s="1784"/>
      <c r="D79" s="425">
        <f t="shared" ref="D79:J79" si="25">SUM(D74:D78)</f>
        <v>0</v>
      </c>
      <c r="E79" s="425">
        <f t="shared" si="25"/>
        <v>0</v>
      </c>
      <c r="F79" s="425">
        <f t="shared" si="25"/>
        <v>0</v>
      </c>
      <c r="G79" s="425">
        <f t="shared" ref="G79" si="26">SUM(G74:G78)</f>
        <v>0</v>
      </c>
      <c r="H79" s="425">
        <f t="shared" si="25"/>
        <v>0</v>
      </c>
      <c r="I79" s="425">
        <f t="shared" si="25"/>
        <v>0</v>
      </c>
      <c r="J79" s="755">
        <f t="shared" si="25"/>
        <v>108828</v>
      </c>
    </row>
    <row r="80" spans="1:10" ht="13.5" thickBot="1" x14ac:dyDescent="0.25">
      <c r="A80" s="252" t="s">
        <v>2200</v>
      </c>
    </row>
    <row r="81" spans="1:10" x14ac:dyDescent="0.2">
      <c r="A81" s="741"/>
      <c r="B81" s="742"/>
      <c r="C81" s="742"/>
      <c r="D81" s="1605" t="str">
        <f>+D60</f>
        <v>2011 Actual</v>
      </c>
      <c r="E81" s="1605" t="str">
        <f t="shared" ref="E81:J81" si="27">+E60</f>
        <v>2012 Actual</v>
      </c>
      <c r="F81" s="1605" t="str">
        <f t="shared" si="27"/>
        <v>2013 Actual²</v>
      </c>
      <c r="G81" s="1793" t="str">
        <f t="shared" ref="G81" si="28">+G60</f>
        <v>Actual Year²</v>
      </c>
      <c r="H81" s="1605" t="str">
        <f t="shared" si="27"/>
        <v>Actual Year²</v>
      </c>
      <c r="I81" s="1605" t="str">
        <f t="shared" si="27"/>
        <v>Bridge Year²</v>
      </c>
      <c r="J81" s="1605" t="str">
        <f t="shared" si="27"/>
        <v>Test Year</v>
      </c>
    </row>
    <row r="82" spans="1:10" x14ac:dyDescent="0.2">
      <c r="A82" s="744"/>
      <c r="B82" s="745"/>
      <c r="C82" s="745"/>
      <c r="D82" s="746">
        <f>+D61</f>
        <v>2011</v>
      </c>
      <c r="E82" s="746">
        <f t="shared" ref="E82:J82" si="29">+E61</f>
        <v>2012</v>
      </c>
      <c r="F82" s="746">
        <f t="shared" si="29"/>
        <v>2013</v>
      </c>
      <c r="G82" s="746">
        <f t="shared" ref="G82" si="30">+G61</f>
        <v>2013</v>
      </c>
      <c r="H82" s="746">
        <f t="shared" si="29"/>
        <v>2014</v>
      </c>
      <c r="I82" s="746">
        <f t="shared" si="29"/>
        <v>2015</v>
      </c>
      <c r="J82" s="746">
        <f t="shared" si="29"/>
        <v>2016</v>
      </c>
    </row>
    <row r="83" spans="1:10" x14ac:dyDescent="0.2">
      <c r="A83" s="2162" t="s">
        <v>150</v>
      </c>
      <c r="B83" s="2163"/>
      <c r="C83" s="1798"/>
      <c r="D83" s="748" t="str">
        <f>+D62</f>
        <v>CGAAP</v>
      </c>
      <c r="E83" s="748" t="str">
        <f t="shared" ref="E83:J83" si="31">+E62</f>
        <v>CGAAP</v>
      </c>
      <c r="F83" s="748" t="str">
        <f t="shared" si="31"/>
        <v>CGAAP</v>
      </c>
      <c r="G83" s="748" t="str">
        <f t="shared" ref="G83" si="32">+G62</f>
        <v>MIFRS</v>
      </c>
      <c r="H83" s="748" t="str">
        <f t="shared" si="31"/>
        <v>MIFRS</v>
      </c>
      <c r="I83" s="748" t="str">
        <f t="shared" si="31"/>
        <v>MIFRS</v>
      </c>
      <c r="J83" s="748" t="str">
        <f t="shared" si="31"/>
        <v>MIFRS</v>
      </c>
    </row>
    <row r="84" spans="1:10" x14ac:dyDescent="0.2">
      <c r="A84" s="2164" t="s">
        <v>2211</v>
      </c>
      <c r="B84" s="2165"/>
      <c r="C84" s="1786"/>
      <c r="D84" s="1535">
        <v>161220</v>
      </c>
      <c r="E84" s="1535">
        <v>170412</v>
      </c>
      <c r="F84" s="1535">
        <v>197390</v>
      </c>
      <c r="G84" s="1535">
        <v>197390</v>
      </c>
      <c r="H84" s="1535">
        <v>174673.44</v>
      </c>
      <c r="I84" s="1535">
        <v>169520</v>
      </c>
      <c r="J84" s="1535">
        <v>177995</v>
      </c>
    </row>
    <row r="85" spans="1:10" x14ac:dyDescent="0.2">
      <c r="A85" s="2172"/>
      <c r="B85" s="2173"/>
      <c r="C85" s="1790"/>
      <c r="D85" s="356"/>
      <c r="E85" s="356"/>
      <c r="F85" s="356"/>
      <c r="G85" s="356"/>
      <c r="H85" s="356"/>
      <c r="I85" s="749"/>
      <c r="J85" s="730"/>
    </row>
    <row r="86" spans="1:10" x14ac:dyDescent="0.2">
      <c r="A86" s="2170"/>
      <c r="B86" s="2171"/>
      <c r="C86" s="1789"/>
      <c r="D86" s="750"/>
      <c r="E86" s="750"/>
      <c r="F86" s="750"/>
      <c r="G86" s="750"/>
      <c r="H86" s="750"/>
      <c r="I86" s="751"/>
      <c r="J86" s="752"/>
    </row>
    <row r="87" spans="1:10" ht="14.25" x14ac:dyDescent="0.2">
      <c r="A87" s="2168" t="s">
        <v>132</v>
      </c>
      <c r="B87" s="2169"/>
      <c r="C87" s="1788"/>
      <c r="D87" s="356"/>
      <c r="E87" s="356"/>
      <c r="F87" s="356"/>
      <c r="G87" s="356"/>
      <c r="H87" s="356"/>
      <c r="I87" s="749"/>
      <c r="J87" s="730"/>
    </row>
    <row r="88" spans="1:10" ht="13.5" thickBot="1" x14ac:dyDescent="0.25">
      <c r="A88" s="2156"/>
      <c r="B88" s="2157"/>
      <c r="C88" s="1783"/>
      <c r="D88" s="418"/>
      <c r="E88" s="418"/>
      <c r="F88" s="418"/>
      <c r="G88" s="418"/>
      <c r="H88" s="418"/>
      <c r="I88" s="753"/>
      <c r="J88" s="754"/>
    </row>
    <row r="89" spans="1:10" ht="14.25" thickTop="1" thickBot="1" x14ac:dyDescent="0.25">
      <c r="A89" s="2158" t="s">
        <v>388</v>
      </c>
      <c r="B89" s="2159"/>
      <c r="C89" s="1784"/>
      <c r="D89" s="425">
        <f t="shared" ref="D89:J89" si="33">SUM(D84:D88)</f>
        <v>161220</v>
      </c>
      <c r="E89" s="425">
        <f t="shared" si="33"/>
        <v>170412</v>
      </c>
      <c r="F89" s="425">
        <f t="shared" si="33"/>
        <v>197390</v>
      </c>
      <c r="G89" s="425">
        <f t="shared" ref="G89" si="34">SUM(G84:G88)</f>
        <v>197390</v>
      </c>
      <c r="H89" s="425">
        <f t="shared" si="33"/>
        <v>174673.44</v>
      </c>
      <c r="I89" s="425">
        <f t="shared" si="33"/>
        <v>169520</v>
      </c>
      <c r="J89" s="755">
        <f t="shared" si="33"/>
        <v>177995</v>
      </c>
    </row>
    <row r="90" spans="1:10" x14ac:dyDescent="0.2">
      <c r="A90" s="1688"/>
      <c r="B90" s="1688"/>
      <c r="C90" s="1688"/>
      <c r="D90" s="1538"/>
      <c r="E90" s="1538"/>
      <c r="F90" s="1538"/>
      <c r="G90" s="1538"/>
      <c r="H90" s="1538"/>
      <c r="I90" s="1538"/>
      <c r="J90" s="1538"/>
    </row>
    <row r="91" spans="1:10" ht="13.5" thickBot="1" x14ac:dyDescent="0.25">
      <c r="A91" s="252" t="s">
        <v>2201</v>
      </c>
    </row>
    <row r="92" spans="1:10" x14ac:dyDescent="0.2">
      <c r="A92" s="741"/>
      <c r="B92" s="742"/>
      <c r="C92" s="742"/>
      <c r="D92" s="1605" t="str">
        <f>+D81</f>
        <v>2011 Actual</v>
      </c>
      <c r="E92" s="1605" t="str">
        <f t="shared" ref="E92:J92" si="35">+E81</f>
        <v>2012 Actual</v>
      </c>
      <c r="F92" s="1605" t="str">
        <f t="shared" si="35"/>
        <v>2013 Actual²</v>
      </c>
      <c r="G92" s="1793" t="str">
        <f t="shared" ref="G92" si="36">+G81</f>
        <v>Actual Year²</v>
      </c>
      <c r="H92" s="1605" t="str">
        <f t="shared" si="35"/>
        <v>Actual Year²</v>
      </c>
      <c r="I92" s="1605" t="str">
        <f t="shared" si="35"/>
        <v>Bridge Year²</v>
      </c>
      <c r="J92" s="1605" t="str">
        <f t="shared" si="35"/>
        <v>Test Year</v>
      </c>
    </row>
    <row r="93" spans="1:10" x14ac:dyDescent="0.2">
      <c r="A93" s="744"/>
      <c r="B93" s="745"/>
      <c r="C93" s="745"/>
      <c r="D93" s="746">
        <f>+D82</f>
        <v>2011</v>
      </c>
      <c r="E93" s="746">
        <f t="shared" ref="E93:J93" si="37">+E82</f>
        <v>2012</v>
      </c>
      <c r="F93" s="746">
        <f t="shared" si="37"/>
        <v>2013</v>
      </c>
      <c r="G93" s="746">
        <f t="shared" ref="G93" si="38">+G82</f>
        <v>2013</v>
      </c>
      <c r="H93" s="746">
        <f t="shared" si="37"/>
        <v>2014</v>
      </c>
      <c r="I93" s="746">
        <f t="shared" si="37"/>
        <v>2015</v>
      </c>
      <c r="J93" s="746">
        <f t="shared" si="37"/>
        <v>2016</v>
      </c>
    </row>
    <row r="94" spans="1:10" x14ac:dyDescent="0.2">
      <c r="A94" s="2162" t="s">
        <v>150</v>
      </c>
      <c r="B94" s="2163"/>
      <c r="C94" s="1798"/>
      <c r="D94" s="748" t="str">
        <f>+D83</f>
        <v>CGAAP</v>
      </c>
      <c r="E94" s="748" t="str">
        <f t="shared" ref="E94:J94" si="39">+E83</f>
        <v>CGAAP</v>
      </c>
      <c r="F94" s="748" t="str">
        <f t="shared" si="39"/>
        <v>CGAAP</v>
      </c>
      <c r="G94" s="748" t="str">
        <f t="shared" ref="G94" si="40">+G83</f>
        <v>MIFRS</v>
      </c>
      <c r="H94" s="748" t="str">
        <f t="shared" si="39"/>
        <v>MIFRS</v>
      </c>
      <c r="I94" s="748" t="str">
        <f t="shared" si="39"/>
        <v>MIFRS</v>
      </c>
      <c r="J94" s="748" t="str">
        <f t="shared" si="39"/>
        <v>MIFRS</v>
      </c>
    </row>
    <row r="95" spans="1:10" x14ac:dyDescent="0.2">
      <c r="A95" s="2164" t="s">
        <v>2212</v>
      </c>
      <c r="B95" s="2165"/>
      <c r="C95" s="1786"/>
      <c r="D95" s="356">
        <v>285319</v>
      </c>
      <c r="E95" s="356">
        <v>222267</v>
      </c>
      <c r="F95" s="356">
        <v>315446</v>
      </c>
      <c r="G95" s="356">
        <v>315446</v>
      </c>
      <c r="H95" s="356">
        <v>355770</v>
      </c>
      <c r="I95" s="356">
        <v>366030</v>
      </c>
      <c r="J95" s="730">
        <v>384332</v>
      </c>
    </row>
    <row r="96" spans="1:10" x14ac:dyDescent="0.2">
      <c r="A96" s="2160" t="s">
        <v>2213</v>
      </c>
      <c r="B96" s="2161"/>
      <c r="C96" s="1785"/>
      <c r="D96" s="356">
        <v>6425</v>
      </c>
      <c r="E96" s="356">
        <v>6472</v>
      </c>
      <c r="F96" s="356">
        <v>12385</v>
      </c>
      <c r="G96" s="356">
        <v>12385</v>
      </c>
      <c r="H96" s="356">
        <v>17310</v>
      </c>
      <c r="I96" s="749">
        <v>13838</v>
      </c>
      <c r="J96" s="730">
        <v>14529</v>
      </c>
    </row>
    <row r="97" spans="1:10" x14ac:dyDescent="0.2">
      <c r="A97" s="2160" t="s">
        <v>2214</v>
      </c>
      <c r="B97" s="2161"/>
      <c r="C97" s="1787"/>
      <c r="D97" s="750">
        <v>198510</v>
      </c>
      <c r="E97" s="750">
        <v>232110</v>
      </c>
      <c r="F97" s="750">
        <v>256470</v>
      </c>
      <c r="G97" s="750">
        <v>256470</v>
      </c>
      <c r="H97" s="750">
        <v>197070</v>
      </c>
      <c r="I97" s="751">
        <v>219107</v>
      </c>
      <c r="J97" s="752">
        <v>232223</v>
      </c>
    </row>
    <row r="98" spans="1:10" x14ac:dyDescent="0.2">
      <c r="A98" s="2160" t="s">
        <v>2215</v>
      </c>
      <c r="B98" s="2161"/>
      <c r="C98" s="1787"/>
      <c r="D98" s="750">
        <v>872</v>
      </c>
      <c r="E98" s="750">
        <v>705</v>
      </c>
      <c r="F98" s="750">
        <v>544</v>
      </c>
      <c r="G98" s="750">
        <v>544</v>
      </c>
      <c r="H98" s="750">
        <v>750</v>
      </c>
      <c r="I98" s="751">
        <v>926</v>
      </c>
      <c r="J98" s="752">
        <v>750</v>
      </c>
    </row>
    <row r="99" spans="1:10" x14ac:dyDescent="0.2">
      <c r="A99" s="2160" t="s">
        <v>2216</v>
      </c>
      <c r="B99" s="2161"/>
      <c r="C99" s="1787"/>
      <c r="D99" s="750">
        <v>1740</v>
      </c>
      <c r="E99" s="750">
        <v>1170</v>
      </c>
      <c r="F99" s="750">
        <v>2100</v>
      </c>
      <c r="G99" s="750">
        <v>2100</v>
      </c>
      <c r="H99" s="750">
        <v>2730</v>
      </c>
      <c r="I99" s="751">
        <v>1575</v>
      </c>
      <c r="J99" s="752">
        <v>2500</v>
      </c>
    </row>
    <row r="100" spans="1:10" x14ac:dyDescent="0.2">
      <c r="A100" s="2160" t="s">
        <v>2217</v>
      </c>
      <c r="B100" s="2161"/>
      <c r="C100" s="1785"/>
      <c r="D100" s="356">
        <v>27240</v>
      </c>
      <c r="E100" s="356">
        <v>27360</v>
      </c>
      <c r="F100" s="356">
        <v>64440</v>
      </c>
      <c r="G100" s="356">
        <v>64440</v>
      </c>
      <c r="H100" s="356">
        <v>66780</v>
      </c>
      <c r="I100" s="749">
        <v>77355</v>
      </c>
      <c r="J100" s="730">
        <v>81223</v>
      </c>
    </row>
    <row r="101" spans="1:10" ht="13.5" thickBot="1" x14ac:dyDescent="0.25">
      <c r="A101" s="2156"/>
      <c r="B101" s="2157"/>
      <c r="C101" s="1783"/>
      <c r="D101" s="418"/>
      <c r="E101" s="418"/>
      <c r="F101" s="418"/>
      <c r="G101" s="418"/>
      <c r="H101" s="418"/>
      <c r="I101" s="753"/>
      <c r="J101" s="754"/>
    </row>
    <row r="102" spans="1:10" ht="14.25" thickTop="1" thickBot="1" x14ac:dyDescent="0.25">
      <c r="A102" s="2158" t="s">
        <v>388</v>
      </c>
      <c r="B102" s="2159"/>
      <c r="C102" s="1784"/>
      <c r="D102" s="425">
        <f t="shared" ref="D102:J102" si="41">SUM(D95:D101)</f>
        <v>520106</v>
      </c>
      <c r="E102" s="425">
        <f t="shared" si="41"/>
        <v>490084</v>
      </c>
      <c r="F102" s="425">
        <f t="shared" si="41"/>
        <v>651385</v>
      </c>
      <c r="G102" s="425">
        <f t="shared" ref="G102" si="42">SUM(G95:G101)</f>
        <v>651385</v>
      </c>
      <c r="H102" s="425">
        <f t="shared" si="41"/>
        <v>640410</v>
      </c>
      <c r="I102" s="425">
        <f t="shared" si="41"/>
        <v>678831</v>
      </c>
      <c r="J102" s="755">
        <f t="shared" si="41"/>
        <v>715557</v>
      </c>
    </row>
    <row r="103" spans="1:10" x14ac:dyDescent="0.2">
      <c r="A103" s="1688"/>
      <c r="B103" s="1688"/>
      <c r="C103" s="1688"/>
      <c r="D103" s="1538"/>
      <c r="E103" s="1538"/>
      <c r="F103" s="1538"/>
      <c r="G103" s="1538"/>
      <c r="H103" s="1538"/>
      <c r="I103" s="1538"/>
      <c r="J103" s="1538"/>
    </row>
    <row r="104" spans="1:10" ht="13.5" thickBot="1" x14ac:dyDescent="0.25">
      <c r="A104" s="252" t="s">
        <v>2202</v>
      </c>
    </row>
    <row r="105" spans="1:10" x14ac:dyDescent="0.2">
      <c r="A105" s="741"/>
      <c r="B105" s="742"/>
      <c r="C105" s="742"/>
      <c r="D105" s="1605" t="str">
        <f>+D92</f>
        <v>2011 Actual</v>
      </c>
      <c r="E105" s="1605" t="str">
        <f t="shared" ref="E105:J105" si="43">+E92</f>
        <v>2012 Actual</v>
      </c>
      <c r="F105" s="1605" t="str">
        <f t="shared" si="43"/>
        <v>2013 Actual²</v>
      </c>
      <c r="G105" s="1793" t="str">
        <f t="shared" ref="G105" si="44">+G92</f>
        <v>Actual Year²</v>
      </c>
      <c r="H105" s="1605" t="str">
        <f t="shared" si="43"/>
        <v>Actual Year²</v>
      </c>
      <c r="I105" s="1605" t="str">
        <f t="shared" si="43"/>
        <v>Bridge Year²</v>
      </c>
      <c r="J105" s="1605" t="str">
        <f t="shared" si="43"/>
        <v>Test Year</v>
      </c>
    </row>
    <row r="106" spans="1:10" x14ac:dyDescent="0.2">
      <c r="A106" s="744"/>
      <c r="B106" s="745"/>
      <c r="C106" s="745"/>
      <c r="D106" s="746">
        <f>+D93</f>
        <v>2011</v>
      </c>
      <c r="E106" s="746">
        <f t="shared" ref="E106:J106" si="45">+E93</f>
        <v>2012</v>
      </c>
      <c r="F106" s="746">
        <f t="shared" si="45"/>
        <v>2013</v>
      </c>
      <c r="G106" s="746">
        <f t="shared" ref="G106" si="46">+G93</f>
        <v>2013</v>
      </c>
      <c r="H106" s="746">
        <f t="shared" si="45"/>
        <v>2014</v>
      </c>
      <c r="I106" s="746">
        <f t="shared" si="45"/>
        <v>2015</v>
      </c>
      <c r="J106" s="746">
        <f t="shared" si="45"/>
        <v>2016</v>
      </c>
    </row>
    <row r="107" spans="1:10" x14ac:dyDescent="0.2">
      <c r="A107" s="2162" t="s">
        <v>150</v>
      </c>
      <c r="B107" s="2163"/>
      <c r="C107" s="1798"/>
      <c r="D107" s="748" t="str">
        <f>+D94</f>
        <v>CGAAP</v>
      </c>
      <c r="E107" s="748" t="str">
        <f t="shared" ref="E107:J107" si="47">+E94</f>
        <v>CGAAP</v>
      </c>
      <c r="F107" s="748" t="str">
        <f t="shared" si="47"/>
        <v>CGAAP</v>
      </c>
      <c r="G107" s="748" t="str">
        <f t="shared" ref="G107" si="48">+G94</f>
        <v>MIFRS</v>
      </c>
      <c r="H107" s="748" t="str">
        <f t="shared" si="47"/>
        <v>MIFRS</v>
      </c>
      <c r="I107" s="748" t="str">
        <f t="shared" si="47"/>
        <v>MIFRS</v>
      </c>
      <c r="J107" s="748" t="str">
        <f t="shared" si="47"/>
        <v>MIFRS</v>
      </c>
    </row>
    <row r="108" spans="1:10" x14ac:dyDescent="0.2">
      <c r="A108" s="2164" t="s">
        <v>2218</v>
      </c>
      <c r="B108" s="2165"/>
      <c r="C108" s="1786"/>
      <c r="D108" s="356"/>
      <c r="E108" s="356"/>
      <c r="F108" s="356"/>
      <c r="G108" s="356"/>
      <c r="H108" s="356"/>
      <c r="I108" s="356"/>
      <c r="J108" s="730"/>
    </row>
    <row r="109" spans="1:10" x14ac:dyDescent="0.2">
      <c r="A109" s="2160" t="s">
        <v>2219</v>
      </c>
      <c r="B109" s="2161"/>
      <c r="C109" s="1785"/>
      <c r="D109" s="356"/>
      <c r="E109" s="356"/>
      <c r="F109" s="356"/>
      <c r="G109" s="356"/>
      <c r="H109" s="356"/>
      <c r="I109" s="749"/>
      <c r="J109" s="730"/>
    </row>
    <row r="110" spans="1:10" x14ac:dyDescent="0.2">
      <c r="A110" s="2160" t="s">
        <v>2220</v>
      </c>
      <c r="B110" s="2161"/>
      <c r="C110" s="1785"/>
      <c r="D110" s="356"/>
      <c r="E110" s="356"/>
      <c r="F110" s="356"/>
      <c r="G110" s="356"/>
      <c r="H110" s="356"/>
      <c r="I110" s="749"/>
      <c r="J110" s="730"/>
    </row>
    <row r="111" spans="1:10" x14ac:dyDescent="0.2">
      <c r="A111" s="2160" t="s">
        <v>267</v>
      </c>
      <c r="B111" s="2161"/>
      <c r="C111" s="1785"/>
      <c r="D111" s="356"/>
      <c r="E111" s="356"/>
      <c r="F111" s="356"/>
      <c r="G111" s="356"/>
      <c r="H111" s="356">
        <v>1200</v>
      </c>
      <c r="I111" s="749">
        <v>0</v>
      </c>
      <c r="J111" s="730">
        <v>7500</v>
      </c>
    </row>
    <row r="112" spans="1:10" x14ac:dyDescent="0.2">
      <c r="A112" s="2160" t="s">
        <v>2221</v>
      </c>
      <c r="B112" s="2161"/>
      <c r="C112" s="1785"/>
      <c r="D112" s="356">
        <v>1151</v>
      </c>
      <c r="E112" s="356"/>
      <c r="F112" s="356"/>
      <c r="G112" s="356"/>
      <c r="H112" s="356"/>
      <c r="I112" s="749"/>
      <c r="J112" s="730"/>
    </row>
    <row r="113" spans="1:10" x14ac:dyDescent="0.2">
      <c r="A113" s="2160" t="s">
        <v>2222</v>
      </c>
      <c r="B113" s="2161"/>
      <c r="C113" s="1785"/>
      <c r="D113" s="356">
        <v>442</v>
      </c>
      <c r="E113" s="356"/>
      <c r="F113" s="356"/>
      <c r="G113" s="356"/>
      <c r="H113" s="356"/>
      <c r="I113" s="749"/>
      <c r="J113" s="730"/>
    </row>
    <row r="114" spans="1:10" x14ac:dyDescent="0.2">
      <c r="A114" s="1694" t="s">
        <v>2223</v>
      </c>
      <c r="B114" s="1695"/>
      <c r="C114" s="1785"/>
      <c r="D114" s="356"/>
      <c r="E114" s="356">
        <v>2012</v>
      </c>
      <c r="F114" s="356"/>
      <c r="G114" s="356"/>
      <c r="H114" s="356"/>
      <c r="I114" s="749"/>
      <c r="J114" s="730"/>
    </row>
    <row r="115" spans="1:10" x14ac:dyDescent="0.2">
      <c r="A115" s="1694" t="s">
        <v>2224</v>
      </c>
      <c r="B115" s="1695"/>
      <c r="C115" s="1787"/>
      <c r="D115" s="750"/>
      <c r="E115" s="750"/>
      <c r="F115" s="750">
        <v>25000</v>
      </c>
      <c r="G115" s="750">
        <v>25000</v>
      </c>
      <c r="H115" s="750"/>
      <c r="I115" s="751"/>
      <c r="J115" s="752"/>
    </row>
    <row r="116" spans="1:10" ht="14.25" x14ac:dyDescent="0.2">
      <c r="A116" s="2168" t="s">
        <v>132</v>
      </c>
      <c r="B116" s="2169"/>
      <c r="C116" s="1788"/>
      <c r="D116" s="356"/>
      <c r="E116" s="356"/>
      <c r="F116" s="356"/>
      <c r="G116" s="356"/>
      <c r="H116" s="356"/>
      <c r="I116" s="749"/>
      <c r="J116" s="730"/>
    </row>
    <row r="117" spans="1:10" ht="13.5" thickBot="1" x14ac:dyDescent="0.25">
      <c r="A117" s="2156"/>
      <c r="B117" s="2157"/>
      <c r="C117" s="1783"/>
      <c r="D117" s="418"/>
      <c r="E117" s="418"/>
      <c r="F117" s="418"/>
      <c r="G117" s="418"/>
      <c r="H117" s="418"/>
      <c r="I117" s="753"/>
      <c r="J117" s="754"/>
    </row>
    <row r="118" spans="1:10" ht="14.25" thickTop="1" thickBot="1" x14ac:dyDescent="0.25">
      <c r="A118" s="2158" t="s">
        <v>388</v>
      </c>
      <c r="B118" s="2159"/>
      <c r="C118" s="1784"/>
      <c r="D118" s="425">
        <f t="shared" ref="D118:J118" si="49">SUM(D108:D117)</f>
        <v>1593</v>
      </c>
      <c r="E118" s="425">
        <f t="shared" si="49"/>
        <v>2012</v>
      </c>
      <c r="F118" s="425">
        <f t="shared" si="49"/>
        <v>25000</v>
      </c>
      <c r="G118" s="425">
        <f t="shared" ref="G118" si="50">SUM(G108:G117)</f>
        <v>25000</v>
      </c>
      <c r="H118" s="425">
        <f t="shared" si="49"/>
        <v>1200</v>
      </c>
      <c r="I118" s="425">
        <f t="shared" si="49"/>
        <v>0</v>
      </c>
      <c r="J118" s="755">
        <f t="shared" si="49"/>
        <v>7500</v>
      </c>
    </row>
    <row r="119" spans="1:10" x14ac:dyDescent="0.2">
      <c r="A119" s="1688"/>
      <c r="B119" s="1688"/>
      <c r="C119" s="1688"/>
      <c r="D119" s="1538"/>
      <c r="E119" s="1538"/>
      <c r="F119" s="1538"/>
      <c r="G119" s="1538"/>
      <c r="H119" s="1538"/>
      <c r="I119" s="1538"/>
      <c r="J119" s="1538"/>
    </row>
    <row r="120" spans="1:10" ht="13.5" thickBot="1" x14ac:dyDescent="0.25">
      <c r="A120" s="252" t="s">
        <v>2203</v>
      </c>
    </row>
    <row r="121" spans="1:10" x14ac:dyDescent="0.2">
      <c r="A121" s="741"/>
      <c r="B121" s="742"/>
      <c r="C121" s="742"/>
      <c r="D121" s="1605" t="str">
        <f>+D105</f>
        <v>2011 Actual</v>
      </c>
      <c r="E121" s="1605" t="str">
        <f t="shared" ref="E121:J121" si="51">+E105</f>
        <v>2012 Actual</v>
      </c>
      <c r="F121" s="1605" t="str">
        <f t="shared" si="51"/>
        <v>2013 Actual²</v>
      </c>
      <c r="G121" s="1793" t="str">
        <f t="shared" ref="G121" si="52">+G105</f>
        <v>Actual Year²</v>
      </c>
      <c r="H121" s="1605" t="str">
        <f t="shared" si="51"/>
        <v>Actual Year²</v>
      </c>
      <c r="I121" s="1605" t="str">
        <f t="shared" si="51"/>
        <v>Bridge Year²</v>
      </c>
      <c r="J121" s="1605" t="str">
        <f t="shared" si="51"/>
        <v>Test Year</v>
      </c>
    </row>
    <row r="122" spans="1:10" x14ac:dyDescent="0.2">
      <c r="A122" s="744"/>
      <c r="B122" s="745"/>
      <c r="C122" s="745"/>
      <c r="D122" s="746">
        <f>+D106</f>
        <v>2011</v>
      </c>
      <c r="E122" s="746">
        <f t="shared" ref="E122:J122" si="53">+E106</f>
        <v>2012</v>
      </c>
      <c r="F122" s="746">
        <f t="shared" si="53"/>
        <v>2013</v>
      </c>
      <c r="G122" s="746">
        <f t="shared" ref="G122" si="54">+G106</f>
        <v>2013</v>
      </c>
      <c r="H122" s="746">
        <f t="shared" si="53"/>
        <v>2014</v>
      </c>
      <c r="I122" s="746">
        <f t="shared" si="53"/>
        <v>2015</v>
      </c>
      <c r="J122" s="746">
        <f t="shared" si="53"/>
        <v>2016</v>
      </c>
    </row>
    <row r="123" spans="1:10" x14ac:dyDescent="0.2">
      <c r="A123" s="2162" t="s">
        <v>150</v>
      </c>
      <c r="B123" s="2163"/>
      <c r="C123" s="1798"/>
      <c r="D123" s="748" t="str">
        <f>+D107</f>
        <v>CGAAP</v>
      </c>
      <c r="E123" s="748" t="str">
        <f t="shared" ref="E123:J123" si="55">+E107</f>
        <v>CGAAP</v>
      </c>
      <c r="F123" s="748" t="str">
        <f t="shared" si="55"/>
        <v>CGAAP</v>
      </c>
      <c r="G123" s="748" t="str">
        <f t="shared" ref="G123" si="56">+G107</f>
        <v>MIFRS</v>
      </c>
      <c r="H123" s="748" t="str">
        <f t="shared" si="55"/>
        <v>MIFRS</v>
      </c>
      <c r="I123" s="748" t="str">
        <f t="shared" si="55"/>
        <v>MIFRS</v>
      </c>
      <c r="J123" s="748" t="str">
        <f t="shared" si="55"/>
        <v>MIFRS</v>
      </c>
    </row>
    <row r="124" spans="1:10" x14ac:dyDescent="0.2">
      <c r="A124" s="2164" t="s">
        <v>2225</v>
      </c>
      <c r="B124" s="2165"/>
      <c r="C124" s="1786"/>
      <c r="D124" s="356">
        <v>527378</v>
      </c>
      <c r="E124" s="356">
        <v>443399</v>
      </c>
      <c r="F124" s="356">
        <v>320525</v>
      </c>
      <c r="G124" s="356">
        <v>320525</v>
      </c>
      <c r="H124" s="356">
        <v>920720.97</v>
      </c>
      <c r="I124" s="356">
        <v>0</v>
      </c>
      <c r="J124" s="730">
        <v>0</v>
      </c>
    </row>
    <row r="125" spans="1:10" x14ac:dyDescent="0.2">
      <c r="A125" s="1689" t="s">
        <v>2226</v>
      </c>
      <c r="B125" s="1690"/>
      <c r="C125" s="1786"/>
      <c r="D125" s="356">
        <v>-412129</v>
      </c>
      <c r="E125" s="356">
        <v>-429875</v>
      </c>
      <c r="F125" s="356">
        <v>-300681</v>
      </c>
      <c r="G125" s="356">
        <v>-300681</v>
      </c>
      <c r="H125" s="356">
        <v>-920720.96999999986</v>
      </c>
      <c r="I125" s="749">
        <v>0</v>
      </c>
      <c r="J125" s="730">
        <v>0</v>
      </c>
    </row>
    <row r="126" spans="1:10" x14ac:dyDescent="0.2">
      <c r="A126" s="2170"/>
      <c r="B126" s="2171"/>
      <c r="C126" s="1789"/>
      <c r="D126" s="750"/>
      <c r="E126" s="750"/>
      <c r="F126" s="750"/>
      <c r="G126" s="750"/>
      <c r="H126" s="750"/>
      <c r="I126" s="751"/>
      <c r="J126" s="752"/>
    </row>
    <row r="127" spans="1:10" ht="14.25" x14ac:dyDescent="0.2">
      <c r="A127" s="2168" t="s">
        <v>132</v>
      </c>
      <c r="B127" s="2169"/>
      <c r="C127" s="1788"/>
      <c r="D127" s="356"/>
      <c r="E127" s="356"/>
      <c r="F127" s="356"/>
      <c r="G127" s="356"/>
      <c r="H127" s="356"/>
      <c r="I127" s="749"/>
      <c r="J127" s="730"/>
    </row>
    <row r="128" spans="1:10" ht="13.5" thickBot="1" x14ac:dyDescent="0.25">
      <c r="A128" s="2156"/>
      <c r="B128" s="2157"/>
      <c r="C128" s="1783"/>
      <c r="D128" s="418"/>
      <c r="E128" s="418"/>
      <c r="F128" s="418"/>
      <c r="G128" s="418"/>
      <c r="H128" s="418"/>
      <c r="I128" s="753"/>
      <c r="J128" s="754"/>
    </row>
    <row r="129" spans="1:10" ht="14.25" thickTop="1" thickBot="1" x14ac:dyDescent="0.25">
      <c r="A129" s="2158" t="s">
        <v>388</v>
      </c>
      <c r="B129" s="2159"/>
      <c r="C129" s="1784"/>
      <c r="D129" s="425">
        <f t="shared" ref="D129:J129" si="57">SUM(D124:D128)</f>
        <v>115249</v>
      </c>
      <c r="E129" s="425">
        <f t="shared" si="57"/>
        <v>13524</v>
      </c>
      <c r="F129" s="425">
        <f t="shared" si="57"/>
        <v>19844</v>
      </c>
      <c r="G129" s="425">
        <f t="shared" ref="G129" si="58">SUM(G124:G128)</f>
        <v>19844</v>
      </c>
      <c r="H129" s="425">
        <f t="shared" si="57"/>
        <v>0</v>
      </c>
      <c r="I129" s="425">
        <f t="shared" si="57"/>
        <v>0</v>
      </c>
      <c r="J129" s="755">
        <f t="shared" si="57"/>
        <v>0</v>
      </c>
    </row>
    <row r="130" spans="1:10" x14ac:dyDescent="0.2">
      <c r="A130" s="1688"/>
      <c r="B130" s="1688"/>
      <c r="C130" s="1688"/>
      <c r="D130" s="1538"/>
      <c r="E130" s="1538"/>
      <c r="F130" s="1538"/>
      <c r="G130" s="1538"/>
      <c r="H130" s="1538"/>
      <c r="I130" s="1538"/>
      <c r="J130" s="1538"/>
    </row>
    <row r="131" spans="1:10" ht="13.5" thickBot="1" x14ac:dyDescent="0.25">
      <c r="A131" s="252" t="s">
        <v>2204</v>
      </c>
    </row>
    <row r="132" spans="1:10" x14ac:dyDescent="0.2">
      <c r="A132" s="741"/>
      <c r="B132" s="742"/>
      <c r="C132" s="742"/>
      <c r="D132" s="1605" t="str">
        <f>+D121</f>
        <v>2011 Actual</v>
      </c>
      <c r="E132" s="1605" t="str">
        <f t="shared" ref="E132:J132" si="59">+E121</f>
        <v>2012 Actual</v>
      </c>
      <c r="F132" s="1605" t="str">
        <f t="shared" si="59"/>
        <v>2013 Actual²</v>
      </c>
      <c r="G132" s="1793" t="str">
        <f t="shared" ref="G132" si="60">+G121</f>
        <v>Actual Year²</v>
      </c>
      <c r="H132" s="1605" t="str">
        <f t="shared" si="59"/>
        <v>Actual Year²</v>
      </c>
      <c r="I132" s="1605" t="str">
        <f t="shared" si="59"/>
        <v>Bridge Year²</v>
      </c>
      <c r="J132" s="1605" t="str">
        <f t="shared" si="59"/>
        <v>Test Year</v>
      </c>
    </row>
    <row r="133" spans="1:10" x14ac:dyDescent="0.2">
      <c r="A133" s="744"/>
      <c r="B133" s="745"/>
      <c r="C133" s="745"/>
      <c r="D133" s="746">
        <f>+D122</f>
        <v>2011</v>
      </c>
      <c r="E133" s="746">
        <f t="shared" ref="E133:J133" si="61">+E122</f>
        <v>2012</v>
      </c>
      <c r="F133" s="746">
        <f t="shared" si="61"/>
        <v>2013</v>
      </c>
      <c r="G133" s="746">
        <f t="shared" ref="G133" si="62">+G122</f>
        <v>2013</v>
      </c>
      <c r="H133" s="746">
        <f t="shared" si="61"/>
        <v>2014</v>
      </c>
      <c r="I133" s="746">
        <f t="shared" si="61"/>
        <v>2015</v>
      </c>
      <c r="J133" s="746">
        <f t="shared" si="61"/>
        <v>2016</v>
      </c>
    </row>
    <row r="134" spans="1:10" x14ac:dyDescent="0.2">
      <c r="A134" s="2162" t="s">
        <v>150</v>
      </c>
      <c r="B134" s="2163"/>
      <c r="C134" s="1798"/>
      <c r="D134" s="748" t="str">
        <f>+D123</f>
        <v>CGAAP</v>
      </c>
      <c r="E134" s="748" t="str">
        <f t="shared" ref="E134:J134" si="63">+E123</f>
        <v>CGAAP</v>
      </c>
      <c r="F134" s="748" t="str">
        <f t="shared" si="63"/>
        <v>CGAAP</v>
      </c>
      <c r="G134" s="748" t="str">
        <f t="shared" ref="G134" si="64">+G123</f>
        <v>MIFRS</v>
      </c>
      <c r="H134" s="748" t="str">
        <f t="shared" si="63"/>
        <v>MIFRS</v>
      </c>
      <c r="I134" s="748" t="str">
        <f t="shared" si="63"/>
        <v>MIFRS</v>
      </c>
      <c r="J134" s="748" t="str">
        <f t="shared" si="63"/>
        <v>MIFRS</v>
      </c>
    </row>
    <row r="135" spans="1:10" x14ac:dyDescent="0.2">
      <c r="A135" s="2164" t="s">
        <v>2227</v>
      </c>
      <c r="B135" s="2165"/>
      <c r="C135" s="1786"/>
      <c r="D135" s="356">
        <v>517574</v>
      </c>
      <c r="E135" s="356">
        <v>477035</v>
      </c>
      <c r="F135" s="356">
        <v>519884</v>
      </c>
      <c r="G135" s="356">
        <v>519884</v>
      </c>
      <c r="H135" s="356">
        <v>552475</v>
      </c>
      <c r="I135" s="356">
        <v>583970</v>
      </c>
      <c r="J135" s="730">
        <v>617536</v>
      </c>
    </row>
    <row r="136" spans="1:10" x14ac:dyDescent="0.2">
      <c r="A136" s="1689" t="s">
        <v>2228</v>
      </c>
      <c r="B136" s="1690"/>
      <c r="C136" s="1786"/>
      <c r="D136" s="356">
        <v>69174</v>
      </c>
      <c r="E136" s="356">
        <v>51148</v>
      </c>
      <c r="F136" s="356">
        <v>24659</v>
      </c>
      <c r="G136" s="356">
        <v>24659</v>
      </c>
      <c r="H136" s="356">
        <v>48466</v>
      </c>
      <c r="I136" s="749">
        <v>15000</v>
      </c>
      <c r="J136" s="730">
        <v>15000</v>
      </c>
    </row>
    <row r="137" spans="1:10" x14ac:dyDescent="0.2">
      <c r="A137" s="1689" t="s">
        <v>1174</v>
      </c>
      <c r="B137" s="1690"/>
      <c r="C137" s="1787"/>
      <c r="D137" s="750">
        <v>90</v>
      </c>
      <c r="E137" s="750"/>
      <c r="F137" s="750"/>
      <c r="G137" s="750"/>
      <c r="H137" s="750">
        <v>45</v>
      </c>
      <c r="I137" s="751">
        <v>0</v>
      </c>
      <c r="J137" s="752">
        <v>0</v>
      </c>
    </row>
    <row r="138" spans="1:10" x14ac:dyDescent="0.2">
      <c r="A138" s="1689" t="s">
        <v>2229</v>
      </c>
      <c r="B138" s="1690"/>
      <c r="C138" s="1786"/>
      <c r="D138" s="356">
        <v>5730</v>
      </c>
      <c r="E138" s="356">
        <v>5250</v>
      </c>
      <c r="F138" s="356">
        <v>4200</v>
      </c>
      <c r="G138" s="356">
        <v>4200</v>
      </c>
      <c r="H138" s="356">
        <v>4680</v>
      </c>
      <c r="I138" s="749">
        <v>4433</v>
      </c>
      <c r="J138" s="730">
        <v>4654</v>
      </c>
    </row>
    <row r="139" spans="1:10" ht="13.5" thickBot="1" x14ac:dyDescent="0.25">
      <c r="A139" s="1689" t="s">
        <v>267</v>
      </c>
      <c r="B139" s="1690"/>
      <c r="C139" s="1787"/>
      <c r="D139" s="418">
        <v>6069</v>
      </c>
      <c r="E139" s="418">
        <v>5583</v>
      </c>
      <c r="F139" s="418">
        <v>5410</v>
      </c>
      <c r="G139" s="418">
        <v>5410</v>
      </c>
      <c r="H139" s="418">
        <v>8198</v>
      </c>
      <c r="I139" s="753">
        <f>611376-603403</f>
        <v>7973</v>
      </c>
      <c r="J139" s="754">
        <f>645913-637190</f>
        <v>8723</v>
      </c>
    </row>
    <row r="140" spans="1:10" ht="14.25" thickTop="1" thickBot="1" x14ac:dyDescent="0.25">
      <c r="A140" s="2158" t="s">
        <v>388</v>
      </c>
      <c r="B140" s="2159"/>
      <c r="C140" s="1784"/>
      <c r="D140" s="425">
        <f t="shared" ref="D140:J140" si="65">SUM(D135:D139)</f>
        <v>598637</v>
      </c>
      <c r="E140" s="425">
        <f t="shared" si="65"/>
        <v>539016</v>
      </c>
      <c r="F140" s="425">
        <f t="shared" si="65"/>
        <v>554153</v>
      </c>
      <c r="G140" s="425">
        <f t="shared" ref="G140" si="66">SUM(G135:G139)</f>
        <v>554153</v>
      </c>
      <c r="H140" s="425">
        <f t="shared" si="65"/>
        <v>613864</v>
      </c>
      <c r="I140" s="425">
        <f t="shared" si="65"/>
        <v>611376</v>
      </c>
      <c r="J140" s="755">
        <f t="shared" si="65"/>
        <v>645913</v>
      </c>
    </row>
    <row r="141" spans="1:10" x14ac:dyDescent="0.2">
      <c r="A141" s="1688"/>
      <c r="B141" s="1688"/>
      <c r="C141" s="1688"/>
      <c r="D141" s="1538"/>
      <c r="E141" s="1538"/>
      <c r="F141" s="1538"/>
      <c r="G141" s="1538"/>
      <c r="H141" s="1538"/>
      <c r="I141" s="1538"/>
      <c r="J141" s="1538"/>
    </row>
    <row r="142" spans="1:10" ht="13.5" thickBot="1" x14ac:dyDescent="0.25">
      <c r="A142" s="252" t="s">
        <v>160</v>
      </c>
    </row>
    <row r="143" spans="1:10" x14ac:dyDescent="0.2">
      <c r="A143" s="741"/>
      <c r="B143" s="742"/>
      <c r="C143" s="742"/>
      <c r="D143" s="1605" t="str">
        <f>+D132</f>
        <v>2011 Actual</v>
      </c>
      <c r="E143" s="1605" t="str">
        <f t="shared" ref="E143:J143" si="67">+E132</f>
        <v>2012 Actual</v>
      </c>
      <c r="F143" s="1605" t="str">
        <f t="shared" si="67"/>
        <v>2013 Actual²</v>
      </c>
      <c r="G143" s="1793" t="str">
        <f t="shared" ref="G143" si="68">+G132</f>
        <v>Actual Year²</v>
      </c>
      <c r="H143" s="1605" t="str">
        <f t="shared" si="67"/>
        <v>Actual Year²</v>
      </c>
      <c r="I143" s="1605" t="str">
        <f t="shared" si="67"/>
        <v>Bridge Year²</v>
      </c>
      <c r="J143" s="1605" t="str">
        <f t="shared" si="67"/>
        <v>Test Year</v>
      </c>
    </row>
    <row r="144" spans="1:10" x14ac:dyDescent="0.2">
      <c r="A144" s="744"/>
      <c r="B144" s="745"/>
      <c r="C144" s="745"/>
      <c r="D144" s="746">
        <f>+D133</f>
        <v>2011</v>
      </c>
      <c r="E144" s="746">
        <f t="shared" ref="E144:J144" si="69">+E133</f>
        <v>2012</v>
      </c>
      <c r="F144" s="746">
        <f t="shared" si="69"/>
        <v>2013</v>
      </c>
      <c r="G144" s="746">
        <f t="shared" ref="G144" si="70">+G133</f>
        <v>2013</v>
      </c>
      <c r="H144" s="746">
        <f t="shared" si="69"/>
        <v>2014</v>
      </c>
      <c r="I144" s="746">
        <f t="shared" si="69"/>
        <v>2015</v>
      </c>
      <c r="J144" s="746">
        <f t="shared" si="69"/>
        <v>2016</v>
      </c>
    </row>
    <row r="145" spans="1:10" x14ac:dyDescent="0.2">
      <c r="A145" s="2162" t="s">
        <v>150</v>
      </c>
      <c r="B145" s="2163"/>
      <c r="C145" s="1798"/>
      <c r="D145" s="748" t="str">
        <f>+D134</f>
        <v>CGAAP</v>
      </c>
      <c r="E145" s="748" t="str">
        <f t="shared" ref="E145:J145" si="71">+E134</f>
        <v>CGAAP</v>
      </c>
      <c r="F145" s="748" t="str">
        <f t="shared" si="71"/>
        <v>CGAAP</v>
      </c>
      <c r="G145" s="748" t="str">
        <f t="shared" ref="G145" si="72">+G134</f>
        <v>MIFRS</v>
      </c>
      <c r="H145" s="748" t="str">
        <f t="shared" si="71"/>
        <v>MIFRS</v>
      </c>
      <c r="I145" s="748" t="str">
        <f t="shared" si="71"/>
        <v>MIFRS</v>
      </c>
      <c r="J145" s="748" t="str">
        <f t="shared" si="71"/>
        <v>MIFRS</v>
      </c>
    </row>
    <row r="146" spans="1:10" x14ac:dyDescent="0.2">
      <c r="A146" s="2164" t="s">
        <v>2230</v>
      </c>
      <c r="B146" s="2165"/>
      <c r="C146" s="1786"/>
      <c r="D146" s="356">
        <v>51168</v>
      </c>
      <c r="E146" s="356">
        <v>61537.53</v>
      </c>
      <c r="F146" s="356">
        <v>54255.54</v>
      </c>
      <c r="G146" s="356">
        <v>54255.54</v>
      </c>
      <c r="H146" s="356">
        <v>79639</v>
      </c>
      <c r="I146" s="356">
        <v>67064</v>
      </c>
      <c r="J146" s="730">
        <v>70417</v>
      </c>
    </row>
    <row r="147" spans="1:10" x14ac:dyDescent="0.2">
      <c r="A147" s="2160" t="s">
        <v>2231</v>
      </c>
      <c r="B147" s="2161"/>
      <c r="C147" s="1785"/>
      <c r="D147" s="356">
        <v>-12629</v>
      </c>
      <c r="E147" s="356">
        <v>2621.0700000000002</v>
      </c>
      <c r="F147" s="356">
        <v>35089.040000000001</v>
      </c>
      <c r="G147" s="356">
        <v>35089.040000000001</v>
      </c>
      <c r="H147" s="356">
        <v>44219</v>
      </c>
      <c r="I147" s="749">
        <v>46253</v>
      </c>
      <c r="J147" s="730">
        <v>30000</v>
      </c>
    </row>
    <row r="148" spans="1:10" x14ac:dyDescent="0.2">
      <c r="A148" s="2166"/>
      <c r="B148" s="2167"/>
      <c r="C148" s="1787"/>
      <c r="D148" s="750"/>
      <c r="E148" s="750"/>
      <c r="F148" s="750"/>
      <c r="G148" s="750"/>
      <c r="H148" s="750"/>
      <c r="I148" s="751"/>
      <c r="J148" s="752"/>
    </row>
    <row r="149" spans="1:10" ht="14.25" x14ac:dyDescent="0.2">
      <c r="A149" s="2168" t="s">
        <v>132</v>
      </c>
      <c r="B149" s="2169"/>
      <c r="C149" s="1788"/>
      <c r="D149" s="356"/>
      <c r="E149" s="356"/>
      <c r="F149" s="356"/>
      <c r="G149" s="356"/>
      <c r="H149" s="356"/>
      <c r="I149" s="749"/>
      <c r="J149" s="730"/>
    </row>
    <row r="150" spans="1:10" ht="13.5" thickBot="1" x14ac:dyDescent="0.25">
      <c r="A150" s="2156"/>
      <c r="B150" s="2157"/>
      <c r="C150" s="1783"/>
      <c r="D150" s="418"/>
      <c r="E150" s="418"/>
      <c r="F150" s="418"/>
      <c r="G150" s="418"/>
      <c r="H150" s="418"/>
      <c r="I150" s="753"/>
      <c r="J150" s="754"/>
    </row>
    <row r="151" spans="1:10" ht="14.25" thickTop="1" thickBot="1" x14ac:dyDescent="0.25">
      <c r="A151" s="2158" t="s">
        <v>388</v>
      </c>
      <c r="B151" s="2159"/>
      <c r="C151" s="1784"/>
      <c r="D151" s="425">
        <f t="shared" ref="D151:J151" si="73">SUM(D146:D150)</f>
        <v>38539</v>
      </c>
      <c r="E151" s="425">
        <f t="shared" si="73"/>
        <v>64158.6</v>
      </c>
      <c r="F151" s="425">
        <f t="shared" si="73"/>
        <v>89344.58</v>
      </c>
      <c r="G151" s="425">
        <f t="shared" ref="G151" si="74">SUM(G146:G150)</f>
        <v>89344.58</v>
      </c>
      <c r="H151" s="425">
        <f t="shared" si="73"/>
        <v>123858</v>
      </c>
      <c r="I151" s="425">
        <f t="shared" si="73"/>
        <v>113317</v>
      </c>
      <c r="J151" s="755">
        <f t="shared" si="73"/>
        <v>100417</v>
      </c>
    </row>
    <row r="152" spans="1:10" x14ac:dyDescent="0.2">
      <c r="A152" s="579" t="s">
        <v>13</v>
      </c>
    </row>
    <row r="153" spans="1:10" x14ac:dyDescent="0.2">
      <c r="A153" s="756">
        <v>1</v>
      </c>
      <c r="B153" s="264" t="s">
        <v>1500</v>
      </c>
      <c r="C153" s="264"/>
    </row>
    <row r="154" spans="1:10" ht="30.75" customHeight="1" x14ac:dyDescent="0.2">
      <c r="A154" s="756">
        <v>2</v>
      </c>
      <c r="B154" s="2189" t="s">
        <v>1837</v>
      </c>
      <c r="C154" s="2189"/>
      <c r="D154" s="2189"/>
      <c r="E154" s="2189"/>
      <c r="F154" s="2189"/>
      <c r="G154" s="2189"/>
      <c r="H154" s="2189"/>
      <c r="I154" s="2189"/>
      <c r="J154" s="2189"/>
    </row>
    <row r="155" spans="1:10" ht="30.75" customHeight="1" x14ac:dyDescent="0.2">
      <c r="A155" s="756"/>
    </row>
    <row r="156" spans="1:10" ht="31.5" customHeight="1" x14ac:dyDescent="0.2">
      <c r="A156" s="756"/>
    </row>
    <row r="158" spans="1:10" x14ac:dyDescent="0.2">
      <c r="B158" s="2186"/>
      <c r="C158" s="2186"/>
      <c r="D158" s="2187"/>
      <c r="E158" s="2187"/>
      <c r="F158" s="2187"/>
      <c r="G158" s="2187"/>
      <c r="H158" s="2187"/>
      <c r="I158" s="2187"/>
      <c r="J158" s="2187"/>
    </row>
    <row r="159" spans="1:10" x14ac:dyDescent="0.2">
      <c r="B159" s="2186"/>
      <c r="C159" s="2186"/>
      <c r="D159" s="2187"/>
      <c r="E159" s="2187"/>
      <c r="F159" s="2187"/>
      <c r="G159" s="2187"/>
      <c r="H159" s="2187"/>
      <c r="I159" s="2187"/>
      <c r="J159" s="2187"/>
    </row>
    <row r="160" spans="1:10" x14ac:dyDescent="0.2">
      <c r="B160" s="2186"/>
      <c r="C160" s="2186"/>
      <c r="D160" s="2187"/>
      <c r="E160" s="2187"/>
      <c r="F160" s="2187"/>
      <c r="G160" s="2187"/>
      <c r="H160" s="2187"/>
      <c r="I160" s="2187"/>
      <c r="J160" s="2187"/>
    </row>
  </sheetData>
  <mergeCells count="80">
    <mergeCell ref="B160:J160"/>
    <mergeCell ref="B158:J158"/>
    <mergeCell ref="B159:J159"/>
    <mergeCell ref="A44:J45"/>
    <mergeCell ref="A51:B51"/>
    <mergeCell ref="A57:B57"/>
    <mergeCell ref="B154:J154"/>
    <mergeCell ref="A73:B73"/>
    <mergeCell ref="A74:B74"/>
    <mergeCell ref="A75:B75"/>
    <mergeCell ref="A76:B76"/>
    <mergeCell ref="A77:B77"/>
    <mergeCell ref="A78:B78"/>
    <mergeCell ref="A79:B79"/>
    <mergeCell ref="A55:B55"/>
    <mergeCell ref="A56:B56"/>
    <mergeCell ref="D36:J36"/>
    <mergeCell ref="D37:J38"/>
    <mergeCell ref="A30:B30"/>
    <mergeCell ref="A31:B31"/>
    <mergeCell ref="A34:B34"/>
    <mergeCell ref="A35:B35"/>
    <mergeCell ref="A36:B36"/>
    <mergeCell ref="A37:B37"/>
    <mergeCell ref="A28:B28"/>
    <mergeCell ref="A29:B29"/>
    <mergeCell ref="A9:J9"/>
    <mergeCell ref="A10:J10"/>
    <mergeCell ref="A26:J26"/>
    <mergeCell ref="A27:B27"/>
    <mergeCell ref="A62:B62"/>
    <mergeCell ref="A63:B63"/>
    <mergeCell ref="A41:J41"/>
    <mergeCell ref="A64:B64"/>
    <mergeCell ref="A65:B65"/>
    <mergeCell ref="A66:B66"/>
    <mergeCell ref="A67:B67"/>
    <mergeCell ref="A68:B68"/>
    <mergeCell ref="A83:B83"/>
    <mergeCell ref="A84:B84"/>
    <mergeCell ref="A85:B85"/>
    <mergeCell ref="A86:B86"/>
    <mergeCell ref="A87:B87"/>
    <mergeCell ref="A88:B88"/>
    <mergeCell ref="A89:B89"/>
    <mergeCell ref="A94:B94"/>
    <mergeCell ref="A95:B95"/>
    <mergeCell ref="A96:B96"/>
    <mergeCell ref="A108:B108"/>
    <mergeCell ref="A116:B116"/>
    <mergeCell ref="A117:B117"/>
    <mergeCell ref="A99:B99"/>
    <mergeCell ref="A100:B100"/>
    <mergeCell ref="A101:B101"/>
    <mergeCell ref="A102:B102"/>
    <mergeCell ref="A107:B107"/>
    <mergeCell ref="A128:B128"/>
    <mergeCell ref="A129:B129"/>
    <mergeCell ref="A134:B134"/>
    <mergeCell ref="A135:B135"/>
    <mergeCell ref="A118:B118"/>
    <mergeCell ref="A123:B123"/>
    <mergeCell ref="A124:B124"/>
    <mergeCell ref="A126:B126"/>
    <mergeCell ref="A150:B150"/>
    <mergeCell ref="A151:B151"/>
    <mergeCell ref="A97:B97"/>
    <mergeCell ref="A98:B98"/>
    <mergeCell ref="A109:B109"/>
    <mergeCell ref="A110:B110"/>
    <mergeCell ref="A111:B111"/>
    <mergeCell ref="A112:B112"/>
    <mergeCell ref="A113:B113"/>
    <mergeCell ref="A145:B145"/>
    <mergeCell ref="A146:B146"/>
    <mergeCell ref="A147:B147"/>
    <mergeCell ref="A148:B148"/>
    <mergeCell ref="A149:B149"/>
    <mergeCell ref="A140:B140"/>
    <mergeCell ref="A127:B127"/>
  </mergeCells>
  <phoneticPr fontId="17" type="noConversion"/>
  <dataValidations count="1">
    <dataValidation type="list" allowBlank="1" showInputMessage="1" showErrorMessage="1" sqref="C14:J14">
      <formula1>"CGAAP, MIFRS, USGAAP, ASPE"</formula1>
    </dataValidation>
  </dataValidations>
  <pageMargins left="0.74803149606299213" right="0.74803149606299213" top="0.98425196850393704" bottom="0.98425196850393704" header="0.51181102362204722" footer="0.51181102362204722"/>
  <pageSetup scale="60" orientation="portrait" r:id="rId1"/>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pageSetUpPr fitToPage="1"/>
  </sheetPr>
  <dimension ref="A1:O141"/>
  <sheetViews>
    <sheetView showGridLines="0" zoomScaleNormal="100" workbookViewId="0"/>
  </sheetViews>
  <sheetFormatPr defaultRowHeight="15" x14ac:dyDescent="0.25"/>
  <cols>
    <col min="1" max="1" width="30.85546875" style="758" customWidth="1"/>
    <col min="2" max="8" width="15.140625" style="758" customWidth="1"/>
    <col min="9" max="9" width="12.42578125" style="758" customWidth="1"/>
    <col min="10" max="12" width="9.140625" style="758" hidden="1" customWidth="1"/>
    <col min="13" max="14" width="0" style="758" hidden="1" customWidth="1"/>
    <col min="15" max="16384" width="9.140625" style="758"/>
  </cols>
  <sheetData>
    <row r="1" spans="1:10" s="140" customFormat="1" ht="12.75" customHeight="1" x14ac:dyDescent="0.25">
      <c r="G1" s="757" t="s">
        <v>394</v>
      </c>
      <c r="H1" s="1513" t="str">
        <f>EBNUMBER</f>
        <v>EB-2015-0089</v>
      </c>
      <c r="I1" s="758"/>
      <c r="J1" s="1513"/>
    </row>
    <row r="2" spans="1:10" s="140" customFormat="1" ht="12.75" customHeight="1" x14ac:dyDescent="0.25">
      <c r="G2" s="757" t="s">
        <v>395</v>
      </c>
      <c r="H2" s="136">
        <v>3</v>
      </c>
      <c r="I2" s="758"/>
      <c r="J2" s="759"/>
    </row>
    <row r="3" spans="1:10" s="140" customFormat="1" ht="12.75" customHeight="1" x14ac:dyDescent="0.25">
      <c r="G3" s="757" t="s">
        <v>396</v>
      </c>
      <c r="H3" s="136" t="s">
        <v>2456</v>
      </c>
      <c r="I3" s="758"/>
      <c r="J3" s="759"/>
    </row>
    <row r="4" spans="1:10" s="140" customFormat="1" ht="12.75" customHeight="1" x14ac:dyDescent="0.25">
      <c r="G4" s="757" t="s">
        <v>397</v>
      </c>
      <c r="H4" s="136" t="s">
        <v>2405</v>
      </c>
      <c r="I4" s="758"/>
      <c r="J4" s="759"/>
    </row>
    <row r="5" spans="1:10" s="140" customFormat="1" ht="12.75" customHeight="1" x14ac:dyDescent="0.25">
      <c r="G5" s="757" t="s">
        <v>398</v>
      </c>
      <c r="H5" s="1514">
        <v>18</v>
      </c>
      <c r="I5" s="758"/>
      <c r="J5" s="760"/>
    </row>
    <row r="6" spans="1:10" s="140" customFormat="1" ht="12.75" customHeight="1" x14ac:dyDescent="0.25">
      <c r="G6" s="757"/>
      <c r="H6" s="1513"/>
      <c r="I6" s="758"/>
      <c r="J6" s="760"/>
    </row>
    <row r="7" spans="1:10" s="140" customFormat="1" ht="12.75" customHeight="1" x14ac:dyDescent="0.25">
      <c r="G7" s="757" t="s">
        <v>399</v>
      </c>
      <c r="H7" s="1838" t="s">
        <v>2455</v>
      </c>
      <c r="I7" s="758"/>
      <c r="J7" s="760"/>
    </row>
    <row r="8" spans="1:10" s="140" customFormat="1" ht="12.75" x14ac:dyDescent="0.2">
      <c r="G8" s="386"/>
    </row>
    <row r="9" spans="1:10" s="140" customFormat="1" ht="18" x14ac:dyDescent="0.25">
      <c r="A9" s="1979" t="s">
        <v>219</v>
      </c>
      <c r="B9" s="1979"/>
      <c r="C9" s="1979"/>
      <c r="D9" s="1979"/>
      <c r="E9" s="1979"/>
      <c r="F9" s="1979"/>
      <c r="G9" s="1979"/>
      <c r="H9" s="1979"/>
    </row>
    <row r="10" spans="1:10" s="140" customFormat="1" ht="18" x14ac:dyDescent="0.25">
      <c r="A10" s="1979" t="s">
        <v>1857</v>
      </c>
      <c r="B10" s="1979"/>
      <c r="C10" s="1979"/>
      <c r="D10" s="1979"/>
      <c r="E10" s="1979"/>
      <c r="F10" s="1979"/>
      <c r="G10" s="1979"/>
      <c r="H10" s="1979"/>
    </row>
    <row r="11" spans="1:10" ht="12" customHeight="1" x14ac:dyDescent="0.25"/>
    <row r="12" spans="1:10" ht="57" customHeight="1" x14ac:dyDescent="0.25">
      <c r="A12" s="2232" t="s">
        <v>1977</v>
      </c>
      <c r="B12" s="2191"/>
      <c r="C12" s="2191"/>
      <c r="D12" s="2191"/>
      <c r="E12" s="2191"/>
      <c r="F12" s="2191"/>
      <c r="G12" s="2191"/>
      <c r="H12" s="2191"/>
    </row>
    <row r="13" spans="1:10" ht="12" customHeight="1" x14ac:dyDescent="0.25"/>
    <row r="14" spans="1:10" ht="77.25" customHeight="1" x14ac:dyDescent="0.25">
      <c r="A14" s="2191" t="s">
        <v>1614</v>
      </c>
      <c r="B14" s="2191"/>
      <c r="C14" s="2191"/>
      <c r="D14" s="2191"/>
      <c r="E14" s="2191"/>
      <c r="F14" s="2191"/>
      <c r="G14" s="2191"/>
      <c r="H14" s="2191"/>
    </row>
    <row r="15" spans="1:10" ht="12" customHeight="1" x14ac:dyDescent="0.25"/>
    <row r="16" spans="1:10" ht="77.25" customHeight="1" x14ac:dyDescent="0.25">
      <c r="A16" s="2233" t="s">
        <v>1615</v>
      </c>
      <c r="B16" s="2191"/>
      <c r="C16" s="2191"/>
      <c r="D16" s="2191"/>
      <c r="E16" s="2191"/>
      <c r="F16" s="2191"/>
      <c r="G16" s="2191"/>
      <c r="H16" s="2191"/>
    </row>
    <row r="17" spans="1:8" ht="12" customHeight="1" x14ac:dyDescent="0.25"/>
    <row r="18" spans="1:8" ht="61.5" customHeight="1" x14ac:dyDescent="0.25">
      <c r="A18" s="2191" t="s">
        <v>1616</v>
      </c>
      <c r="B18" s="2191"/>
      <c r="C18" s="2191"/>
      <c r="D18" s="2191"/>
      <c r="E18" s="2191"/>
      <c r="F18" s="2191"/>
      <c r="G18" s="2191"/>
      <c r="H18" s="2191"/>
    </row>
    <row r="19" spans="1:8" ht="12" customHeight="1" x14ac:dyDescent="0.25"/>
    <row r="20" spans="1:8" ht="18.75" x14ac:dyDescent="0.25">
      <c r="A20" s="2222" t="s">
        <v>1617</v>
      </c>
      <c r="B20" s="2222"/>
      <c r="C20" s="2222"/>
      <c r="D20" s="2222"/>
      <c r="E20" s="2222"/>
      <c r="F20" s="2222"/>
      <c r="G20" s="2222"/>
      <c r="H20" s="2222"/>
    </row>
    <row r="21" spans="1:8" ht="12" customHeight="1" x14ac:dyDescent="0.25"/>
    <row r="22" spans="1:8" x14ac:dyDescent="0.25">
      <c r="A22" s="2223" t="s">
        <v>648</v>
      </c>
      <c r="B22" s="2223"/>
      <c r="C22" s="2223"/>
      <c r="D22" s="2223"/>
      <c r="E22" s="2223"/>
      <c r="F22" s="2223"/>
      <c r="G22" s="2223"/>
      <c r="H22" s="2223"/>
    </row>
    <row r="23" spans="1:8" x14ac:dyDescent="0.25">
      <c r="A23" s="761"/>
      <c r="B23" s="761"/>
      <c r="C23" s="761"/>
      <c r="D23" s="761"/>
      <c r="E23" s="761"/>
      <c r="F23" s="761"/>
    </row>
    <row r="24" spans="1:8" ht="28.5" customHeight="1" x14ac:dyDescent="0.25">
      <c r="A24" s="2224" t="s">
        <v>1618</v>
      </c>
      <c r="B24" s="2224"/>
      <c r="C24" s="2224"/>
      <c r="D24" s="2224"/>
      <c r="E24" s="2224"/>
      <c r="F24" s="2224"/>
      <c r="G24" s="2224"/>
      <c r="H24" s="2224"/>
    </row>
    <row r="25" spans="1:8" ht="12" customHeight="1" x14ac:dyDescent="0.25">
      <c r="A25" s="761"/>
      <c r="B25" s="761"/>
      <c r="C25" s="761"/>
      <c r="D25" s="761"/>
      <c r="E25" s="761"/>
      <c r="F25" s="761"/>
    </row>
    <row r="26" spans="1:8" ht="28.5" customHeight="1" x14ac:dyDescent="0.25">
      <c r="A26" s="2224" t="s">
        <v>1619</v>
      </c>
      <c r="B26" s="2224"/>
      <c r="C26" s="2224"/>
      <c r="D26" s="2224"/>
      <c r="E26" s="2224"/>
      <c r="F26" s="2224"/>
      <c r="G26" s="2224"/>
      <c r="H26" s="2224"/>
    </row>
    <row r="27" spans="1:8" ht="12" customHeight="1" x14ac:dyDescent="0.25">
      <c r="A27" s="762"/>
      <c r="B27" s="763"/>
      <c r="C27" s="763"/>
      <c r="D27" s="763"/>
      <c r="E27" s="763"/>
      <c r="F27" s="763"/>
    </row>
    <row r="28" spans="1:8" ht="46.5" customHeight="1" x14ac:dyDescent="0.25">
      <c r="A28" s="2224" t="s">
        <v>1620</v>
      </c>
      <c r="B28" s="2224"/>
      <c r="C28" s="2224"/>
      <c r="D28" s="2224"/>
      <c r="E28" s="2224"/>
      <c r="F28" s="2224"/>
      <c r="G28" s="2224"/>
      <c r="H28" s="2224"/>
    </row>
    <row r="29" spans="1:8" ht="12" customHeight="1" x14ac:dyDescent="0.25">
      <c r="A29" s="762"/>
      <c r="B29" s="763"/>
      <c r="C29" s="763"/>
      <c r="D29" s="763"/>
      <c r="E29" s="763"/>
      <c r="F29" s="763"/>
    </row>
    <row r="30" spans="1:8" ht="57.75" customHeight="1" x14ac:dyDescent="0.25">
      <c r="A30" s="2224" t="s">
        <v>1903</v>
      </c>
      <c r="B30" s="2224"/>
      <c r="C30" s="2224"/>
      <c r="D30" s="2224"/>
      <c r="E30" s="2224"/>
      <c r="F30" s="2224"/>
      <c r="G30" s="2224"/>
      <c r="H30" s="2224"/>
    </row>
    <row r="31" spans="1:8" ht="12" customHeight="1" x14ac:dyDescent="0.25">
      <c r="A31" s="2224"/>
      <c r="B31" s="2224"/>
      <c r="C31" s="2224"/>
      <c r="D31" s="2224"/>
      <c r="E31" s="2224"/>
      <c r="F31" s="2224"/>
      <c r="G31" s="2224"/>
      <c r="H31" s="2224"/>
    </row>
    <row r="32" spans="1:8" ht="12" customHeight="1" thickBot="1" x14ac:dyDescent="0.3">
      <c r="A32" s="764"/>
      <c r="B32" s="763"/>
      <c r="C32" s="763"/>
      <c r="D32" s="763"/>
      <c r="E32" s="763"/>
      <c r="F32" s="763"/>
    </row>
    <row r="33" spans="1:14" x14ac:dyDescent="0.25">
      <c r="A33" s="2210" t="s">
        <v>619</v>
      </c>
      <c r="B33" s="2211"/>
      <c r="C33" s="2211"/>
      <c r="D33" s="2211"/>
      <c r="E33" s="2211"/>
      <c r="F33" s="2212"/>
      <c r="G33" s="2228" t="s">
        <v>1902</v>
      </c>
      <c r="H33" s="2229"/>
    </row>
    <row r="34" spans="1:14" x14ac:dyDescent="0.25">
      <c r="A34" s="2225">
        <v>33500000</v>
      </c>
      <c r="B34" s="2226"/>
      <c r="C34" s="2226"/>
      <c r="D34" s="2226"/>
      <c r="E34" s="2226"/>
      <c r="F34" s="2227"/>
      <c r="G34" s="2230"/>
      <c r="H34" s="2231"/>
    </row>
    <row r="35" spans="1:14" x14ac:dyDescent="0.25">
      <c r="A35" s="765"/>
      <c r="B35" s="766">
        <v>2011</v>
      </c>
      <c r="C35" s="766">
        <v>2012</v>
      </c>
      <c r="D35" s="766">
        <v>2013</v>
      </c>
      <c r="E35" s="766">
        <v>2014</v>
      </c>
      <c r="F35" s="767" t="s">
        <v>388</v>
      </c>
      <c r="G35" s="768">
        <v>2015</v>
      </c>
      <c r="H35" s="769">
        <v>2016</v>
      </c>
      <c r="K35" s="758">
        <f>B35</f>
        <v>2011</v>
      </c>
      <c r="L35" s="758">
        <f>C35</f>
        <v>2012</v>
      </c>
      <c r="M35" s="758">
        <f>D35</f>
        <v>2013</v>
      </c>
      <c r="N35" s="758">
        <f>E35</f>
        <v>2014</v>
      </c>
    </row>
    <row r="36" spans="1:14" x14ac:dyDescent="0.25">
      <c r="A36" s="770" t="s">
        <v>620</v>
      </c>
      <c r="B36" s="771">
        <f>B42/$F$46</f>
        <v>0.12131363673965612</v>
      </c>
      <c r="C36" s="771">
        <f t="shared" ref="C36:E39" si="0">C42/$F$46</f>
        <v>0.12088260275910942</v>
      </c>
      <c r="D36" s="771">
        <f t="shared" si="0"/>
        <v>0.12088260275910942</v>
      </c>
      <c r="E36" s="772">
        <f t="shared" si="0"/>
        <v>0.12088260275910942</v>
      </c>
      <c r="F36" s="773">
        <f>SUM(B36:E36)</f>
        <v>0.48396144501698435</v>
      </c>
      <c r="G36" s="774"/>
      <c r="H36" s="775"/>
      <c r="J36" s="758" t="str">
        <f>A36</f>
        <v>2011 CDM Programs</v>
      </c>
      <c r="K36" s="776">
        <f>50%</f>
        <v>0.5</v>
      </c>
      <c r="L36" s="777">
        <v>1</v>
      </c>
      <c r="M36" s="778">
        <v>1</v>
      </c>
      <c r="N36" s="778">
        <v>1</v>
      </c>
    </row>
    <row r="37" spans="1:14" x14ac:dyDescent="0.25">
      <c r="A37" s="770" t="s">
        <v>621</v>
      </c>
      <c r="B37" s="779"/>
      <c r="C37" s="771">
        <f t="shared" si="0"/>
        <v>6.4173574063340955E-2</v>
      </c>
      <c r="D37" s="771">
        <f t="shared" si="0"/>
        <v>6.4016410749815289E-2</v>
      </c>
      <c r="E37" s="772">
        <f t="shared" si="0"/>
        <v>6.4016410749815289E-2</v>
      </c>
      <c r="F37" s="773">
        <f t="shared" ref="F37:F39" si="1">SUM(B37:E37)</f>
        <v>0.19220639556297153</v>
      </c>
      <c r="G37" s="774"/>
      <c r="H37" s="775"/>
      <c r="J37" s="758" t="str">
        <f>A37</f>
        <v>2012 CDM Programs</v>
      </c>
      <c r="L37" s="777">
        <v>0.5</v>
      </c>
      <c r="M37" s="778">
        <v>1</v>
      </c>
      <c r="N37" s="778">
        <v>1</v>
      </c>
    </row>
    <row r="38" spans="1:14" x14ac:dyDescent="0.25">
      <c r="A38" s="770" t="s">
        <v>622</v>
      </c>
      <c r="B38" s="779"/>
      <c r="C38" s="779"/>
      <c r="D38" s="771">
        <f t="shared" si="0"/>
        <v>9.987663845019884E-2</v>
      </c>
      <c r="E38" s="772">
        <f t="shared" si="0"/>
        <v>9.9626135145691297E-2</v>
      </c>
      <c r="F38" s="773">
        <f t="shared" si="1"/>
        <v>0.19950277359589014</v>
      </c>
      <c r="G38" s="774"/>
      <c r="H38" s="775"/>
      <c r="J38" s="758" t="str">
        <f>A38</f>
        <v>2013 CDM Programs</v>
      </c>
      <c r="M38" s="778">
        <v>0.5</v>
      </c>
      <c r="N38" s="778">
        <v>1</v>
      </c>
    </row>
    <row r="39" spans="1:14" ht="15.75" thickBot="1" x14ac:dyDescent="0.3">
      <c r="A39" s="780" t="s">
        <v>623</v>
      </c>
      <c r="B39" s="781"/>
      <c r="C39" s="781"/>
      <c r="D39" s="781"/>
      <c r="E39" s="782">
        <f t="shared" si="0"/>
        <v>0.12432938582415393</v>
      </c>
      <c r="F39" s="783">
        <f t="shared" si="1"/>
        <v>0.12432938582415393</v>
      </c>
      <c r="G39" s="774"/>
      <c r="H39" s="775"/>
      <c r="J39" s="758" t="str">
        <f>A39</f>
        <v>2014 CDM Programs</v>
      </c>
      <c r="N39" s="778">
        <v>0.5</v>
      </c>
    </row>
    <row r="40" spans="1:14" ht="15.75" thickTop="1" x14ac:dyDescent="0.25">
      <c r="A40" s="768" t="s">
        <v>624</v>
      </c>
      <c r="B40" s="784">
        <f>SUM(B36:B39)</f>
        <v>0.12131363673965612</v>
      </c>
      <c r="C40" s="784">
        <f t="shared" ref="C40:E40" si="2">SUM(C36:C39)</f>
        <v>0.18505617682245037</v>
      </c>
      <c r="D40" s="784">
        <f t="shared" si="2"/>
        <v>0.28477565195912358</v>
      </c>
      <c r="E40" s="785">
        <f t="shared" si="2"/>
        <v>0.4088545344787699</v>
      </c>
      <c r="F40" s="786">
        <f>SUM(B40:E40)</f>
        <v>1</v>
      </c>
      <c r="G40" s="774"/>
      <c r="H40" s="775"/>
    </row>
    <row r="41" spans="1:14" ht="12" customHeight="1" x14ac:dyDescent="0.25">
      <c r="A41" s="2205" t="s">
        <v>110</v>
      </c>
      <c r="B41" s="2206"/>
      <c r="C41" s="2206"/>
      <c r="D41" s="2206"/>
      <c r="E41" s="2206"/>
      <c r="F41" s="2207"/>
      <c r="G41" s="774"/>
      <c r="H41" s="775"/>
    </row>
    <row r="42" spans="1:14" x14ac:dyDescent="0.25">
      <c r="A42" s="770" t="s">
        <v>620</v>
      </c>
      <c r="B42" s="787">
        <v>3748324</v>
      </c>
      <c r="C42" s="787">
        <v>3735006</v>
      </c>
      <c r="D42" s="787">
        <v>3735006</v>
      </c>
      <c r="E42" s="788">
        <v>3735006</v>
      </c>
      <c r="F42" s="789">
        <f>SUM(B42:E42)</f>
        <v>14953342</v>
      </c>
      <c r="G42" s="774"/>
      <c r="H42" s="775"/>
    </row>
    <row r="43" spans="1:14" x14ac:dyDescent="0.25">
      <c r="A43" s="770" t="s">
        <v>621</v>
      </c>
      <c r="B43" s="790"/>
      <c r="C43" s="791">
        <v>1982822</v>
      </c>
      <c r="D43" s="791">
        <v>1977966</v>
      </c>
      <c r="E43" s="792">
        <v>1977966</v>
      </c>
      <c r="F43" s="789">
        <f t="shared" ref="F43:F45" si="3">SUM(B43:E43)</f>
        <v>5938754</v>
      </c>
      <c r="G43" s="774"/>
      <c r="H43" s="775"/>
    </row>
    <row r="44" spans="1:14" x14ac:dyDescent="0.25">
      <c r="A44" s="770" t="s">
        <v>622</v>
      </c>
      <c r="B44" s="790"/>
      <c r="C44" s="790"/>
      <c r="D44" s="791">
        <v>3085968</v>
      </c>
      <c r="E44" s="792">
        <v>3078228</v>
      </c>
      <c r="F44" s="789">
        <f t="shared" si="3"/>
        <v>6164196</v>
      </c>
      <c r="G44" s="774"/>
      <c r="H44" s="775"/>
    </row>
    <row r="45" spans="1:14" ht="15.75" thickBot="1" x14ac:dyDescent="0.3">
      <c r="A45" s="780" t="s">
        <v>623</v>
      </c>
      <c r="B45" s="793"/>
      <c r="C45" s="793"/>
      <c r="D45" s="793"/>
      <c r="E45" s="794">
        <v>3841504</v>
      </c>
      <c r="F45" s="795">
        <f t="shared" si="3"/>
        <v>3841504</v>
      </c>
      <c r="G45" s="796"/>
      <c r="H45" s="797"/>
      <c r="I45" s="1826" t="s">
        <v>2387</v>
      </c>
    </row>
    <row r="46" spans="1:14" ht="16.5" thickTop="1" thickBot="1" x14ac:dyDescent="0.3">
      <c r="A46" s="798" t="s">
        <v>624</v>
      </c>
      <c r="B46" s="799">
        <f>SUM(B42:B45)</f>
        <v>3748324</v>
      </c>
      <c r="C46" s="799">
        <f t="shared" ref="C46:E46" si="4">SUM(C42:C45)</f>
        <v>5717828</v>
      </c>
      <c r="D46" s="799">
        <f t="shared" si="4"/>
        <v>8798940</v>
      </c>
      <c r="E46" s="800">
        <f t="shared" si="4"/>
        <v>12632704</v>
      </c>
      <c r="F46" s="801">
        <f>SUM(F42:F45)</f>
        <v>30897796</v>
      </c>
      <c r="G46" s="802"/>
      <c r="H46" s="803"/>
    </row>
    <row r="47" spans="1:14" ht="12" customHeight="1" x14ac:dyDescent="0.25">
      <c r="A47" s="804"/>
      <c r="B47" s="805"/>
      <c r="C47" s="805"/>
      <c r="D47" s="805"/>
      <c r="E47" s="805"/>
      <c r="F47" s="805"/>
    </row>
    <row r="48" spans="1:14" ht="18.75" x14ac:dyDescent="0.25">
      <c r="A48" s="2222" t="s">
        <v>1862</v>
      </c>
      <c r="B48" s="2222"/>
      <c r="C48" s="2222"/>
      <c r="D48" s="2222"/>
      <c r="E48" s="2222"/>
      <c r="F48" s="2222"/>
    </row>
    <row r="49" spans="1:8" x14ac:dyDescent="0.25">
      <c r="A49" s="804"/>
      <c r="B49" s="805"/>
      <c r="C49" s="805"/>
      <c r="D49" s="805"/>
      <c r="E49" s="805"/>
      <c r="F49" s="805"/>
    </row>
    <row r="50" spans="1:8" ht="96.75" customHeight="1" x14ac:dyDescent="0.25">
      <c r="A50" s="2209" t="s">
        <v>1911</v>
      </c>
      <c r="B50" s="2198"/>
      <c r="C50" s="2198"/>
      <c r="D50" s="2198"/>
      <c r="E50" s="2198"/>
      <c r="F50" s="2198"/>
      <c r="G50" s="2198"/>
      <c r="H50" s="2198"/>
    </row>
    <row r="51" spans="1:8" ht="15.75" thickBot="1" x14ac:dyDescent="0.3">
      <c r="A51" s="804"/>
      <c r="B51" s="805"/>
      <c r="C51" s="805"/>
      <c r="D51" s="805"/>
      <c r="E51" s="805"/>
      <c r="F51" s="805"/>
    </row>
    <row r="52" spans="1:8" x14ac:dyDescent="0.25">
      <c r="A52" s="2219" t="s">
        <v>1621</v>
      </c>
      <c r="B52" s="2220"/>
      <c r="C52" s="2220"/>
      <c r="D52" s="2220"/>
      <c r="E52" s="2220"/>
      <c r="F52" s="2220"/>
      <c r="G52" s="2220"/>
      <c r="H52" s="2221"/>
    </row>
    <row r="53" spans="1:8" x14ac:dyDescent="0.25">
      <c r="A53" s="2199">
        <v>45360000</v>
      </c>
      <c r="B53" s="2200"/>
      <c r="C53" s="2200"/>
      <c r="D53" s="2200"/>
      <c r="E53" s="2200"/>
      <c r="F53" s="2200"/>
      <c r="G53" s="2200"/>
      <c r="H53" s="2201"/>
    </row>
    <row r="54" spans="1:8" x14ac:dyDescent="0.25">
      <c r="A54" s="806"/>
      <c r="B54" s="807">
        <v>2015</v>
      </c>
      <c r="C54" s="807">
        <v>2016</v>
      </c>
      <c r="D54" s="807">
        <v>2017</v>
      </c>
      <c r="E54" s="807">
        <v>2018</v>
      </c>
      <c r="F54" s="807">
        <v>2019</v>
      </c>
      <c r="G54" s="807">
        <v>2020</v>
      </c>
      <c r="H54" s="808" t="s">
        <v>388</v>
      </c>
    </row>
    <row r="55" spans="1:8" x14ac:dyDescent="0.25">
      <c r="A55" s="2202" t="s">
        <v>218</v>
      </c>
      <c r="B55" s="2203"/>
      <c r="C55" s="2203"/>
      <c r="D55" s="2203"/>
      <c r="E55" s="2203"/>
      <c r="F55" s="2203"/>
      <c r="G55" s="2203"/>
      <c r="H55" s="2204"/>
    </row>
    <row r="56" spans="1:8" x14ac:dyDescent="0.25">
      <c r="A56" s="770" t="s">
        <v>1622</v>
      </c>
      <c r="B56" s="771">
        <f>B64/$H$70</f>
        <v>0.16666666666666666</v>
      </c>
      <c r="C56" s="809"/>
      <c r="D56" s="809"/>
      <c r="E56" s="809"/>
      <c r="F56" s="809"/>
      <c r="G56" s="810"/>
      <c r="H56" s="773">
        <f>SUM(B56:G56)</f>
        <v>0.16666666666666666</v>
      </c>
    </row>
    <row r="57" spans="1:8" x14ac:dyDescent="0.25">
      <c r="A57" s="770" t="s">
        <v>1623</v>
      </c>
      <c r="B57" s="779"/>
      <c r="C57" s="771">
        <f t="shared" ref="C57:F60" si="5">C65/$H$70</f>
        <v>0.16666666666666666</v>
      </c>
      <c r="D57" s="809"/>
      <c r="E57" s="809"/>
      <c r="F57" s="809"/>
      <c r="G57" s="810"/>
      <c r="H57" s="773">
        <f>SUM(B57:G57)</f>
        <v>0.16666666666666666</v>
      </c>
    </row>
    <row r="58" spans="1:8" x14ac:dyDescent="0.25">
      <c r="A58" s="770" t="s">
        <v>1624</v>
      </c>
      <c r="B58" s="779"/>
      <c r="C58" s="779"/>
      <c r="D58" s="771">
        <f t="shared" si="5"/>
        <v>0.16666666666666666</v>
      </c>
      <c r="E58" s="809"/>
      <c r="F58" s="809"/>
      <c r="G58" s="810"/>
      <c r="H58" s="773">
        <f>SUM(B58:G58)</f>
        <v>0.16666666666666666</v>
      </c>
    </row>
    <row r="59" spans="1:8" x14ac:dyDescent="0.25">
      <c r="A59" s="770" t="s">
        <v>1625</v>
      </c>
      <c r="B59" s="779"/>
      <c r="C59" s="779"/>
      <c r="D59" s="771"/>
      <c r="E59" s="771">
        <f t="shared" si="5"/>
        <v>0.16666666666666666</v>
      </c>
      <c r="F59" s="809"/>
      <c r="G59" s="810"/>
      <c r="H59" s="773">
        <f>SUM(E59:G59)</f>
        <v>0.16666666666666666</v>
      </c>
    </row>
    <row r="60" spans="1:8" x14ac:dyDescent="0.25">
      <c r="A60" s="770" t="s">
        <v>1626</v>
      </c>
      <c r="B60" s="779"/>
      <c r="C60" s="779"/>
      <c r="D60" s="771"/>
      <c r="E60" s="771"/>
      <c r="F60" s="771">
        <f t="shared" si="5"/>
        <v>0.16666666666666666</v>
      </c>
      <c r="G60" s="810"/>
      <c r="H60" s="773">
        <f>SUM(F60:G60)</f>
        <v>0.16666666666666666</v>
      </c>
    </row>
    <row r="61" spans="1:8" ht="15.75" thickBot="1" x14ac:dyDescent="0.3">
      <c r="A61" s="780" t="s">
        <v>1627</v>
      </c>
      <c r="B61" s="781"/>
      <c r="C61" s="781"/>
      <c r="D61" s="781"/>
      <c r="E61" s="781"/>
      <c r="F61" s="781"/>
      <c r="G61" s="782">
        <f>G69/$H$70</f>
        <v>0.16666666666666666</v>
      </c>
      <c r="H61" s="783">
        <f>SUM(B61:G61)</f>
        <v>0.16666666666666666</v>
      </c>
    </row>
    <row r="62" spans="1:8" ht="15.75" thickTop="1" x14ac:dyDescent="0.25">
      <c r="A62" s="811" t="s">
        <v>624</v>
      </c>
      <c r="B62" s="812">
        <f>SUM(B56:B61)</f>
        <v>0.16666666666666666</v>
      </c>
      <c r="C62" s="812">
        <f>SUM(C56:C61)</f>
        <v>0.16666666666666666</v>
      </c>
      <c r="D62" s="812">
        <f>SUM(D56:D61)</f>
        <v>0.16666666666666666</v>
      </c>
      <c r="E62" s="812">
        <f>SUM(E56:E59)</f>
        <v>0.16666666666666666</v>
      </c>
      <c r="F62" s="812">
        <f>SUM(F56:F60)</f>
        <v>0.16666666666666666</v>
      </c>
      <c r="G62" s="813">
        <f>SUM(G56:G61)</f>
        <v>0.16666666666666666</v>
      </c>
      <c r="H62" s="814">
        <f>SUM(B62:G62)</f>
        <v>0.99999999999999989</v>
      </c>
    </row>
    <row r="63" spans="1:8" ht="12" customHeight="1" x14ac:dyDescent="0.25">
      <c r="A63" s="2205" t="s">
        <v>110</v>
      </c>
      <c r="B63" s="2206"/>
      <c r="C63" s="2206"/>
      <c r="D63" s="2206"/>
      <c r="E63" s="2206"/>
      <c r="F63" s="2206"/>
      <c r="G63" s="2206"/>
      <c r="H63" s="2207"/>
    </row>
    <row r="64" spans="1:8" x14ac:dyDescent="0.25">
      <c r="A64" s="770" t="str">
        <f t="shared" ref="A64:A69" si="6">A56</f>
        <v>2015 CDM Programs</v>
      </c>
      <c r="B64" s="787">
        <f>1/6*A53</f>
        <v>7560000</v>
      </c>
      <c r="C64" s="787"/>
      <c r="D64" s="809"/>
      <c r="E64" s="815"/>
      <c r="F64" s="815"/>
      <c r="G64" s="816"/>
      <c r="H64" s="789">
        <f>SUM(B64:G64)</f>
        <v>7560000</v>
      </c>
    </row>
    <row r="65" spans="1:8" x14ac:dyDescent="0.25">
      <c r="A65" s="770" t="str">
        <f t="shared" si="6"/>
        <v>2016 CDM Programs</v>
      </c>
      <c r="B65" s="790"/>
      <c r="C65" s="791">
        <f>B64</f>
        <v>7560000</v>
      </c>
      <c r="D65" s="817"/>
      <c r="E65" s="817"/>
      <c r="F65" s="817"/>
      <c r="G65" s="818"/>
      <c r="H65" s="789">
        <f>SUM(B65:G65)</f>
        <v>7560000</v>
      </c>
    </row>
    <row r="66" spans="1:8" x14ac:dyDescent="0.25">
      <c r="A66" s="770" t="str">
        <f t="shared" si="6"/>
        <v>2017 CDM Programs</v>
      </c>
      <c r="B66" s="790"/>
      <c r="C66" s="790"/>
      <c r="D66" s="791">
        <f>C65</f>
        <v>7560000</v>
      </c>
      <c r="E66" s="817"/>
      <c r="F66" s="817"/>
      <c r="G66" s="818"/>
      <c r="H66" s="789">
        <f>SUM(B66:G66)</f>
        <v>7560000</v>
      </c>
    </row>
    <row r="67" spans="1:8" x14ac:dyDescent="0.25">
      <c r="A67" s="770" t="str">
        <f t="shared" si="6"/>
        <v>2018 CDM Programs</v>
      </c>
      <c r="B67" s="790"/>
      <c r="C67" s="790"/>
      <c r="D67" s="819"/>
      <c r="E67" s="787">
        <f>D66</f>
        <v>7560000</v>
      </c>
      <c r="F67" s="815"/>
      <c r="G67" s="816"/>
      <c r="H67" s="789">
        <f>SUM(E67:G67)</f>
        <v>7560000</v>
      </c>
    </row>
    <row r="68" spans="1:8" x14ac:dyDescent="0.25">
      <c r="A68" s="770" t="str">
        <f t="shared" si="6"/>
        <v>2019 CDM Programs</v>
      </c>
      <c r="B68" s="790"/>
      <c r="C68" s="790"/>
      <c r="D68" s="819"/>
      <c r="E68" s="819"/>
      <c r="F68" s="787">
        <f>E67</f>
        <v>7560000</v>
      </c>
      <c r="G68" s="816"/>
      <c r="H68" s="789">
        <f>SUM(F68:G68)</f>
        <v>7560000</v>
      </c>
    </row>
    <row r="69" spans="1:8" ht="15.75" thickBot="1" x14ac:dyDescent="0.3">
      <c r="A69" s="780" t="str">
        <f t="shared" si="6"/>
        <v>2020 CDM Programs</v>
      </c>
      <c r="B69" s="793"/>
      <c r="C69" s="793"/>
      <c r="D69" s="793"/>
      <c r="E69" s="793"/>
      <c r="F69" s="793"/>
      <c r="G69" s="794">
        <f>F68</f>
        <v>7560000</v>
      </c>
      <c r="H69" s="795">
        <f>SUM(B69:G69)</f>
        <v>7560000</v>
      </c>
    </row>
    <row r="70" spans="1:8" ht="16.5" thickTop="1" thickBot="1" x14ac:dyDescent="0.3">
      <c r="A70" s="798" t="s">
        <v>624</v>
      </c>
      <c r="B70" s="799">
        <f>SUM(B64:B69)</f>
        <v>7560000</v>
      </c>
      <c r="C70" s="799">
        <f t="shared" ref="C70:D70" si="7">SUM(C64:C69)</f>
        <v>7560000</v>
      </c>
      <c r="D70" s="799">
        <f t="shared" si="7"/>
        <v>7560000</v>
      </c>
      <c r="E70" s="799">
        <f>SUM(E64:E67)</f>
        <v>7560000</v>
      </c>
      <c r="F70" s="799">
        <f>SUM(F64:F68)</f>
        <v>7560000</v>
      </c>
      <c r="G70" s="800">
        <f>SUM(G64:G69)</f>
        <v>7560000</v>
      </c>
      <c r="H70" s="801">
        <f>A53</f>
        <v>45360000</v>
      </c>
    </row>
    <row r="71" spans="1:8" ht="12" customHeight="1" x14ac:dyDescent="0.25">
      <c r="A71" s="804"/>
      <c r="B71" s="805"/>
      <c r="C71" s="805"/>
      <c r="D71" s="805"/>
      <c r="E71" s="805"/>
      <c r="F71" s="805"/>
    </row>
    <row r="72" spans="1:8" ht="18.75" x14ac:dyDescent="0.3">
      <c r="A72" s="2208" t="s">
        <v>1907</v>
      </c>
      <c r="B72" s="2208"/>
      <c r="C72" s="2208"/>
      <c r="D72" s="2208"/>
      <c r="E72" s="2208"/>
      <c r="F72" s="2208"/>
      <c r="G72" s="2208"/>
      <c r="H72" s="2208"/>
    </row>
    <row r="73" spans="1:8" ht="12" customHeight="1" x14ac:dyDescent="0.25">
      <c r="A73" s="804"/>
      <c r="B73" s="805"/>
      <c r="C73" s="805"/>
      <c r="D73" s="805"/>
      <c r="E73" s="805"/>
      <c r="F73" s="805"/>
    </row>
    <row r="74" spans="1:8" ht="75" customHeight="1" x14ac:dyDescent="0.25">
      <c r="A74" s="2198" t="s">
        <v>1628</v>
      </c>
      <c r="B74" s="2198"/>
      <c r="C74" s="2198"/>
      <c r="D74" s="2198"/>
      <c r="E74" s="2198"/>
      <c r="F74" s="2198"/>
      <c r="G74" s="2198"/>
      <c r="H74" s="2198"/>
    </row>
    <row r="75" spans="1:8" ht="12" customHeight="1" x14ac:dyDescent="0.25">
      <c r="A75" s="804"/>
      <c r="B75" s="805"/>
      <c r="C75" s="805"/>
      <c r="D75" s="805"/>
      <c r="E75" s="805"/>
      <c r="F75" s="805"/>
    </row>
    <row r="76" spans="1:8" ht="47.25" customHeight="1" x14ac:dyDescent="0.25">
      <c r="A76" s="2209" t="s">
        <v>1910</v>
      </c>
      <c r="B76" s="2198"/>
      <c r="C76" s="2198"/>
      <c r="D76" s="2198"/>
      <c r="E76" s="2198"/>
      <c r="F76" s="2198"/>
      <c r="G76" s="2198"/>
      <c r="H76" s="2198"/>
    </row>
    <row r="77" spans="1:8" ht="12" customHeight="1" thickBot="1" x14ac:dyDescent="0.3">
      <c r="A77" s="820"/>
      <c r="B77" s="821"/>
      <c r="C77" s="821"/>
      <c r="D77" s="821"/>
      <c r="E77" s="821"/>
      <c r="F77" s="821"/>
    </row>
    <row r="78" spans="1:8" x14ac:dyDescent="0.25">
      <c r="A78" s="2210" t="s">
        <v>625</v>
      </c>
      <c r="B78" s="2211"/>
      <c r="C78" s="2211"/>
      <c r="D78" s="2211"/>
      <c r="E78" s="2211"/>
      <c r="F78" s="2212"/>
    </row>
    <row r="79" spans="1:8" ht="12" customHeight="1" x14ac:dyDescent="0.25">
      <c r="A79" s="822"/>
      <c r="B79" s="823"/>
      <c r="C79" s="823"/>
      <c r="D79" s="823"/>
      <c r="E79" s="823"/>
      <c r="F79" s="824"/>
    </row>
    <row r="80" spans="1:8" x14ac:dyDescent="0.25">
      <c r="A80" s="2213" t="s">
        <v>802</v>
      </c>
      <c r="B80" s="2214"/>
      <c r="C80" s="2214"/>
      <c r="D80" s="2214"/>
      <c r="E80" s="2214"/>
      <c r="F80" s="825" t="s">
        <v>803</v>
      </c>
    </row>
    <row r="81" spans="1:8" ht="12" customHeight="1" x14ac:dyDescent="0.25">
      <c r="A81" s="826"/>
      <c r="B81" s="827"/>
      <c r="C81" s="827"/>
      <c r="D81" s="827"/>
      <c r="E81" s="827"/>
      <c r="F81" s="828"/>
    </row>
    <row r="82" spans="1:8" ht="32.25" customHeight="1" x14ac:dyDescent="0.25">
      <c r="A82" s="829"/>
      <c r="B82" s="830"/>
      <c r="C82" s="823" t="s">
        <v>635</v>
      </c>
      <c r="D82" s="823" t="s">
        <v>636</v>
      </c>
      <c r="E82" s="823" t="s">
        <v>106</v>
      </c>
      <c r="F82" s="1494" t="s">
        <v>637</v>
      </c>
    </row>
    <row r="83" spans="1:8" ht="15" customHeight="1" x14ac:dyDescent="0.25">
      <c r="A83" s="2215" t="s">
        <v>638</v>
      </c>
      <c r="B83" s="2216"/>
      <c r="C83" s="831" t="s">
        <v>110</v>
      </c>
      <c r="D83" s="831" t="s">
        <v>110</v>
      </c>
      <c r="E83" s="831" t="s">
        <v>110</v>
      </c>
      <c r="F83" s="832" t="s">
        <v>639</v>
      </c>
    </row>
    <row r="84" spans="1:8" x14ac:dyDescent="0.25">
      <c r="A84" s="833" t="s">
        <v>640</v>
      </c>
      <c r="B84" s="834"/>
      <c r="C84" s="1827">
        <v>11802651</v>
      </c>
      <c r="D84" s="1827">
        <v>8146041</v>
      </c>
      <c r="E84" s="1831">
        <f>+C84-D84</f>
        <v>3656610</v>
      </c>
      <c r="F84" s="836"/>
    </row>
    <row r="85" spans="1:8" x14ac:dyDescent="0.25">
      <c r="A85" s="833" t="s">
        <v>641</v>
      </c>
      <c r="B85" s="834"/>
      <c r="C85" s="1828">
        <v>7177477</v>
      </c>
      <c r="D85" s="1828">
        <v>4113188</v>
      </c>
      <c r="E85" s="1831">
        <f t="shared" ref="E85:E88" si="8">+C85-D85</f>
        <v>3064289</v>
      </c>
      <c r="F85" s="836"/>
    </row>
    <row r="86" spans="1:8" x14ac:dyDescent="0.25">
      <c r="A86" s="833" t="s">
        <v>642</v>
      </c>
      <c r="B86" s="834"/>
      <c r="C86" s="1827">
        <v>4548303</v>
      </c>
      <c r="D86" s="1827">
        <v>1398885</v>
      </c>
      <c r="E86" s="1831">
        <f t="shared" si="8"/>
        <v>3149418</v>
      </c>
      <c r="F86" s="836"/>
    </row>
    <row r="87" spans="1:8" x14ac:dyDescent="0.25">
      <c r="A87" s="837" t="s">
        <v>1629</v>
      </c>
      <c r="B87" s="834"/>
      <c r="C87" s="1827">
        <v>2801357</v>
      </c>
      <c r="D87" s="1827">
        <v>2017481</v>
      </c>
      <c r="E87" s="1831">
        <f t="shared" si="8"/>
        <v>783876</v>
      </c>
      <c r="F87" s="836"/>
    </row>
    <row r="88" spans="1:8" ht="15.75" thickBot="1" x14ac:dyDescent="0.3">
      <c r="A88" s="838" t="s">
        <v>1908</v>
      </c>
      <c r="B88" s="839"/>
      <c r="C88" s="1829">
        <v>7155243</v>
      </c>
      <c r="D88" s="1829">
        <v>5131011</v>
      </c>
      <c r="E88" s="835">
        <f t="shared" si="8"/>
        <v>2024232</v>
      </c>
      <c r="F88" s="836"/>
    </row>
    <row r="89" spans="1:8" ht="29.25" customHeight="1" thickTop="1" thickBot="1" x14ac:dyDescent="0.3">
      <c r="A89" s="2217" t="s">
        <v>1909</v>
      </c>
      <c r="B89" s="2218"/>
      <c r="C89" s="1830">
        <f>SUM(C84:C88)</f>
        <v>33485031</v>
      </c>
      <c r="D89" s="1830">
        <f>SUM(D84:D88)</f>
        <v>20806606</v>
      </c>
      <c r="E89" s="1832">
        <f>C89-D89</f>
        <v>12678425</v>
      </c>
      <c r="F89" s="840">
        <f>IF(D89=0,0,IF(F80="net",0,E89/D89))</f>
        <v>0</v>
      </c>
    </row>
    <row r="90" spans="1:8" ht="13.5" customHeight="1" x14ac:dyDescent="0.25">
      <c r="A90" s="841"/>
      <c r="B90" s="841"/>
      <c r="C90" s="842"/>
      <c r="D90" s="842"/>
      <c r="E90" s="779"/>
      <c r="F90" s="843"/>
    </row>
    <row r="91" spans="1:8" ht="29.25" customHeight="1" x14ac:dyDescent="0.25">
      <c r="A91" s="2198" t="s">
        <v>643</v>
      </c>
      <c r="B91" s="2198"/>
      <c r="C91" s="2198"/>
      <c r="D91" s="2198"/>
      <c r="E91" s="2198"/>
      <c r="F91" s="2198"/>
      <c r="G91" s="2198"/>
      <c r="H91" s="2198"/>
    </row>
    <row r="92" spans="1:8" ht="12" customHeight="1" x14ac:dyDescent="0.25">
      <c r="A92" s="1493"/>
      <c r="B92" s="1493"/>
      <c r="C92" s="1493"/>
      <c r="D92" s="1493"/>
      <c r="E92" s="1493"/>
      <c r="F92" s="1493"/>
      <c r="G92" s="1493"/>
      <c r="H92" s="1493"/>
    </row>
    <row r="93" spans="1:8" ht="41.25" customHeight="1" x14ac:dyDescent="0.25">
      <c r="A93" s="2197" t="s">
        <v>1978</v>
      </c>
      <c r="B93" s="2198"/>
      <c r="C93" s="2198"/>
      <c r="D93" s="2198"/>
      <c r="E93" s="2198"/>
      <c r="F93" s="2198"/>
      <c r="G93" s="2198"/>
      <c r="H93" s="2198"/>
    </row>
    <row r="94" spans="1:8" ht="12" customHeight="1" x14ac:dyDescent="0.25">
      <c r="A94" s="841"/>
      <c r="B94" s="844"/>
      <c r="C94" s="842"/>
      <c r="D94" s="842"/>
      <c r="E94" s="842"/>
      <c r="F94" s="843"/>
    </row>
    <row r="95" spans="1:8" ht="15.75" customHeight="1" thickBot="1" x14ac:dyDescent="0.3">
      <c r="A95" s="2193" t="s">
        <v>626</v>
      </c>
      <c r="B95" s="2193"/>
      <c r="C95" s="2193"/>
      <c r="D95" s="2193"/>
      <c r="E95" s="2193"/>
      <c r="F95" s="2193"/>
      <c r="G95" s="845"/>
    </row>
    <row r="96" spans="1:8" ht="16.5" customHeight="1" x14ac:dyDescent="0.25">
      <c r="A96" s="846"/>
      <c r="B96" s="847">
        <v>2011</v>
      </c>
      <c r="C96" s="847">
        <v>2012</v>
      </c>
      <c r="D96" s="847">
        <v>2013</v>
      </c>
      <c r="E96" s="847">
        <v>2014</v>
      </c>
      <c r="F96" s="848">
        <v>2015</v>
      </c>
      <c r="G96" s="848">
        <v>2016</v>
      </c>
      <c r="H96" s="849"/>
    </row>
    <row r="97" spans="1:8" ht="62.25" customHeight="1" x14ac:dyDescent="0.25">
      <c r="A97" s="850" t="s">
        <v>627</v>
      </c>
      <c r="B97" s="851">
        <v>0</v>
      </c>
      <c r="C97" s="851">
        <v>0</v>
      </c>
      <c r="D97" s="851">
        <v>1</v>
      </c>
      <c r="E97" s="851">
        <v>1</v>
      </c>
      <c r="F97" s="851">
        <v>1</v>
      </c>
      <c r="G97" s="851">
        <v>1</v>
      </c>
      <c r="H97" s="852" t="s">
        <v>1630</v>
      </c>
    </row>
    <row r="98" spans="1:8" ht="288.75" customHeight="1" thickBot="1" x14ac:dyDescent="0.3">
      <c r="A98" s="853" t="s">
        <v>628</v>
      </c>
      <c r="B98" s="854" t="s">
        <v>1631</v>
      </c>
      <c r="C98" s="854" t="s">
        <v>1632</v>
      </c>
      <c r="D98" s="855" t="s">
        <v>1795</v>
      </c>
      <c r="E98" s="855" t="s">
        <v>1906</v>
      </c>
      <c r="F98" s="854" t="s">
        <v>1905</v>
      </c>
      <c r="G98" s="854" t="s">
        <v>1904</v>
      </c>
      <c r="H98" s="840"/>
    </row>
    <row r="99" spans="1:8" ht="12" customHeight="1" x14ac:dyDescent="0.25">
      <c r="A99" s="856"/>
      <c r="B99" s="857"/>
      <c r="C99" s="857"/>
      <c r="D99" s="857"/>
      <c r="E99" s="857"/>
      <c r="F99" s="857"/>
      <c r="G99" s="843"/>
    </row>
    <row r="100" spans="1:8" ht="19.5" customHeight="1" x14ac:dyDescent="0.25">
      <c r="A100" s="2194" t="s">
        <v>1633</v>
      </c>
      <c r="B100" s="2194"/>
      <c r="C100" s="2194"/>
      <c r="D100" s="2194"/>
      <c r="E100" s="2194"/>
      <c r="F100" s="2194"/>
      <c r="G100" s="2194"/>
      <c r="H100" s="2194"/>
    </row>
    <row r="101" spans="1:8" ht="13.5" customHeight="1" x14ac:dyDescent="0.25">
      <c r="A101" s="1495"/>
      <c r="B101" s="1495"/>
      <c r="C101" s="1495"/>
      <c r="D101" s="1495"/>
      <c r="E101" s="1495"/>
      <c r="F101" s="1495"/>
      <c r="G101" s="1495"/>
      <c r="H101" s="1495"/>
    </row>
    <row r="102" spans="1:8" ht="75.75" customHeight="1" x14ac:dyDescent="0.25">
      <c r="A102" s="2191" t="s">
        <v>1634</v>
      </c>
      <c r="B102" s="2191"/>
      <c r="C102" s="2191"/>
      <c r="D102" s="2191"/>
      <c r="E102" s="2191"/>
      <c r="F102" s="2191"/>
      <c r="G102" s="2191"/>
      <c r="H102" s="2191"/>
    </row>
    <row r="103" spans="1:8" ht="12" customHeight="1" x14ac:dyDescent="0.25">
      <c r="A103" s="841"/>
      <c r="B103" s="857"/>
      <c r="C103" s="857"/>
      <c r="D103" s="857"/>
      <c r="E103" s="857"/>
      <c r="F103" s="843"/>
    </row>
    <row r="104" spans="1:8" ht="57.75" customHeight="1" x14ac:dyDescent="0.25">
      <c r="A104" s="2191" t="s">
        <v>646</v>
      </c>
      <c r="B104" s="2191"/>
      <c r="C104" s="2191"/>
      <c r="D104" s="2191"/>
      <c r="E104" s="2191"/>
      <c r="F104" s="2191"/>
      <c r="G104" s="2191"/>
      <c r="H104" s="2191"/>
    </row>
    <row r="105" spans="1:8" ht="12" customHeight="1" x14ac:dyDescent="0.25">
      <c r="A105" s="761"/>
      <c r="B105" s="761"/>
      <c r="C105" s="761"/>
      <c r="D105" s="761"/>
      <c r="E105" s="761"/>
      <c r="F105" s="761"/>
    </row>
    <row r="106" spans="1:8" x14ac:dyDescent="0.25">
      <c r="A106" s="2195" t="s">
        <v>804</v>
      </c>
      <c r="B106" s="2195"/>
      <c r="C106" s="2195"/>
      <c r="D106" s="2195"/>
      <c r="E106" s="2195"/>
      <c r="F106" s="2195"/>
      <c r="G106" s="2195"/>
      <c r="H106" s="2195"/>
    </row>
    <row r="107" spans="1:8" x14ac:dyDescent="0.25">
      <c r="A107" s="761"/>
      <c r="B107" s="761"/>
      <c r="C107" s="761"/>
      <c r="D107" s="761"/>
      <c r="E107" s="761"/>
      <c r="F107" s="761"/>
    </row>
    <row r="108" spans="1:8" ht="29.25" customHeight="1" x14ac:dyDescent="0.25">
      <c r="A108" s="2196" t="s">
        <v>1918</v>
      </c>
      <c r="B108" s="2191"/>
      <c r="C108" s="2191"/>
      <c r="D108" s="2191"/>
      <c r="E108" s="2191"/>
      <c r="F108" s="2191"/>
      <c r="G108" s="2191"/>
      <c r="H108" s="2191"/>
    </row>
    <row r="109" spans="1:8" ht="12" customHeight="1" x14ac:dyDescent="0.25">
      <c r="A109" s="761"/>
      <c r="B109" s="761"/>
      <c r="C109" s="761"/>
      <c r="D109" s="761"/>
      <c r="E109" s="761"/>
      <c r="F109" s="761"/>
    </row>
    <row r="110" spans="1:8" ht="46.5" customHeight="1" x14ac:dyDescent="0.25">
      <c r="A110" s="2191" t="s">
        <v>647</v>
      </c>
      <c r="B110" s="2191"/>
      <c r="C110" s="2191"/>
      <c r="D110" s="2191"/>
      <c r="E110" s="2191"/>
      <c r="F110" s="2191"/>
      <c r="G110" s="2191"/>
      <c r="H110" s="2191"/>
    </row>
    <row r="111" spans="1:8" ht="12" customHeight="1" x14ac:dyDescent="0.25">
      <c r="A111" s="761"/>
      <c r="B111" s="761"/>
      <c r="C111" s="761"/>
      <c r="D111" s="761"/>
      <c r="E111" s="761"/>
      <c r="F111" s="761"/>
    </row>
    <row r="112" spans="1:8" ht="30" customHeight="1" x14ac:dyDescent="0.25">
      <c r="A112" s="2191" t="s">
        <v>1635</v>
      </c>
      <c r="B112" s="2191"/>
      <c r="C112" s="2191"/>
      <c r="D112" s="2191"/>
      <c r="E112" s="2191"/>
      <c r="F112" s="2191"/>
      <c r="G112" s="2191"/>
      <c r="H112" s="2191"/>
    </row>
    <row r="113" spans="1:15" ht="13.5" customHeight="1" thickBot="1" x14ac:dyDescent="0.3">
      <c r="A113" s="841"/>
      <c r="B113" s="844"/>
      <c r="C113" s="842"/>
      <c r="D113" s="842"/>
      <c r="E113" s="842"/>
      <c r="F113" s="843"/>
    </row>
    <row r="114" spans="1:15" x14ac:dyDescent="0.25">
      <c r="A114" s="858"/>
      <c r="B114" s="1492">
        <v>2011</v>
      </c>
      <c r="C114" s="1492">
        <v>2012</v>
      </c>
      <c r="D114" s="1492">
        <v>2013</v>
      </c>
      <c r="E114" s="1492">
        <v>2014</v>
      </c>
      <c r="F114" s="1492">
        <v>2015</v>
      </c>
      <c r="G114" s="859">
        <v>2016</v>
      </c>
      <c r="H114" s="860" t="s">
        <v>1912</v>
      </c>
    </row>
    <row r="115" spans="1:15" x14ac:dyDescent="0.25">
      <c r="A115" s="861"/>
      <c r="B115" s="862" t="s">
        <v>110</v>
      </c>
      <c r="C115" s="863"/>
      <c r="D115" s="863"/>
      <c r="E115" s="863"/>
      <c r="F115" s="863"/>
      <c r="G115" s="863"/>
      <c r="H115" s="864"/>
    </row>
    <row r="116" spans="1:15" ht="30" x14ac:dyDescent="0.25">
      <c r="A116" s="865" t="s">
        <v>629</v>
      </c>
      <c r="B116" s="866">
        <f>E42</f>
        <v>3735006</v>
      </c>
      <c r="C116" s="866">
        <f>E43</f>
        <v>1977966</v>
      </c>
      <c r="D116" s="866">
        <f>E44</f>
        <v>3078228</v>
      </c>
      <c r="E116" s="866">
        <f>E45</f>
        <v>3841504</v>
      </c>
      <c r="F116" s="866"/>
      <c r="G116" s="867"/>
      <c r="H116" s="868">
        <f>SUM(B116:G116)</f>
        <v>12632704</v>
      </c>
    </row>
    <row r="117" spans="1:15" ht="12" customHeight="1" x14ac:dyDescent="0.25">
      <c r="A117" s="865"/>
      <c r="B117" s="866"/>
      <c r="C117" s="866"/>
      <c r="D117" s="866"/>
      <c r="E117" s="866"/>
      <c r="F117" s="866"/>
      <c r="G117" s="869"/>
      <c r="H117" s="868"/>
    </row>
    <row r="118" spans="1:15" ht="63" customHeight="1" x14ac:dyDescent="0.25">
      <c r="A118" s="870" t="s">
        <v>1913</v>
      </c>
      <c r="B118" s="871">
        <v>3350000</v>
      </c>
      <c r="C118" s="872">
        <f>B118</f>
        <v>3350000</v>
      </c>
      <c r="D118" s="873">
        <f>B118</f>
        <v>3350000</v>
      </c>
      <c r="E118" s="873">
        <f>B118</f>
        <v>3350000</v>
      </c>
      <c r="F118" s="873"/>
      <c r="G118" s="874"/>
      <c r="H118" s="868">
        <f>SUM(B118:G118)</f>
        <v>13400000</v>
      </c>
    </row>
    <row r="119" spans="1:15" ht="12" customHeight="1" x14ac:dyDescent="0.25">
      <c r="A119" s="875"/>
      <c r="B119" s="876"/>
      <c r="C119" s="876"/>
      <c r="D119" s="876"/>
      <c r="E119" s="876"/>
      <c r="F119" s="876"/>
      <c r="G119" s="876"/>
      <c r="H119" s="877"/>
    </row>
    <row r="120" spans="1:15" ht="30.75" thickBot="1" x14ac:dyDescent="0.3">
      <c r="A120" s="878" t="s">
        <v>1914</v>
      </c>
      <c r="B120" s="879"/>
      <c r="C120" s="880"/>
      <c r="D120" s="880"/>
      <c r="E120" s="880">
        <f>H45</f>
        <v>0</v>
      </c>
      <c r="F120" s="880">
        <v>7560000</v>
      </c>
      <c r="G120" s="867">
        <v>7560000</v>
      </c>
      <c r="H120" s="881">
        <f>SUM(B120:G120)</f>
        <v>15120000</v>
      </c>
    </row>
    <row r="121" spans="1:15" ht="12" customHeight="1" thickTop="1" thickBot="1" x14ac:dyDescent="0.3">
      <c r="A121" s="882"/>
      <c r="B121" s="883"/>
      <c r="C121" s="884"/>
      <c r="D121" s="884"/>
      <c r="E121" s="884"/>
      <c r="F121" s="883"/>
      <c r="G121" s="883"/>
      <c r="H121" s="885"/>
    </row>
    <row r="122" spans="1:15" ht="30.75" thickTop="1" x14ac:dyDescent="0.25">
      <c r="A122" s="870" t="s">
        <v>1915</v>
      </c>
      <c r="B122" s="886">
        <f>B116*(1+F89)*B97</f>
        <v>0</v>
      </c>
      <c r="C122" s="887">
        <f>C116*(1+F89)*C97</f>
        <v>0</v>
      </c>
      <c r="D122" s="887">
        <f>D116*(1+F89)*D97</f>
        <v>3078228</v>
      </c>
      <c r="E122" s="887">
        <f>E116*(1+F89)*E97</f>
        <v>3841504</v>
      </c>
      <c r="F122" s="887">
        <f>F120*(1+F89)*F97</f>
        <v>7560000</v>
      </c>
      <c r="G122" s="888">
        <f>G120*(1+F89)*G97</f>
        <v>7560000</v>
      </c>
      <c r="H122" s="889">
        <f>SUM(B122:G122)</f>
        <v>22039732</v>
      </c>
    </row>
    <row r="123" spans="1:15" ht="12" customHeight="1" x14ac:dyDescent="0.25">
      <c r="A123" s="875"/>
      <c r="B123" s="890"/>
      <c r="C123" s="890"/>
      <c r="D123" s="890"/>
      <c r="E123" s="890"/>
      <c r="F123" s="891"/>
      <c r="G123" s="890"/>
      <c r="H123" s="892"/>
    </row>
    <row r="124" spans="1:15" x14ac:dyDescent="0.25">
      <c r="A124" s="865" t="s">
        <v>644</v>
      </c>
      <c r="B124" s="893">
        <v>3.2500000000000001E-2</v>
      </c>
      <c r="C124" s="894" t="s">
        <v>645</v>
      </c>
      <c r="D124" s="895"/>
      <c r="E124" s="894"/>
      <c r="F124" s="894"/>
      <c r="G124" s="896"/>
      <c r="H124" s="897"/>
    </row>
    <row r="125" spans="1:15" ht="45.75" thickBot="1" x14ac:dyDescent="0.3">
      <c r="A125" s="898" t="s">
        <v>1916</v>
      </c>
      <c r="B125" s="899">
        <f>B122*(1+$B124)</f>
        <v>0</v>
      </c>
      <c r="C125" s="899">
        <f t="shared" ref="C125:G125" si="9">C122*(1+$B124)</f>
        <v>0</v>
      </c>
      <c r="D125" s="899">
        <f t="shared" si="9"/>
        <v>3178270.41</v>
      </c>
      <c r="E125" s="899">
        <f t="shared" si="9"/>
        <v>3966352.88</v>
      </c>
      <c r="F125" s="899">
        <f t="shared" si="9"/>
        <v>7805700</v>
      </c>
      <c r="G125" s="900">
        <f t="shared" si="9"/>
        <v>7805700</v>
      </c>
      <c r="H125" s="901">
        <f>SUM(B125:G125)</f>
        <v>22756023.289999999</v>
      </c>
      <c r="I125" s="774"/>
      <c r="J125" s="845"/>
      <c r="O125" s="845"/>
    </row>
    <row r="126" spans="1:15" ht="12" customHeight="1" x14ac:dyDescent="0.25">
      <c r="A126" s="902"/>
      <c r="B126" s="894"/>
      <c r="C126" s="894"/>
      <c r="D126" s="894"/>
      <c r="E126" s="894"/>
      <c r="F126" s="894"/>
      <c r="G126" s="894"/>
      <c r="H126" s="894"/>
    </row>
    <row r="127" spans="1:15" ht="31.5" customHeight="1" x14ac:dyDescent="0.25">
      <c r="A127" s="2192" t="s">
        <v>1917</v>
      </c>
      <c r="B127" s="2192"/>
      <c r="C127" s="2192"/>
      <c r="D127" s="2192"/>
      <c r="E127" s="2192"/>
      <c r="F127" s="2192"/>
      <c r="G127" s="2192"/>
      <c r="H127" s="2192"/>
    </row>
    <row r="128" spans="1:15" x14ac:dyDescent="0.25">
      <c r="A128" s="761"/>
      <c r="B128" s="761"/>
      <c r="C128" s="761"/>
      <c r="D128" s="761"/>
      <c r="E128" s="761"/>
      <c r="F128" s="761"/>
    </row>
    <row r="129" spans="1:6" x14ac:dyDescent="0.25">
      <c r="A129" s="903"/>
      <c r="B129" s="761"/>
      <c r="C129" s="761"/>
      <c r="D129" s="761"/>
      <c r="E129" s="761"/>
      <c r="F129" s="761"/>
    </row>
    <row r="130" spans="1:6" x14ac:dyDescent="0.25">
      <c r="A130" s="761"/>
      <c r="B130" s="761"/>
      <c r="C130" s="761"/>
      <c r="D130" s="761"/>
      <c r="E130" s="761"/>
      <c r="F130" s="761"/>
    </row>
    <row r="131" spans="1:6" x14ac:dyDescent="0.25">
      <c r="A131" s="761"/>
      <c r="B131" s="761"/>
      <c r="C131" s="761"/>
      <c r="D131" s="761"/>
      <c r="E131" s="761"/>
      <c r="F131" s="761"/>
    </row>
    <row r="132" spans="1:6" x14ac:dyDescent="0.25">
      <c r="A132" s="761"/>
      <c r="B132" s="761"/>
      <c r="C132" s="761"/>
      <c r="D132" s="761"/>
      <c r="E132" s="761"/>
      <c r="F132" s="761"/>
    </row>
    <row r="133" spans="1:6" x14ac:dyDescent="0.25">
      <c r="A133" s="761"/>
      <c r="B133" s="761"/>
      <c r="C133" s="761"/>
      <c r="D133" s="761"/>
      <c r="E133" s="761"/>
      <c r="F133" s="761"/>
    </row>
    <row r="134" spans="1:6" x14ac:dyDescent="0.25">
      <c r="A134" s="761"/>
      <c r="B134" s="761"/>
      <c r="C134" s="761"/>
      <c r="D134" s="761"/>
      <c r="E134" s="761"/>
      <c r="F134" s="761"/>
    </row>
    <row r="135" spans="1:6" x14ac:dyDescent="0.25">
      <c r="A135" s="761"/>
      <c r="B135" s="761"/>
      <c r="C135" s="761"/>
      <c r="D135" s="761"/>
      <c r="E135" s="761"/>
      <c r="F135" s="761"/>
    </row>
    <row r="136" spans="1:6" x14ac:dyDescent="0.25">
      <c r="A136" s="761"/>
      <c r="B136" s="761"/>
      <c r="C136" s="761"/>
      <c r="D136" s="761"/>
      <c r="E136" s="761"/>
      <c r="F136" s="761"/>
    </row>
    <row r="137" spans="1:6" x14ac:dyDescent="0.25">
      <c r="A137" s="761"/>
      <c r="B137" s="761"/>
      <c r="C137" s="761"/>
      <c r="D137" s="761"/>
      <c r="E137" s="761"/>
      <c r="F137" s="761"/>
    </row>
    <row r="138" spans="1:6" x14ac:dyDescent="0.25">
      <c r="A138" s="761"/>
      <c r="B138" s="761"/>
      <c r="C138" s="761"/>
      <c r="D138" s="761"/>
      <c r="E138" s="761"/>
      <c r="F138" s="761"/>
    </row>
    <row r="139" spans="1:6" x14ac:dyDescent="0.25">
      <c r="A139" s="761"/>
      <c r="B139" s="761"/>
      <c r="C139" s="761"/>
      <c r="D139" s="761"/>
      <c r="E139" s="761"/>
      <c r="F139" s="761"/>
    </row>
    <row r="140" spans="1:6" x14ac:dyDescent="0.25">
      <c r="A140" s="761"/>
      <c r="B140" s="761"/>
      <c r="C140" s="761"/>
      <c r="D140" s="761"/>
      <c r="E140" s="761"/>
      <c r="F140" s="761"/>
    </row>
    <row r="141" spans="1:6" x14ac:dyDescent="0.25">
      <c r="A141" s="761"/>
      <c r="B141" s="761"/>
      <c r="C141" s="761"/>
      <c r="D141" s="761"/>
      <c r="E141" s="761"/>
      <c r="F141" s="761"/>
    </row>
  </sheetData>
  <mergeCells count="41">
    <mergeCell ref="A18:H18"/>
    <mergeCell ref="A9:H9"/>
    <mergeCell ref="A10:H10"/>
    <mergeCell ref="A12:H12"/>
    <mergeCell ref="A14:H14"/>
    <mergeCell ref="A16:H16"/>
    <mergeCell ref="A52:H52"/>
    <mergeCell ref="A20:H20"/>
    <mergeCell ref="A22:H22"/>
    <mergeCell ref="A24:H24"/>
    <mergeCell ref="A26:H26"/>
    <mergeCell ref="A28:H28"/>
    <mergeCell ref="A31:H31"/>
    <mergeCell ref="A33:F33"/>
    <mergeCell ref="A34:F34"/>
    <mergeCell ref="A41:F41"/>
    <mergeCell ref="A48:F48"/>
    <mergeCell ref="A50:H50"/>
    <mergeCell ref="A30:H30"/>
    <mergeCell ref="G33:H34"/>
    <mergeCell ref="A93:H93"/>
    <mergeCell ref="A53:H53"/>
    <mergeCell ref="A55:H55"/>
    <mergeCell ref="A63:H63"/>
    <mergeCell ref="A72:H72"/>
    <mergeCell ref="A74:H74"/>
    <mergeCell ref="A76:H76"/>
    <mergeCell ref="A78:F78"/>
    <mergeCell ref="A80:E80"/>
    <mergeCell ref="A83:B83"/>
    <mergeCell ref="A89:B89"/>
    <mergeCell ref="A91:H91"/>
    <mergeCell ref="A110:H110"/>
    <mergeCell ref="A112:H112"/>
    <mergeCell ref="A127:H127"/>
    <mergeCell ref="A95:F95"/>
    <mergeCell ref="A100:H100"/>
    <mergeCell ref="A102:H102"/>
    <mergeCell ref="A104:H104"/>
    <mergeCell ref="A106:H106"/>
    <mergeCell ref="A108:H108"/>
  </mergeCells>
  <conditionalFormatting sqref="F46">
    <cfRule type="expression" dxfId="68" priority="1">
      <formula>$F$46&lt;$A$34</formula>
    </cfRule>
  </conditionalFormatting>
  <dataValidations count="2">
    <dataValidation type="list" allowBlank="1" showInputMessage="1" showErrorMessage="1" sqref="F80">
      <formula1>"net,gross"</formula1>
    </dataValidation>
    <dataValidation type="list" allowBlank="1" showInputMessage="1" showErrorMessage="1" sqref="B97:G97">
      <formula1>"0, 0.5, 1"</formula1>
    </dataValidation>
  </dataValidations>
  <pageMargins left="0.70866141732283472" right="0.70866141732283472" top="0.74803149606299213" bottom="0.74803149606299213" header="0.31496062992125984" footer="0.31496062992125984"/>
  <pageSetup scale="58" fitToHeight="0" orientation="portrait" r:id="rId1"/>
  <rowBreaks count="3" manualBreakCount="3">
    <brk id="47" max="16383" man="1"/>
    <brk id="89" max="16383" man="1"/>
    <brk id="99" max="16383" man="1"/>
  </row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I114"/>
  <sheetViews>
    <sheetView showGridLines="0" zoomScaleNormal="100" workbookViewId="0">
      <pane ySplit="14" topLeftCell="A15" activePane="bottomLeft" state="frozenSplit"/>
      <selection activeCell="N29" sqref="N29"/>
      <selection pane="bottomLeft"/>
    </sheetView>
  </sheetViews>
  <sheetFormatPr defaultRowHeight="12.75" x14ac:dyDescent="0.2"/>
  <cols>
    <col min="1" max="1" width="25.85546875" style="61" customWidth="1"/>
    <col min="2" max="7" width="16" style="61" customWidth="1"/>
    <col min="8" max="16384" width="9.140625" style="61"/>
  </cols>
  <sheetData>
    <row r="1" spans="1:9" x14ac:dyDescent="0.2">
      <c r="F1" s="334" t="s">
        <v>394</v>
      </c>
      <c r="G1" s="304" t="str">
        <f>EBNUMBER</f>
        <v>EB-2015-0089</v>
      </c>
      <c r="H1" s="304"/>
    </row>
    <row r="2" spans="1:9" x14ac:dyDescent="0.2">
      <c r="F2" s="334" t="s">
        <v>395</v>
      </c>
      <c r="G2" s="305">
        <v>3</v>
      </c>
    </row>
    <row r="3" spans="1:9" x14ac:dyDescent="0.2">
      <c r="F3" s="334" t="s">
        <v>396</v>
      </c>
      <c r="G3" s="305" t="s">
        <v>2456</v>
      </c>
    </row>
    <row r="4" spans="1:9" x14ac:dyDescent="0.2">
      <c r="F4" s="334" t="s">
        <v>397</v>
      </c>
      <c r="G4" s="1834" t="s">
        <v>2406</v>
      </c>
    </row>
    <row r="5" spans="1:9" x14ac:dyDescent="0.2">
      <c r="F5" s="334" t="s">
        <v>398</v>
      </c>
      <c r="G5" s="306">
        <v>27</v>
      </c>
    </row>
    <row r="6" spans="1:9" x14ac:dyDescent="0.2">
      <c r="F6" s="334"/>
      <c r="G6" s="1513"/>
    </row>
    <row r="7" spans="1:9" x14ac:dyDescent="0.2">
      <c r="F7" s="334" t="s">
        <v>399</v>
      </c>
      <c r="G7" s="1840" t="s">
        <v>2455</v>
      </c>
    </row>
    <row r="9" spans="1:9" ht="18" x14ac:dyDescent="0.25">
      <c r="A9" s="1979" t="s">
        <v>2445</v>
      </c>
      <c r="B9" s="1979"/>
      <c r="C9" s="1979"/>
      <c r="D9" s="1979"/>
      <c r="E9" s="1979"/>
      <c r="F9" s="1979"/>
      <c r="G9" s="1979"/>
      <c r="H9" s="1483"/>
      <c r="I9" s="1483"/>
    </row>
    <row r="10" spans="1:9" ht="18" x14ac:dyDescent="0.25">
      <c r="A10" s="1979" t="s">
        <v>1685</v>
      </c>
      <c r="B10" s="1979"/>
      <c r="C10" s="1979"/>
      <c r="D10" s="1979"/>
      <c r="E10" s="1979"/>
      <c r="F10" s="1979"/>
      <c r="G10" s="1979"/>
      <c r="H10" s="1483"/>
      <c r="I10" s="1483"/>
    </row>
    <row r="12" spans="1:9" x14ac:dyDescent="0.2">
      <c r="A12" s="264" t="s">
        <v>1794</v>
      </c>
    </row>
    <row r="14" spans="1:9" ht="25.5" x14ac:dyDescent="0.2">
      <c r="A14" s="904"/>
      <c r="B14" s="308" t="str">
        <f>RebaseYear &amp; " Board Approved"</f>
        <v>2011 Board Approved</v>
      </c>
      <c r="C14" s="308">
        <f>TestYear - 4</f>
        <v>2012</v>
      </c>
      <c r="D14" s="308">
        <f>TestYear - 3</f>
        <v>2013</v>
      </c>
      <c r="E14" s="308">
        <f>TestYear - 2</f>
        <v>2014</v>
      </c>
      <c r="F14" s="308" t="str">
        <f>TestYear -1  &amp;" Bridge"</f>
        <v>2015 Bridge</v>
      </c>
      <c r="G14" s="308" t="str">
        <f>TestYear&amp;" Test"</f>
        <v>2016 Test</v>
      </c>
      <c r="H14" s="905"/>
      <c r="I14" s="905"/>
    </row>
    <row r="15" spans="1:9" x14ac:dyDescent="0.2">
      <c r="A15" s="906" t="s">
        <v>113</v>
      </c>
      <c r="B15" s="907"/>
      <c r="C15" s="907"/>
      <c r="D15" s="907"/>
      <c r="E15" s="907"/>
      <c r="F15" s="907"/>
      <c r="G15" s="907"/>
    </row>
    <row r="16" spans="1:9" x14ac:dyDescent="0.2">
      <c r="A16" s="908" t="s">
        <v>1592</v>
      </c>
      <c r="B16" s="909">
        <v>27832</v>
      </c>
      <c r="C16" s="909">
        <v>29614</v>
      </c>
      <c r="D16" s="909">
        <v>31309</v>
      </c>
      <c r="E16" s="909">
        <v>32268</v>
      </c>
      <c r="F16" s="909">
        <f>+[15]Summary!$S$11</f>
        <v>33001</v>
      </c>
      <c r="G16" s="909">
        <f>+[15]Summary!$T$11</f>
        <v>34501</v>
      </c>
    </row>
    <row r="17" spans="1:7" x14ac:dyDescent="0.2">
      <c r="A17" s="910" t="s">
        <v>110</v>
      </c>
      <c r="B17" s="909">
        <v>260408064.7085208</v>
      </c>
      <c r="C17" s="909">
        <v>281220954.64999998</v>
      </c>
      <c r="D17" s="909">
        <v>287291133.52999997</v>
      </c>
      <c r="E17" s="909">
        <v>290591982.63</v>
      </c>
      <c r="F17" s="909">
        <f>+[15]Summary!$S$12</f>
        <v>305198832.55615598</v>
      </c>
      <c r="G17" s="909">
        <f>+[15]Summary!$T$12</f>
        <v>311504507.10565919</v>
      </c>
    </row>
    <row r="18" spans="1:7" x14ac:dyDescent="0.2">
      <c r="A18" s="910" t="s">
        <v>111</v>
      </c>
      <c r="B18" s="909"/>
      <c r="C18" s="909"/>
      <c r="D18" s="909"/>
      <c r="E18" s="909"/>
      <c r="F18" s="909"/>
      <c r="G18" s="909"/>
    </row>
    <row r="19" spans="1:7" x14ac:dyDescent="0.2">
      <c r="A19" s="911" t="s">
        <v>1642</v>
      </c>
      <c r="B19" s="912"/>
      <c r="C19" s="912"/>
      <c r="D19" s="912"/>
      <c r="E19" s="912"/>
      <c r="F19" s="912"/>
      <c r="G19" s="912"/>
    </row>
    <row r="20" spans="1:7" x14ac:dyDescent="0.2">
      <c r="A20" s="910" t="str">
        <f>A16</f>
        <v># of Customers</v>
      </c>
      <c r="B20" s="913"/>
      <c r="C20" s="914">
        <f>IF(ISERROR((C16-$B16)/$B16), 0, (C16-$B16)/$B16)</f>
        <v>6.4027019258407591E-2</v>
      </c>
      <c r="D20" s="914">
        <f t="shared" ref="D20:G20" si="0">IF(ISERROR((D16-$B16)/$B16), 0, (D16-$B16)/$B16)</f>
        <v>0.12492814027019258</v>
      </c>
      <c r="E20" s="914">
        <f t="shared" si="0"/>
        <v>0.15938488071284851</v>
      </c>
      <c r="F20" s="914">
        <f t="shared" si="0"/>
        <v>0.18572147168726647</v>
      </c>
      <c r="G20" s="914">
        <f t="shared" si="0"/>
        <v>0.2396162690428284</v>
      </c>
    </row>
    <row r="21" spans="1:7" x14ac:dyDescent="0.2">
      <c r="A21" s="910" t="s">
        <v>110</v>
      </c>
      <c r="B21" s="913"/>
      <c r="C21" s="914">
        <f t="shared" ref="C21:G21" si="1">IF(ISERROR((C17-$B17)/$B17), 0, (C17-$B17)/$B17)</f>
        <v>7.9924137390965211E-2</v>
      </c>
      <c r="D21" s="914">
        <f t="shared" si="1"/>
        <v>0.1032343942633645</v>
      </c>
      <c r="E21" s="914">
        <f t="shared" si="1"/>
        <v>0.11591007350430783</v>
      </c>
      <c r="F21" s="914">
        <f t="shared" si="1"/>
        <v>0.17200223002989654</v>
      </c>
      <c r="G21" s="914">
        <f t="shared" si="1"/>
        <v>0.19621682014468911</v>
      </c>
    </row>
    <row r="22" spans="1:7" x14ac:dyDescent="0.2">
      <c r="A22" s="910" t="s">
        <v>111</v>
      </c>
      <c r="B22" s="913"/>
      <c r="C22" s="914">
        <f t="shared" ref="C22:G22" si="2">IF(ISERROR((C18-$B18)/$B18), 0, (C18-$B18)/$B18)</f>
        <v>0</v>
      </c>
      <c r="D22" s="914">
        <f t="shared" si="2"/>
        <v>0</v>
      </c>
      <c r="E22" s="914">
        <f t="shared" si="2"/>
        <v>0</v>
      </c>
      <c r="F22" s="914">
        <f t="shared" si="2"/>
        <v>0</v>
      </c>
      <c r="G22" s="914">
        <f t="shared" si="2"/>
        <v>0</v>
      </c>
    </row>
    <row r="23" spans="1:7" x14ac:dyDescent="0.2">
      <c r="A23" s="252"/>
    </row>
    <row r="24" spans="1:7" x14ac:dyDescent="0.2">
      <c r="A24" s="906" t="s">
        <v>2232</v>
      </c>
      <c r="B24" s="907"/>
      <c r="C24" s="907"/>
      <c r="D24" s="907"/>
      <c r="E24" s="907"/>
      <c r="F24" s="907"/>
      <c r="G24" s="907"/>
    </row>
    <row r="25" spans="1:7" x14ac:dyDescent="0.2">
      <c r="A25" s="908" t="s">
        <v>1592</v>
      </c>
      <c r="B25" s="909">
        <v>2314.7905845739174</v>
      </c>
      <c r="C25" s="909">
        <v>2425</v>
      </c>
      <c r="D25" s="909">
        <v>2477</v>
      </c>
      <c r="E25" s="909">
        <v>2544</v>
      </c>
      <c r="F25" s="909">
        <f>+[15]Summary!$S$15</f>
        <v>2574</v>
      </c>
      <c r="G25" s="909">
        <f>+[15]Summary!$T$15</f>
        <v>2642.0505332703788</v>
      </c>
    </row>
    <row r="26" spans="1:7" x14ac:dyDescent="0.2">
      <c r="A26" s="910" t="s">
        <v>110</v>
      </c>
      <c r="B26" s="909">
        <v>75603703.215401977</v>
      </c>
      <c r="C26" s="909">
        <v>84168273.069999993</v>
      </c>
      <c r="D26" s="909">
        <v>87021883.129999995</v>
      </c>
      <c r="E26" s="909">
        <v>88384426.730000004</v>
      </c>
      <c r="F26" s="909">
        <f>+[15]Summary!$S$16</f>
        <v>89986483.033379838</v>
      </c>
      <c r="G26" s="909">
        <f>+[15]Summary!$T$16</f>
        <v>91412831.730080053</v>
      </c>
    </row>
    <row r="27" spans="1:7" x14ac:dyDescent="0.2">
      <c r="A27" s="910" t="s">
        <v>111</v>
      </c>
      <c r="B27" s="909"/>
      <c r="C27" s="909"/>
      <c r="D27" s="909"/>
      <c r="E27" s="909"/>
      <c r="F27" s="909"/>
      <c r="G27" s="909"/>
    </row>
    <row r="28" spans="1:7" x14ac:dyDescent="0.2">
      <c r="A28" s="911" t="s">
        <v>1642</v>
      </c>
      <c r="B28" s="912"/>
      <c r="C28" s="912"/>
      <c r="D28" s="912"/>
      <c r="E28" s="912"/>
      <c r="F28" s="912"/>
      <c r="G28" s="912"/>
    </row>
    <row r="29" spans="1:7" x14ac:dyDescent="0.2">
      <c r="A29" s="910" t="str">
        <f>A25</f>
        <v># of Customers</v>
      </c>
      <c r="B29" s="913"/>
      <c r="C29" s="914">
        <f>IF(ISERROR((C25-$B25)/$B25), 0, (C25-$B25)/$B25)</f>
        <v>4.7610965830141745E-2</v>
      </c>
      <c r="D29" s="914">
        <f t="shared" ref="D29:G29" si="3">IF(ISERROR((D25-$B25)/$B25), 0, (D25-$B25)/$B25)</f>
        <v>7.0075200973715918E-2</v>
      </c>
      <c r="E29" s="914">
        <f t="shared" si="3"/>
        <v>9.9019503947167256E-2</v>
      </c>
      <c r="F29" s="914">
        <f t="shared" si="3"/>
        <v>0.11197963960692159</v>
      </c>
      <c r="G29" s="914">
        <f t="shared" si="3"/>
        <v>0.1413777777036794</v>
      </c>
    </row>
    <row r="30" spans="1:7" x14ac:dyDescent="0.2">
      <c r="A30" s="910" t="s">
        <v>110</v>
      </c>
      <c r="B30" s="913"/>
      <c r="C30" s="914">
        <f t="shared" ref="C30:G30" si="4">IF(ISERROR((C26-$B26)/$B26), 0, (C26-$B26)/$B26)</f>
        <v>0.11328241197652396</v>
      </c>
      <c r="D30" s="914">
        <f t="shared" si="4"/>
        <v>0.15102672791128449</v>
      </c>
      <c r="E30" s="914">
        <f t="shared" si="4"/>
        <v>0.1690489085988891</v>
      </c>
      <c r="F30" s="914">
        <f t="shared" si="4"/>
        <v>0.19023909155613694</v>
      </c>
      <c r="G30" s="914">
        <f t="shared" si="4"/>
        <v>0.20910521366442064</v>
      </c>
    </row>
    <row r="31" spans="1:7" x14ac:dyDescent="0.2">
      <c r="A31" s="910" t="s">
        <v>111</v>
      </c>
      <c r="B31" s="913"/>
      <c r="C31" s="914">
        <f t="shared" ref="C31:G31" si="5">IF(ISERROR((C27-$B27)/$B27), 0, (C27-$B27)/$B27)</f>
        <v>0</v>
      </c>
      <c r="D31" s="914">
        <f t="shared" si="5"/>
        <v>0</v>
      </c>
      <c r="E31" s="914">
        <f t="shared" si="5"/>
        <v>0</v>
      </c>
      <c r="F31" s="914">
        <f t="shared" si="5"/>
        <v>0</v>
      </c>
      <c r="G31" s="914">
        <f t="shared" si="5"/>
        <v>0</v>
      </c>
    </row>
    <row r="32" spans="1:7" x14ac:dyDescent="0.2">
      <c r="A32" s="252"/>
    </row>
    <row r="33" spans="1:7" x14ac:dyDescent="0.2">
      <c r="A33" s="906" t="s">
        <v>2233</v>
      </c>
      <c r="B33" s="907"/>
      <c r="C33" s="907"/>
      <c r="D33" s="907"/>
      <c r="E33" s="907"/>
      <c r="F33" s="907"/>
      <c r="G33" s="907"/>
    </row>
    <row r="34" spans="1:7" x14ac:dyDescent="0.2">
      <c r="A34" s="908" t="s">
        <v>1592</v>
      </c>
      <c r="B34" s="909">
        <v>298.99471897589217</v>
      </c>
      <c r="C34" s="909">
        <v>271</v>
      </c>
      <c r="D34" s="909">
        <v>273</v>
      </c>
      <c r="E34" s="909">
        <v>284</v>
      </c>
      <c r="F34" s="909">
        <f>+[15]Summary!$S$19</f>
        <v>293</v>
      </c>
      <c r="G34" s="909">
        <f>+[15]Summary!$T$19</f>
        <v>301.93278392268166</v>
      </c>
    </row>
    <row r="35" spans="1:7" x14ac:dyDescent="0.2">
      <c r="A35" s="910" t="s">
        <v>110</v>
      </c>
      <c r="B35" s="909">
        <v>188689652.77374837</v>
      </c>
      <c r="C35" s="909">
        <v>194206572.97999996</v>
      </c>
      <c r="D35" s="909">
        <v>203179610.86000001</v>
      </c>
      <c r="E35" s="909">
        <v>204067396.17000005</v>
      </c>
      <c r="F35" s="909">
        <f>+[15]Summary!$S$20</f>
        <v>202512641.37251189</v>
      </c>
      <c r="G35" s="909">
        <f>+[15]Summary!$T$20</f>
        <v>206918158.48785442</v>
      </c>
    </row>
    <row r="36" spans="1:7" x14ac:dyDescent="0.2">
      <c r="A36" s="910" t="s">
        <v>111</v>
      </c>
      <c r="B36" s="909">
        <v>511697.18575200246</v>
      </c>
      <c r="C36" s="909">
        <v>520812.31</v>
      </c>
      <c r="D36" s="909">
        <v>541769.57999999996</v>
      </c>
      <c r="E36" s="909">
        <v>537015.85</v>
      </c>
      <c r="F36" s="909">
        <f>+[15]Summary!$S$21</f>
        <v>543820.85130889143</v>
      </c>
      <c r="G36" s="909">
        <f>+[15]Summary!$T$21</f>
        <v>555651.28348282422</v>
      </c>
    </row>
    <row r="37" spans="1:7" x14ac:dyDescent="0.2">
      <c r="A37" s="911" t="s">
        <v>1642</v>
      </c>
      <c r="B37" s="912"/>
      <c r="C37" s="912"/>
      <c r="D37" s="912"/>
      <c r="E37" s="912"/>
      <c r="F37" s="912"/>
      <c r="G37" s="912"/>
    </row>
    <row r="38" spans="1:7" x14ac:dyDescent="0.2">
      <c r="A38" s="910" t="str">
        <f>A34</f>
        <v># of Customers</v>
      </c>
      <c r="B38" s="913"/>
      <c r="C38" s="914">
        <f>IF(ISERROR((C34-$B34)/$B34), 0, (C34-$B34)/$B34)</f>
        <v>-9.3629476372622394E-2</v>
      </c>
      <c r="D38" s="914">
        <f t="shared" ref="D38:G38" si="6">IF(ISERROR((D34-$B34)/$B34), 0, (D34-$B34)/$B34)</f>
        <v>-8.6940395017438804E-2</v>
      </c>
      <c r="E38" s="914">
        <f t="shared" si="6"/>
        <v>-5.0150447563929008E-2</v>
      </c>
      <c r="F38" s="914">
        <f t="shared" si="6"/>
        <v>-2.0049581465602814E-2</v>
      </c>
      <c r="G38" s="914">
        <f t="shared" si="6"/>
        <v>9.8264777279440524E-3</v>
      </c>
    </row>
    <row r="39" spans="1:7" x14ac:dyDescent="0.2">
      <c r="A39" s="910" t="s">
        <v>110</v>
      </c>
      <c r="B39" s="913"/>
      <c r="C39" s="914">
        <f t="shared" ref="C39:G39" si="7">IF(ISERROR((C35-$B35)/$B35), 0, (C35-$B35)/$B35)</f>
        <v>2.9238064330251067E-2</v>
      </c>
      <c r="D39" s="914">
        <f t="shared" si="7"/>
        <v>7.6792542003488048E-2</v>
      </c>
      <c r="E39" s="914">
        <f t="shared" si="7"/>
        <v>8.1497544619951318E-2</v>
      </c>
      <c r="F39" s="914">
        <f t="shared" si="7"/>
        <v>7.3257798695184534E-2</v>
      </c>
      <c r="G39" s="914">
        <f t="shared" si="7"/>
        <v>9.6605751540405141E-2</v>
      </c>
    </row>
    <row r="40" spans="1:7" x14ac:dyDescent="0.2">
      <c r="A40" s="910" t="s">
        <v>111</v>
      </c>
      <c r="B40" s="913"/>
      <c r="C40" s="914">
        <f t="shared" ref="C40:G40" si="8">IF(ISERROR((C36-$B36)/$B36), 0, (C36-$B36)/$B36)</f>
        <v>1.7813512565252296E-2</v>
      </c>
      <c r="D40" s="914">
        <f t="shared" si="8"/>
        <v>5.8769903539341105E-2</v>
      </c>
      <c r="E40" s="914">
        <f t="shared" si="8"/>
        <v>4.9479780137521363E-2</v>
      </c>
      <c r="F40" s="914">
        <f t="shared" si="8"/>
        <v>6.2778663731908671E-2</v>
      </c>
      <c r="G40" s="914">
        <f t="shared" si="8"/>
        <v>8.5898650519693129E-2</v>
      </c>
    </row>
    <row r="41" spans="1:7" x14ac:dyDescent="0.2">
      <c r="A41" s="252"/>
    </row>
    <row r="42" spans="1:7" x14ac:dyDescent="0.2">
      <c r="A42" s="906" t="s">
        <v>2234</v>
      </c>
      <c r="B42" s="907"/>
      <c r="C42" s="907"/>
      <c r="D42" s="907"/>
      <c r="E42" s="907"/>
      <c r="F42" s="907"/>
      <c r="G42" s="907"/>
    </row>
    <row r="43" spans="1:7" x14ac:dyDescent="0.2">
      <c r="A43" s="908" t="s">
        <v>1592</v>
      </c>
      <c r="B43" s="909">
        <v>13</v>
      </c>
      <c r="C43" s="909">
        <v>12</v>
      </c>
      <c r="D43" s="909">
        <v>11</v>
      </c>
      <c r="E43" s="909">
        <v>12</v>
      </c>
      <c r="F43" s="909">
        <f>+[15]Summary!$S$24</f>
        <v>13</v>
      </c>
      <c r="G43" s="909">
        <f>+[15]Summary!$T$24</f>
        <v>13</v>
      </c>
    </row>
    <row r="44" spans="1:7" x14ac:dyDescent="0.2">
      <c r="A44" s="910" t="s">
        <v>110</v>
      </c>
      <c r="B44" s="909">
        <v>112523353.0368486</v>
      </c>
      <c r="C44" s="909">
        <v>128979851</v>
      </c>
      <c r="D44" s="909">
        <v>100652663.27</v>
      </c>
      <c r="E44" s="909">
        <v>110411188.92</v>
      </c>
      <c r="F44" s="909">
        <f>+[15]Summary!$S$25</f>
        <v>113132018.52439819</v>
      </c>
      <c r="G44" s="909">
        <f>+[15]Summary!$T$25</f>
        <v>116570267.303496</v>
      </c>
    </row>
    <row r="45" spans="1:7" x14ac:dyDescent="0.2">
      <c r="A45" s="910" t="s">
        <v>111</v>
      </c>
      <c r="B45" s="909">
        <v>230486.33199415752</v>
      </c>
      <c r="C45" s="909">
        <v>287183</v>
      </c>
      <c r="D45" s="909">
        <v>232734.3</v>
      </c>
      <c r="E45" s="909">
        <v>242503.52999999997</v>
      </c>
      <c r="F45" s="909">
        <f>+[15]Summary!$S$26</f>
        <v>238557.97632951225</v>
      </c>
      <c r="G45" s="909">
        <f>+[15]Summary!$T$26</f>
        <v>245808.10482149263</v>
      </c>
    </row>
    <row r="46" spans="1:7" x14ac:dyDescent="0.2">
      <c r="A46" s="911" t="s">
        <v>1642</v>
      </c>
      <c r="B46" s="912"/>
      <c r="C46" s="912"/>
      <c r="D46" s="912"/>
      <c r="E46" s="912"/>
      <c r="F46" s="912"/>
      <c r="G46" s="912"/>
    </row>
    <row r="47" spans="1:7" x14ac:dyDescent="0.2">
      <c r="A47" s="910" t="str">
        <f>A43</f>
        <v># of Customers</v>
      </c>
      <c r="B47" s="913"/>
      <c r="C47" s="914">
        <f>IF(ISERROR((C43-$B43)/$B43), 0, (C43-$B43)/$B43)</f>
        <v>-7.6923076923076927E-2</v>
      </c>
      <c r="D47" s="914">
        <f t="shared" ref="D47:G47" si="9">IF(ISERROR((D43-$B43)/$B43), 0, (D43-$B43)/$B43)</f>
        <v>-0.15384615384615385</v>
      </c>
      <c r="E47" s="914">
        <f t="shared" si="9"/>
        <v>-7.6923076923076927E-2</v>
      </c>
      <c r="F47" s="914">
        <f t="shared" si="9"/>
        <v>0</v>
      </c>
      <c r="G47" s="914">
        <f t="shared" si="9"/>
        <v>0</v>
      </c>
    </row>
    <row r="48" spans="1:7" x14ac:dyDescent="0.2">
      <c r="A48" s="910" t="s">
        <v>110</v>
      </c>
      <c r="B48" s="913"/>
      <c r="C48" s="914">
        <f t="shared" ref="C48:G48" si="10">IF(ISERROR((C44-$B44)/$B44), 0, (C44-$B44)/$B44)</f>
        <v>0.14624962302502931</v>
      </c>
      <c r="D48" s="914">
        <f t="shared" si="10"/>
        <v>-0.10549534337962052</v>
      </c>
      <c r="E48" s="914">
        <f t="shared" si="10"/>
        <v>-1.8770895639387154E-2</v>
      </c>
      <c r="F48" s="914">
        <f t="shared" si="10"/>
        <v>5.4092370261155055E-3</v>
      </c>
      <c r="G48" s="914">
        <f t="shared" si="10"/>
        <v>3.5965105530779327E-2</v>
      </c>
    </row>
    <row r="49" spans="1:7" x14ac:dyDescent="0.2">
      <c r="A49" s="910" t="s">
        <v>111</v>
      </c>
      <c r="B49" s="913"/>
      <c r="C49" s="914">
        <f t="shared" ref="C49:G49" si="11">IF(ISERROR((C45-$B45)/$B45), 0, (C45-$B45)/$B45)</f>
        <v>0.24598711565803241</v>
      </c>
      <c r="D49" s="914">
        <f t="shared" si="11"/>
        <v>9.7531510280594591E-3</v>
      </c>
      <c r="E49" s="914">
        <f t="shared" si="11"/>
        <v>5.2138440929968333E-2</v>
      </c>
      <c r="F49" s="914">
        <f t="shared" si="11"/>
        <v>3.5020056354401703E-2</v>
      </c>
      <c r="G49" s="914">
        <f t="shared" si="11"/>
        <v>6.6475841299446309E-2</v>
      </c>
    </row>
    <row r="50" spans="1:7" x14ac:dyDescent="0.2">
      <c r="A50" s="252"/>
    </row>
    <row r="51" spans="1:7" x14ac:dyDescent="0.2">
      <c r="A51" s="906" t="s">
        <v>2235</v>
      </c>
      <c r="B51" s="907"/>
      <c r="C51" s="907"/>
      <c r="D51" s="907"/>
      <c r="E51" s="907"/>
      <c r="F51" s="907"/>
      <c r="G51" s="907"/>
    </row>
    <row r="52" spans="1:7" x14ac:dyDescent="0.2">
      <c r="A52" s="908" t="s">
        <v>1592</v>
      </c>
      <c r="B52" s="909">
        <v>2</v>
      </c>
      <c r="C52" s="909">
        <v>2</v>
      </c>
      <c r="D52" s="909">
        <v>3</v>
      </c>
      <c r="E52" s="909">
        <v>3</v>
      </c>
      <c r="F52" s="909">
        <f>+[15]Summary!$S$29</f>
        <v>3</v>
      </c>
      <c r="G52" s="909">
        <f>+[15]Summary!$T$29</f>
        <v>3</v>
      </c>
    </row>
    <row r="53" spans="1:7" x14ac:dyDescent="0.2">
      <c r="A53" s="910" t="s">
        <v>110</v>
      </c>
      <c r="B53" s="909">
        <v>85702235.109217241</v>
      </c>
      <c r="C53" s="909">
        <v>86554626</v>
      </c>
      <c r="D53" s="909">
        <v>127931414.90000002</v>
      </c>
      <c r="E53" s="909">
        <v>133427900.34</v>
      </c>
      <c r="F53" s="909">
        <f>+[15]Summary!$S$30</f>
        <v>135925899.16066048</v>
      </c>
      <c r="G53" s="909">
        <f>+[15]Summary!$T$30</f>
        <v>135893889.41732097</v>
      </c>
    </row>
    <row r="54" spans="1:7" x14ac:dyDescent="0.2">
      <c r="A54" s="910" t="s">
        <v>111</v>
      </c>
      <c r="B54" s="909">
        <v>188667.80987852663</v>
      </c>
      <c r="C54" s="909">
        <v>179954</v>
      </c>
      <c r="D54" s="909">
        <v>246682.37</v>
      </c>
      <c r="E54" s="909">
        <v>253601.38999999998</v>
      </c>
      <c r="F54" s="909">
        <f>+[15]Summary!$S$31</f>
        <v>260223.44518110462</v>
      </c>
      <c r="G54" s="909">
        <f>+[15]Summary!$T$31</f>
        <v>260162.16410264492</v>
      </c>
    </row>
    <row r="55" spans="1:7" x14ac:dyDescent="0.2">
      <c r="A55" s="911" t="s">
        <v>1642</v>
      </c>
      <c r="B55" s="912"/>
      <c r="C55" s="912"/>
      <c r="D55" s="912"/>
      <c r="E55" s="912"/>
      <c r="F55" s="912"/>
      <c r="G55" s="912"/>
    </row>
    <row r="56" spans="1:7" x14ac:dyDescent="0.2">
      <c r="A56" s="910" t="str">
        <f>A52</f>
        <v># of Customers</v>
      </c>
      <c r="B56" s="913"/>
      <c r="C56" s="914">
        <f>IF(ISERROR((C52-$B52)/$B52), 0, (C52-$B52)/$B52)</f>
        <v>0</v>
      </c>
      <c r="D56" s="914">
        <f t="shared" ref="D56:G56" si="12">IF(ISERROR((D52-$B52)/$B52), 0, (D52-$B52)/$B52)</f>
        <v>0.5</v>
      </c>
      <c r="E56" s="914">
        <f t="shared" si="12"/>
        <v>0.5</v>
      </c>
      <c r="F56" s="914">
        <f t="shared" si="12"/>
        <v>0.5</v>
      </c>
      <c r="G56" s="914">
        <f t="shared" si="12"/>
        <v>0.5</v>
      </c>
    </row>
    <row r="57" spans="1:7" x14ac:dyDescent="0.2">
      <c r="A57" s="910" t="s">
        <v>110</v>
      </c>
      <c r="B57" s="913"/>
      <c r="C57" s="914">
        <f t="shared" ref="C57:G57" si="13">IF(ISERROR((C53-$B53)/$B53), 0, (C53-$B53)/$B53)</f>
        <v>9.9459586987024132E-3</v>
      </c>
      <c r="D57" s="914">
        <f t="shared" si="13"/>
        <v>0.49274303916305967</v>
      </c>
      <c r="E57" s="914">
        <f t="shared" si="13"/>
        <v>0.55687771934958419</v>
      </c>
      <c r="F57" s="914">
        <f t="shared" si="13"/>
        <v>0.58602513677081103</v>
      </c>
      <c r="G57" s="914">
        <f t="shared" si="13"/>
        <v>0.5856516372547399</v>
      </c>
    </row>
    <row r="58" spans="1:7" x14ac:dyDescent="0.2">
      <c r="A58" s="910" t="s">
        <v>111</v>
      </c>
      <c r="B58" s="913"/>
      <c r="C58" s="914">
        <f t="shared" ref="C58:G58" si="14">IF(ISERROR((C54-$B54)/$B54), 0, (C54-$B54)/$B54)</f>
        <v>-4.6185991580317817E-2</v>
      </c>
      <c r="D58" s="914">
        <f t="shared" si="14"/>
        <v>0.30749580524004549</v>
      </c>
      <c r="E58" s="914">
        <f t="shared" si="14"/>
        <v>0.34416883390590425</v>
      </c>
      <c r="F58" s="914">
        <f t="shared" si="14"/>
        <v>0.37926785363464455</v>
      </c>
      <c r="G58" s="914">
        <f t="shared" si="14"/>
        <v>0.37894304423287561</v>
      </c>
    </row>
    <row r="59" spans="1:7" x14ac:dyDescent="0.2">
      <c r="A59" s="252"/>
    </row>
    <row r="60" spans="1:7" x14ac:dyDescent="0.2">
      <c r="A60" s="906" t="s">
        <v>2236</v>
      </c>
      <c r="B60" s="907"/>
      <c r="C60" s="907"/>
      <c r="D60" s="907"/>
      <c r="E60" s="907"/>
      <c r="F60" s="907"/>
      <c r="G60" s="907"/>
    </row>
    <row r="61" spans="1:7" x14ac:dyDescent="0.2">
      <c r="A61" s="908" t="s">
        <v>2237</v>
      </c>
      <c r="B61" s="909">
        <v>2895.1971622143142</v>
      </c>
      <c r="C61" s="909">
        <v>2991</v>
      </c>
      <c r="D61" s="909">
        <v>3046</v>
      </c>
      <c r="E61" s="909">
        <v>3097</v>
      </c>
      <c r="F61" s="909">
        <f>+[15]Summary!$S$34</f>
        <v>3164.614044620675</v>
      </c>
      <c r="G61" s="909">
        <f>+[15]Summary!$T$34</f>
        <v>3233.7042464999763</v>
      </c>
    </row>
    <row r="62" spans="1:7" x14ac:dyDescent="0.2">
      <c r="A62" s="910" t="s">
        <v>110</v>
      </c>
      <c r="B62" s="909">
        <v>6320786.8756954912</v>
      </c>
      <c r="C62" s="909">
        <v>6834941</v>
      </c>
      <c r="D62" s="909">
        <v>7077824.8700000001</v>
      </c>
      <c r="E62" s="909">
        <v>7239934.3099999996</v>
      </c>
      <c r="F62" s="909">
        <f>+[15]Summary!$S$35</f>
        <v>7751250.8115083659</v>
      </c>
      <c r="G62" s="909">
        <f>+[15]Summary!$T$35</f>
        <v>8298678.7683863798</v>
      </c>
    </row>
    <row r="63" spans="1:7" x14ac:dyDescent="0.2">
      <c r="A63" s="910" t="s">
        <v>111</v>
      </c>
      <c r="B63" s="909">
        <v>17809.64893515205</v>
      </c>
      <c r="C63" s="909">
        <v>19000</v>
      </c>
      <c r="D63" s="909">
        <v>19747.59</v>
      </c>
      <c r="E63" s="909">
        <v>20172.63</v>
      </c>
      <c r="F63" s="909">
        <f>+[15]Summary!$S$36</f>
        <v>21754.490256975914</v>
      </c>
      <c r="G63" s="909">
        <f>+[15]Summary!$T$36</f>
        <v>23290.889535479138</v>
      </c>
    </row>
    <row r="64" spans="1:7" x14ac:dyDescent="0.2">
      <c r="A64" s="911" t="s">
        <v>1642</v>
      </c>
      <c r="B64" s="912"/>
      <c r="C64" s="912"/>
      <c r="D64" s="912"/>
      <c r="E64" s="912"/>
      <c r="F64" s="912"/>
      <c r="G64" s="912"/>
    </row>
    <row r="65" spans="1:7" x14ac:dyDescent="0.2">
      <c r="A65" s="910" t="str">
        <f>A61</f>
        <v># of Connections</v>
      </c>
      <c r="B65" s="913"/>
      <c r="C65" s="914">
        <f>IF(ISERROR((C61-$B61)/$B61), 0, (C61-$B61)/$B61)</f>
        <v>3.3090263777549984E-2</v>
      </c>
      <c r="D65" s="914">
        <f t="shared" ref="D65:G65" si="15">IF(ISERROR((D61-$B61)/$B61), 0, (D61-$B61)/$B61)</f>
        <v>5.2087242884124793E-2</v>
      </c>
      <c r="E65" s="914">
        <f t="shared" si="15"/>
        <v>6.9702623510221426E-2</v>
      </c>
      <c r="F65" s="914">
        <f t="shared" si="15"/>
        <v>9.3056488836948351E-2</v>
      </c>
      <c r="G65" s="914">
        <f t="shared" si="15"/>
        <v>0.11692021832004147</v>
      </c>
    </row>
    <row r="66" spans="1:7" x14ac:dyDescent="0.2">
      <c r="A66" s="910" t="s">
        <v>110</v>
      </c>
      <c r="B66" s="913"/>
      <c r="C66" s="914">
        <f t="shared" ref="C66:G66" si="16">IF(ISERROR((C62-$B62)/$B62), 0, (C62-$B62)/$B62)</f>
        <v>8.1343372971729125E-2</v>
      </c>
      <c r="D66" s="914">
        <f t="shared" si="16"/>
        <v>0.11976958078043254</v>
      </c>
      <c r="E66" s="914">
        <f t="shared" si="16"/>
        <v>0.14541661542786513</v>
      </c>
      <c r="F66" s="914">
        <f t="shared" si="16"/>
        <v>0.22631105334578733</v>
      </c>
      <c r="G66" s="914">
        <f t="shared" si="16"/>
        <v>0.31291861782212937</v>
      </c>
    </row>
    <row r="67" spans="1:7" x14ac:dyDescent="0.2">
      <c r="A67" s="910" t="s">
        <v>111</v>
      </c>
      <c r="B67" s="913"/>
      <c r="C67" s="914">
        <f t="shared" ref="C67:G67" si="17">IF(ISERROR((C63-$B63)/$B63), 0, (C63-$B63)/$B63)</f>
        <v>6.6837424431117065E-2</v>
      </c>
      <c r="D67" s="914">
        <f t="shared" si="17"/>
        <v>0.10881410812219384</v>
      </c>
      <c r="E67" s="914">
        <f t="shared" si="17"/>
        <v>0.13267982280009927</v>
      </c>
      <c r="F67" s="914">
        <f t="shared" si="17"/>
        <v>0.22150022924021129</v>
      </c>
      <c r="G67" s="914">
        <f t="shared" si="17"/>
        <v>0.30776803182843265</v>
      </c>
    </row>
    <row r="68" spans="1:7" x14ac:dyDescent="0.2">
      <c r="A68" s="252"/>
    </row>
    <row r="69" spans="1:7" x14ac:dyDescent="0.2">
      <c r="A69" s="906" t="s">
        <v>2238</v>
      </c>
      <c r="B69" s="907"/>
      <c r="C69" s="907"/>
      <c r="D69" s="907"/>
      <c r="E69" s="907"/>
      <c r="F69" s="907"/>
      <c r="G69" s="907"/>
    </row>
    <row r="70" spans="1:7" x14ac:dyDescent="0.2">
      <c r="A70" s="908" t="s">
        <v>2237</v>
      </c>
      <c r="B70" s="909">
        <v>270.11597842993888</v>
      </c>
      <c r="C70" s="909">
        <v>265</v>
      </c>
      <c r="D70" s="909">
        <v>256</v>
      </c>
      <c r="E70" s="909">
        <v>251</v>
      </c>
      <c r="F70" s="909">
        <f>+[15]Summary!$S$39</f>
        <v>246.56251236299744</v>
      </c>
      <c r="G70" s="909">
        <f>+[15]Summary!$T$39</f>
        <v>242.20347610658669</v>
      </c>
    </row>
    <row r="71" spans="1:7" x14ac:dyDescent="0.2">
      <c r="A71" s="910" t="s">
        <v>110</v>
      </c>
      <c r="B71" s="909">
        <v>167188.12026241363</v>
      </c>
      <c r="C71" s="909">
        <v>155804</v>
      </c>
      <c r="D71" s="909">
        <v>153123.74</v>
      </c>
      <c r="E71" s="909">
        <v>151002.67000000001</v>
      </c>
      <c r="F71" s="909">
        <f>+[15]Summary!$S$40</f>
        <v>148333.0585207993</v>
      </c>
      <c r="G71" s="909">
        <f>+[15]Summary!$T$40</f>
        <v>145710.64372659678</v>
      </c>
    </row>
    <row r="72" spans="1:7" x14ac:dyDescent="0.2">
      <c r="A72" s="910" t="s">
        <v>111</v>
      </c>
      <c r="B72" s="909">
        <v>465.2233502043091</v>
      </c>
      <c r="C72" s="909">
        <v>412.7016666666666</v>
      </c>
      <c r="D72" s="909">
        <v>425.3437222222222</v>
      </c>
      <c r="E72" s="909">
        <v>419.45277777777778</v>
      </c>
      <c r="F72" s="909">
        <f>+[15]Summary!$S$41</f>
        <v>411.13341239037248</v>
      </c>
      <c r="G72" s="909">
        <f>+[15]Summary!$T$41</f>
        <v>403.86488874638457</v>
      </c>
    </row>
    <row r="73" spans="1:7" x14ac:dyDescent="0.2">
      <c r="A73" s="911" t="s">
        <v>1642</v>
      </c>
      <c r="B73" s="912"/>
      <c r="C73" s="912"/>
      <c r="D73" s="912"/>
      <c r="E73" s="912"/>
      <c r="F73" s="912"/>
      <c r="G73" s="912"/>
    </row>
    <row r="74" spans="1:7" x14ac:dyDescent="0.2">
      <c r="A74" s="910" t="str">
        <f>A70</f>
        <v># of Connections</v>
      </c>
      <c r="B74" s="913"/>
      <c r="C74" s="914">
        <f>IF(ISERROR((C70-$B70)/$B70), 0, (C70-$B70)/$B70)</f>
        <v>-1.8939932615892364E-2</v>
      </c>
      <c r="D74" s="914">
        <f t="shared" ref="D74:G74" si="18">IF(ISERROR((D70-$B70)/$B70), 0, (D70-$B70)/$B70)</f>
        <v>-5.2258953772333756E-2</v>
      </c>
      <c r="E74" s="914">
        <f t="shared" si="18"/>
        <v>-7.0769521081467862E-2</v>
      </c>
      <c r="F74" s="914">
        <f t="shared" si="18"/>
        <v>-8.7197603799105142E-2</v>
      </c>
      <c r="G74" s="914">
        <f t="shared" si="18"/>
        <v>-0.10333525060455455</v>
      </c>
    </row>
    <row r="75" spans="1:7" x14ac:dyDescent="0.2">
      <c r="A75" s="910" t="s">
        <v>110</v>
      </c>
      <c r="B75" s="913"/>
      <c r="C75" s="914">
        <f t="shared" ref="C75:G75" si="19">IF(ISERROR((C71-$B71)/$B71), 0, (C71-$B71)/$B71)</f>
        <v>-6.8091681661026207E-2</v>
      </c>
      <c r="D75" s="914">
        <f t="shared" si="19"/>
        <v>-8.412308386707501E-2</v>
      </c>
      <c r="E75" s="914">
        <f t="shared" si="19"/>
        <v>-9.6809810631337964E-2</v>
      </c>
      <c r="F75" s="914">
        <f t="shared" si="19"/>
        <v>-0.11277752098665848</v>
      </c>
      <c r="G75" s="914">
        <f t="shared" si="19"/>
        <v>-0.12846293446033383</v>
      </c>
    </row>
    <row r="76" spans="1:7" x14ac:dyDescent="0.2">
      <c r="A76" s="910" t="s">
        <v>111</v>
      </c>
      <c r="B76" s="913"/>
      <c r="C76" s="914">
        <f t="shared" ref="C76:G76" si="20">IF(ISERROR((C72-$B72)/$B72), 0, (C72-$B72)/$B72)</f>
        <v>-0.11289563069991414</v>
      </c>
      <c r="D76" s="914">
        <f t="shared" si="20"/>
        <v>-8.5721466827864995E-2</v>
      </c>
      <c r="E76" s="914">
        <f t="shared" si="20"/>
        <v>-9.8384082412094218E-2</v>
      </c>
      <c r="F76" s="914">
        <f t="shared" si="20"/>
        <v>-0.11626660138658623</v>
      </c>
      <c r="G76" s="914">
        <f t="shared" si="20"/>
        <v>-0.13189033059277472</v>
      </c>
    </row>
    <row r="77" spans="1:7" x14ac:dyDescent="0.2">
      <c r="A77" s="252"/>
    </row>
    <row r="78" spans="1:7" x14ac:dyDescent="0.2">
      <c r="A78" s="906" t="s">
        <v>2239</v>
      </c>
      <c r="B78" s="907"/>
      <c r="C78" s="907"/>
      <c r="D78" s="907"/>
      <c r="E78" s="907"/>
      <c r="F78" s="907"/>
      <c r="G78" s="907"/>
    </row>
    <row r="79" spans="1:7" x14ac:dyDescent="0.2">
      <c r="A79" s="908" t="s">
        <v>2237</v>
      </c>
      <c r="B79" s="909">
        <v>207.83356676182416</v>
      </c>
      <c r="C79" s="909">
        <v>192</v>
      </c>
      <c r="D79" s="909">
        <v>192</v>
      </c>
      <c r="E79" s="909">
        <v>189</v>
      </c>
      <c r="F79" s="909">
        <f>+[15]Summary!$S$44</f>
        <v>178</v>
      </c>
      <c r="G79" s="909">
        <f>+[15]Summary!$T$44</f>
        <v>178</v>
      </c>
    </row>
    <row r="80" spans="1:7" x14ac:dyDescent="0.2">
      <c r="A80" s="910" t="s">
        <v>110</v>
      </c>
      <c r="B80" s="909">
        <v>1519815.0354853482</v>
      </c>
      <c r="C80" s="909">
        <v>1328091</v>
      </c>
      <c r="D80" s="909">
        <v>1336647.2</v>
      </c>
      <c r="E80" s="909">
        <v>1339770.73</v>
      </c>
      <c r="F80" s="909">
        <f>+[15]Summary!$S$45</f>
        <v>1238375.73</v>
      </c>
      <c r="G80" s="909">
        <f>+[15]Summary!$T$45</f>
        <v>1096422.73</v>
      </c>
    </row>
    <row r="81" spans="1:7" x14ac:dyDescent="0.2">
      <c r="A81" s="910" t="s">
        <v>111</v>
      </c>
      <c r="B81" s="909"/>
      <c r="C81" s="909"/>
      <c r="D81" s="909"/>
      <c r="E81" s="909"/>
      <c r="F81" s="909"/>
      <c r="G81" s="909"/>
    </row>
    <row r="82" spans="1:7" x14ac:dyDescent="0.2">
      <c r="A82" s="911" t="s">
        <v>1642</v>
      </c>
      <c r="B82" s="912"/>
      <c r="C82" s="912"/>
      <c r="D82" s="912"/>
      <c r="E82" s="912"/>
      <c r="F82" s="912"/>
      <c r="G82" s="912"/>
    </row>
    <row r="83" spans="1:7" x14ac:dyDescent="0.2">
      <c r="A83" s="910" t="str">
        <f>A79</f>
        <v># of Connections</v>
      </c>
      <c r="B83" s="913"/>
      <c r="C83" s="914">
        <f>IF(ISERROR((C79-$B79)/$B79), 0, (C79-$B79)/$B79)</f>
        <v>-7.6183876399375461E-2</v>
      </c>
      <c r="D83" s="914">
        <f t="shared" ref="D83:G83" si="21">IF(ISERROR((D79-$B79)/$B79), 0, (D79-$B79)/$B79)</f>
        <v>-7.6183876399375461E-2</v>
      </c>
      <c r="E83" s="914">
        <f t="shared" si="21"/>
        <v>-9.0618503330635217E-2</v>
      </c>
      <c r="F83" s="914">
        <f t="shared" si="21"/>
        <v>-0.14354546874525434</v>
      </c>
      <c r="G83" s="914">
        <f t="shared" si="21"/>
        <v>-0.14354546874525434</v>
      </c>
    </row>
    <row r="84" spans="1:7" x14ac:dyDescent="0.2">
      <c r="A84" s="910" t="s">
        <v>110</v>
      </c>
      <c r="B84" s="913"/>
      <c r="C84" s="914">
        <f t="shared" ref="C84:G84" si="22">IF(ISERROR((C80-$B80)/$B80), 0, (C80-$B80)/$B80)</f>
        <v>-0.12614958465924225</v>
      </c>
      <c r="D84" s="914">
        <f t="shared" si="22"/>
        <v>-0.12051982064176261</v>
      </c>
      <c r="E84" s="914">
        <f t="shared" si="22"/>
        <v>-0.11846461660240888</v>
      </c>
      <c r="F84" s="914">
        <f t="shared" si="22"/>
        <v>-0.18517997184800283</v>
      </c>
      <c r="G84" s="914">
        <f t="shared" si="22"/>
        <v>-0.27858146919183441</v>
      </c>
    </row>
    <row r="85" spans="1:7" x14ac:dyDescent="0.2">
      <c r="A85" s="910" t="s">
        <v>111</v>
      </c>
      <c r="B85" s="913"/>
      <c r="C85" s="914">
        <f t="shared" ref="C85:G85" si="23">IF(ISERROR((C81-$B81)/$B81), 0, (C81-$B81)/$B81)</f>
        <v>0</v>
      </c>
      <c r="D85" s="914">
        <f t="shared" si="23"/>
        <v>0</v>
      </c>
      <c r="E85" s="914">
        <f t="shared" si="23"/>
        <v>0</v>
      </c>
      <c r="F85" s="914">
        <f t="shared" si="23"/>
        <v>0</v>
      </c>
      <c r="G85" s="914">
        <f t="shared" si="23"/>
        <v>0</v>
      </c>
    </row>
    <row r="86" spans="1:7" x14ac:dyDescent="0.2">
      <c r="A86" s="252"/>
    </row>
    <row r="87" spans="1:7" x14ac:dyDescent="0.2">
      <c r="A87" s="906" t="s">
        <v>1593</v>
      </c>
      <c r="B87" s="907"/>
      <c r="C87" s="907"/>
      <c r="D87" s="907"/>
      <c r="E87" s="907"/>
      <c r="F87" s="907"/>
      <c r="G87" s="907"/>
    </row>
    <row r="88" spans="1:7" x14ac:dyDescent="0.2">
      <c r="A88" s="908" t="s">
        <v>1592</v>
      </c>
      <c r="B88" s="909"/>
      <c r="C88" s="909"/>
      <c r="D88" s="909"/>
      <c r="E88" s="909"/>
      <c r="F88" s="909"/>
      <c r="G88" s="909"/>
    </row>
    <row r="89" spans="1:7" x14ac:dyDescent="0.2">
      <c r="A89" s="910" t="s">
        <v>110</v>
      </c>
      <c r="B89" s="909"/>
      <c r="C89" s="909"/>
      <c r="D89" s="909"/>
      <c r="E89" s="909"/>
      <c r="F89" s="909"/>
      <c r="G89" s="909"/>
    </row>
    <row r="90" spans="1:7" x14ac:dyDescent="0.2">
      <c r="A90" s="910" t="s">
        <v>111</v>
      </c>
      <c r="B90" s="909"/>
      <c r="C90" s="909"/>
      <c r="D90" s="909"/>
      <c r="E90" s="909"/>
      <c r="F90" s="909"/>
      <c r="G90" s="909"/>
    </row>
    <row r="91" spans="1:7" x14ac:dyDescent="0.2">
      <c r="A91" s="911" t="s">
        <v>1642</v>
      </c>
      <c r="B91" s="912"/>
      <c r="C91" s="912"/>
      <c r="D91" s="912"/>
      <c r="E91" s="912"/>
      <c r="F91" s="912"/>
      <c r="G91" s="912"/>
    </row>
    <row r="92" spans="1:7" x14ac:dyDescent="0.2">
      <c r="A92" s="910" t="str">
        <f>A88</f>
        <v># of Customers</v>
      </c>
      <c r="B92" s="913"/>
      <c r="C92" s="914">
        <f>IF(ISERROR((C88-$B88)/$B88), 0, (C88-$B88)/$B88)</f>
        <v>0</v>
      </c>
      <c r="D92" s="914">
        <f t="shared" ref="D92:G92" si="24">IF(ISERROR((D88-$B88)/$B88), 0, (D88-$B88)/$B88)</f>
        <v>0</v>
      </c>
      <c r="E92" s="914">
        <f t="shared" si="24"/>
        <v>0</v>
      </c>
      <c r="F92" s="914">
        <f t="shared" si="24"/>
        <v>0</v>
      </c>
      <c r="G92" s="914">
        <f t="shared" si="24"/>
        <v>0</v>
      </c>
    </row>
    <row r="93" spans="1:7" x14ac:dyDescent="0.2">
      <c r="A93" s="910" t="s">
        <v>110</v>
      </c>
      <c r="B93" s="913"/>
      <c r="C93" s="914">
        <f t="shared" ref="C93:G93" si="25">IF(ISERROR((C89-$B89)/$B89), 0, (C89-$B89)/$B89)</f>
        <v>0</v>
      </c>
      <c r="D93" s="914">
        <f t="shared" si="25"/>
        <v>0</v>
      </c>
      <c r="E93" s="914">
        <f t="shared" si="25"/>
        <v>0</v>
      </c>
      <c r="F93" s="914">
        <f t="shared" si="25"/>
        <v>0</v>
      </c>
      <c r="G93" s="914">
        <f t="shared" si="25"/>
        <v>0</v>
      </c>
    </row>
    <row r="94" spans="1:7" x14ac:dyDescent="0.2">
      <c r="A94" s="910" t="s">
        <v>111</v>
      </c>
      <c r="B94" s="913"/>
      <c r="C94" s="914">
        <f t="shared" ref="C94:G94" si="26">IF(ISERROR((C90-$B90)/$B90), 0, (C90-$B90)/$B90)</f>
        <v>0</v>
      </c>
      <c r="D94" s="914">
        <f t="shared" si="26"/>
        <v>0</v>
      </c>
      <c r="E94" s="914">
        <f t="shared" si="26"/>
        <v>0</v>
      </c>
      <c r="F94" s="914">
        <f t="shared" si="26"/>
        <v>0</v>
      </c>
      <c r="G94" s="914">
        <f t="shared" si="26"/>
        <v>0</v>
      </c>
    </row>
    <row r="95" spans="1:7" x14ac:dyDescent="0.2">
      <c r="A95" s="252"/>
    </row>
    <row r="96" spans="1:7" x14ac:dyDescent="0.2">
      <c r="A96" s="906" t="s">
        <v>1594</v>
      </c>
      <c r="B96" s="907"/>
      <c r="C96" s="907"/>
      <c r="D96" s="907"/>
      <c r="E96" s="907"/>
      <c r="F96" s="907"/>
      <c r="G96" s="907"/>
    </row>
    <row r="97" spans="1:7" x14ac:dyDescent="0.2">
      <c r="A97" s="908" t="s">
        <v>1592</v>
      </c>
      <c r="B97" s="909"/>
      <c r="C97" s="909"/>
      <c r="D97" s="909"/>
      <c r="E97" s="909"/>
      <c r="F97" s="909"/>
      <c r="G97" s="909"/>
    </row>
    <row r="98" spans="1:7" x14ac:dyDescent="0.2">
      <c r="A98" s="910" t="s">
        <v>110</v>
      </c>
      <c r="B98" s="909"/>
      <c r="C98" s="909"/>
      <c r="D98" s="909"/>
      <c r="E98" s="909"/>
      <c r="F98" s="909"/>
      <c r="G98" s="909"/>
    </row>
    <row r="99" spans="1:7" x14ac:dyDescent="0.2">
      <c r="A99" s="910" t="s">
        <v>111</v>
      </c>
      <c r="B99" s="909"/>
      <c r="C99" s="909"/>
      <c r="D99" s="909"/>
      <c r="E99" s="909"/>
      <c r="F99" s="909"/>
      <c r="G99" s="909"/>
    </row>
    <row r="100" spans="1:7" x14ac:dyDescent="0.2">
      <c r="A100" s="911" t="s">
        <v>1642</v>
      </c>
      <c r="B100" s="912"/>
      <c r="C100" s="912"/>
      <c r="D100" s="912"/>
      <c r="E100" s="912"/>
      <c r="F100" s="912"/>
      <c r="G100" s="912"/>
    </row>
    <row r="101" spans="1:7" x14ac:dyDescent="0.2">
      <c r="A101" s="910" t="str">
        <f>A97</f>
        <v># of Customers</v>
      </c>
      <c r="B101" s="913"/>
      <c r="C101" s="914">
        <f>IF(ISERROR((C97-$B97)/$B97), 0, (C97-$B97)/$B97)</f>
        <v>0</v>
      </c>
      <c r="D101" s="914">
        <f t="shared" ref="D101:G101" si="27">IF(ISERROR((D97-$B97)/$B97), 0, (D97-$B97)/$B97)</f>
        <v>0</v>
      </c>
      <c r="E101" s="914">
        <f t="shared" si="27"/>
        <v>0</v>
      </c>
      <c r="F101" s="914">
        <f t="shared" si="27"/>
        <v>0</v>
      </c>
      <c r="G101" s="914">
        <f t="shared" si="27"/>
        <v>0</v>
      </c>
    </row>
    <row r="102" spans="1:7" x14ac:dyDescent="0.2">
      <c r="A102" s="910" t="s">
        <v>110</v>
      </c>
      <c r="B102" s="913"/>
      <c r="C102" s="914">
        <f t="shared" ref="C102:G102" si="28">IF(ISERROR((C98-$B98)/$B98), 0, (C98-$B98)/$B98)</f>
        <v>0</v>
      </c>
      <c r="D102" s="914">
        <f t="shared" si="28"/>
        <v>0</v>
      </c>
      <c r="E102" s="914">
        <f t="shared" si="28"/>
        <v>0</v>
      </c>
      <c r="F102" s="914">
        <f t="shared" si="28"/>
        <v>0</v>
      </c>
      <c r="G102" s="914">
        <f t="shared" si="28"/>
        <v>0</v>
      </c>
    </row>
    <row r="103" spans="1:7" x14ac:dyDescent="0.2">
      <c r="A103" s="910" t="s">
        <v>111</v>
      </c>
      <c r="B103" s="913"/>
      <c r="C103" s="914">
        <f t="shared" ref="C103:G103" si="29">IF(ISERROR((C99-$B99)/$B99), 0, (C99-$B99)/$B99)</f>
        <v>0</v>
      </c>
      <c r="D103" s="914">
        <f t="shared" si="29"/>
        <v>0</v>
      </c>
      <c r="E103" s="914">
        <f t="shared" si="29"/>
        <v>0</v>
      </c>
      <c r="F103" s="914">
        <f t="shared" si="29"/>
        <v>0</v>
      </c>
      <c r="G103" s="914">
        <f t="shared" si="29"/>
        <v>0</v>
      </c>
    </row>
    <row r="104" spans="1:7" x14ac:dyDescent="0.2">
      <c r="A104" s="252"/>
    </row>
    <row r="106" spans="1:7" ht="18" x14ac:dyDescent="0.25">
      <c r="A106" s="578" t="s">
        <v>1595</v>
      </c>
    </row>
    <row r="107" spans="1:7" x14ac:dyDescent="0.2">
      <c r="A107" s="910" t="s">
        <v>1596</v>
      </c>
      <c r="B107" s="915">
        <f>SUM(B16,B25,B34,B43,B52,B61,B70,B79,B88,B97)</f>
        <v>33833.93201095589</v>
      </c>
      <c r="C107" s="915">
        <f t="shared" ref="C107:G107" si="30">SUM(C16,C25,C34,C43,C52,C61,C70,C79,C88,C97)</f>
        <v>35772</v>
      </c>
      <c r="D107" s="915">
        <f t="shared" si="30"/>
        <v>37567</v>
      </c>
      <c r="E107" s="915">
        <f t="shared" si="30"/>
        <v>38648</v>
      </c>
      <c r="F107" s="915">
        <f t="shared" si="30"/>
        <v>39473.176556983672</v>
      </c>
      <c r="G107" s="915">
        <f t="shared" si="30"/>
        <v>41114.891039799622</v>
      </c>
    </row>
    <row r="108" spans="1:7" x14ac:dyDescent="0.2">
      <c r="A108" s="910" t="s">
        <v>110</v>
      </c>
      <c r="B108" s="915">
        <f t="shared" ref="B108:G109" si="31">SUM(B17,B26,B35,B44,B53,B62,B71,B80,B89,B98)</f>
        <v>730934798.87518024</v>
      </c>
      <c r="C108" s="915">
        <f t="shared" si="31"/>
        <v>783449113.69999993</v>
      </c>
      <c r="D108" s="915">
        <f t="shared" si="31"/>
        <v>814644301.5</v>
      </c>
      <c r="E108" s="915">
        <f t="shared" si="31"/>
        <v>835613602.5</v>
      </c>
      <c r="F108" s="915">
        <f t="shared" si="31"/>
        <v>855893834.24713564</v>
      </c>
      <c r="G108" s="915">
        <f t="shared" si="31"/>
        <v>871840466.18652356</v>
      </c>
    </row>
    <row r="109" spans="1:7" x14ac:dyDescent="0.2">
      <c r="A109" s="910" t="s">
        <v>1597</v>
      </c>
      <c r="B109" s="915">
        <f t="shared" si="31"/>
        <v>949126.19991004304</v>
      </c>
      <c r="C109" s="915">
        <f t="shared" si="31"/>
        <v>1007362.0116666667</v>
      </c>
      <c r="D109" s="915">
        <f t="shared" si="31"/>
        <v>1041359.1837222221</v>
      </c>
      <c r="E109" s="915">
        <f t="shared" si="31"/>
        <v>1053712.8527777777</v>
      </c>
      <c r="F109" s="915">
        <f t="shared" si="31"/>
        <v>1064767.8964888747</v>
      </c>
      <c r="G109" s="915">
        <f t="shared" si="31"/>
        <v>1085316.3068311873</v>
      </c>
    </row>
    <row r="111" spans="1:7" ht="18" x14ac:dyDescent="0.25">
      <c r="A111" s="578" t="s">
        <v>1643</v>
      </c>
    </row>
    <row r="112" spans="1:7" x14ac:dyDescent="0.2">
      <c r="A112" s="910" t="s">
        <v>1596</v>
      </c>
      <c r="B112" s="913"/>
      <c r="C112" s="914">
        <f t="shared" ref="C112:G114" si="32">IF(ISERROR((C107-$B107)/$B107), 0, (C107-$B107)/$B107)</f>
        <v>5.7281784110003439E-2</v>
      </c>
      <c r="D112" s="914">
        <f t="shared" si="32"/>
        <v>0.11033503252992562</v>
      </c>
      <c r="E112" s="914">
        <f t="shared" si="32"/>
        <v>0.14228520609089268</v>
      </c>
      <c r="F112" s="914">
        <f t="shared" si="32"/>
        <v>0.16667422941565635</v>
      </c>
      <c r="G112" s="914">
        <f t="shared" si="32"/>
        <v>0.21519695158357763</v>
      </c>
    </row>
    <row r="113" spans="1:7" x14ac:dyDescent="0.2">
      <c r="A113" s="910" t="s">
        <v>110</v>
      </c>
      <c r="B113" s="913"/>
      <c r="C113" s="914">
        <f t="shared" si="32"/>
        <v>7.1845416178888774E-2</v>
      </c>
      <c r="D113" s="914">
        <f t="shared" si="32"/>
        <v>0.11452389837457254</v>
      </c>
      <c r="E113" s="914">
        <f t="shared" si="32"/>
        <v>0.1432122314957609</v>
      </c>
      <c r="F113" s="914">
        <f t="shared" si="32"/>
        <v>0.17095784133448311</v>
      </c>
      <c r="G113" s="914">
        <f t="shared" si="32"/>
        <v>0.19277460524273848</v>
      </c>
    </row>
    <row r="114" spans="1:7" x14ac:dyDescent="0.2">
      <c r="A114" s="910" t="s">
        <v>1597</v>
      </c>
      <c r="B114" s="913"/>
      <c r="C114" s="914">
        <f t="shared" si="32"/>
        <v>6.1357290276196352E-2</v>
      </c>
      <c r="D114" s="914">
        <f t="shared" si="32"/>
        <v>9.7176733527028117E-2</v>
      </c>
      <c r="E114" s="914">
        <f t="shared" si="32"/>
        <v>0.11019256751910046</v>
      </c>
      <c r="F114" s="914">
        <f t="shared" si="32"/>
        <v>0.12184016897836349</v>
      </c>
      <c r="G114" s="914">
        <f t="shared" si="32"/>
        <v>0.1434899878794329</v>
      </c>
    </row>
  </sheetData>
  <mergeCells count="2">
    <mergeCell ref="A9:G9"/>
    <mergeCell ref="A10:G10"/>
  </mergeCells>
  <dataValidations count="1">
    <dataValidation type="list" allowBlank="1" showInputMessage="1" showErrorMessage="1" promptTitle="Customers/connections" prompt="Select &quot;# of Customers&quot; or &quot;# of Connections&quot; from drop-down list." sqref="A61 A70 A16 A43 A88 A25 A34 A52 A79 A97">
      <formula1>"# of Customers, # of Connections"</formula1>
    </dataValidation>
  </dataValidations>
  <pageMargins left="0.70866141732283472" right="0.70866141732283472" top="0.74803149606299213" bottom="0.74803149606299213" header="0.31496062992125984" footer="0.31496062992125984"/>
  <pageSetup scale="43" orientation="portrait" r:id="rId1"/>
  <rowBreaks count="1" manualBreakCount="1">
    <brk id="68"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P134"/>
  <sheetViews>
    <sheetView showGridLines="0" zoomScale="90" zoomScaleNormal="90" workbookViewId="0"/>
  </sheetViews>
  <sheetFormatPr defaultRowHeight="12.75" x14ac:dyDescent="0.2"/>
  <cols>
    <col min="1" max="1" width="29" style="61" customWidth="1"/>
    <col min="2" max="2" width="17.28515625" style="61" customWidth="1"/>
    <col min="3" max="4" width="15" style="61" customWidth="1"/>
    <col min="5" max="5" width="13.28515625" style="61" bestFit="1" customWidth="1"/>
    <col min="6" max="6" width="12.7109375" style="61" bestFit="1" customWidth="1"/>
    <col min="7" max="8" width="12.7109375" style="61" customWidth="1"/>
    <col min="9" max="9" width="13.28515625" style="61" bestFit="1" customWidth="1"/>
    <col min="10" max="10" width="11.140625" style="61" bestFit="1" customWidth="1"/>
    <col min="11" max="11" width="13.28515625" style="61" bestFit="1" customWidth="1"/>
    <col min="12" max="13" width="12.7109375" style="61" bestFit="1" customWidth="1"/>
    <col min="14" max="14" width="12.28515625" style="61" customWidth="1"/>
    <col min="15" max="15" width="15.42578125" style="61" customWidth="1"/>
    <col min="16" max="16" width="9.42578125" style="61" bestFit="1" customWidth="1"/>
    <col min="17" max="16384" width="9.140625" style="61"/>
  </cols>
  <sheetData>
    <row r="1" spans="1:14" x14ac:dyDescent="0.2">
      <c r="M1" s="715" t="s">
        <v>394</v>
      </c>
      <c r="N1" s="253" t="str">
        <f>EBNUMBER</f>
        <v>EB-2015-0089</v>
      </c>
    </row>
    <row r="2" spans="1:14" x14ac:dyDescent="0.2">
      <c r="M2" s="715" t="s">
        <v>395</v>
      </c>
      <c r="N2" s="254">
        <v>4</v>
      </c>
    </row>
    <row r="3" spans="1:14" x14ac:dyDescent="0.2">
      <c r="M3" s="715" t="s">
        <v>396</v>
      </c>
      <c r="N3" s="254" t="s">
        <v>2458</v>
      </c>
    </row>
    <row r="4" spans="1:14" x14ac:dyDescent="0.2">
      <c r="M4" s="715" t="s">
        <v>397</v>
      </c>
      <c r="N4" s="254" t="s">
        <v>2409</v>
      </c>
    </row>
    <row r="5" spans="1:14" x14ac:dyDescent="0.2">
      <c r="M5" s="715" t="s">
        <v>398</v>
      </c>
      <c r="N5" s="255">
        <v>13</v>
      </c>
    </row>
    <row r="6" spans="1:14" x14ac:dyDescent="0.2">
      <c r="M6" s="715"/>
      <c r="N6" s="253"/>
    </row>
    <row r="7" spans="1:14" x14ac:dyDescent="0.2">
      <c r="M7" s="715" t="s">
        <v>399</v>
      </c>
      <c r="N7" s="1836" t="s">
        <v>2459</v>
      </c>
    </row>
    <row r="9" spans="1:14" ht="18" x14ac:dyDescent="0.2">
      <c r="A9" s="1941" t="s">
        <v>1508</v>
      </c>
      <c r="B9" s="1941"/>
      <c r="C9" s="1941"/>
      <c r="D9" s="1941"/>
      <c r="E9" s="1941"/>
      <c r="F9" s="1941"/>
      <c r="G9" s="1941"/>
      <c r="H9" s="1941"/>
      <c r="I9" s="1941"/>
    </row>
    <row r="10" spans="1:14" ht="18" x14ac:dyDescent="0.2">
      <c r="A10" s="1941" t="s">
        <v>120</v>
      </c>
      <c r="B10" s="1941"/>
      <c r="C10" s="1941"/>
      <c r="D10" s="1941"/>
      <c r="E10" s="1941"/>
      <c r="F10" s="1941"/>
      <c r="G10" s="1941"/>
      <c r="H10" s="1941"/>
      <c r="I10" s="1941"/>
    </row>
    <row r="11" spans="1:14" ht="18" x14ac:dyDescent="0.2">
      <c r="A11" s="2234" t="s">
        <v>2432</v>
      </c>
      <c r="B11" s="2234"/>
      <c r="C11" s="2234"/>
      <c r="D11" s="2234"/>
      <c r="E11" s="2234"/>
      <c r="F11" s="2234"/>
      <c r="G11" s="2234"/>
      <c r="H11" s="2234"/>
      <c r="I11" s="2234"/>
    </row>
    <row r="12" spans="1:14" ht="13.5" thickBot="1" x14ac:dyDescent="0.25">
      <c r="J12" s="302"/>
      <c r="K12" s="302"/>
    </row>
    <row r="13" spans="1:14" ht="39" thickBot="1" x14ac:dyDescent="0.25">
      <c r="A13" s="916"/>
      <c r="B13" s="917" t="str">
        <f>"Last Rebasing Year (" &amp; RebaseYear &amp; " Board-Approved)"</f>
        <v>Last Rebasing Year (2011 Board-Approved)</v>
      </c>
      <c r="C13" s="917" t="str">
        <f>"Last Rebasing Year (" &amp; RebaseYear &amp; " Actuals)"</f>
        <v>Last Rebasing Year (2011 Actuals)</v>
      </c>
      <c r="D13" s="917" t="str">
        <f>BridgeYear -3 &amp; " Actuals"</f>
        <v>2012 Actuals</v>
      </c>
      <c r="E13" s="1847" t="str">
        <f>BridgeYear -2 &amp; " Actuals"</f>
        <v>2013 Actuals</v>
      </c>
      <c r="F13" s="917" t="str">
        <f>BridgeYear -2 &amp; " Actuals"</f>
        <v>2013 Actuals</v>
      </c>
      <c r="G13" s="917" t="str">
        <f>BridgeYear -1 &amp; " Actuals"</f>
        <v>2014 Actuals</v>
      </c>
      <c r="H13" s="917" t="str">
        <f>BridgeYear &amp; " Bridge Year"</f>
        <v>2015 Bridge Year</v>
      </c>
      <c r="I13" s="918" t="str">
        <f>TestYear &amp; " Test Year"</f>
        <v>2016 Test Year</v>
      </c>
      <c r="J13" s="2235"/>
      <c r="K13" s="2235"/>
      <c r="L13" s="919"/>
      <c r="M13" s="919"/>
    </row>
    <row r="14" spans="1:14" ht="13.5" thickBot="1" x14ac:dyDescent="0.25">
      <c r="A14" s="920" t="s">
        <v>150</v>
      </c>
      <c r="B14" s="921" t="s">
        <v>151</v>
      </c>
      <c r="C14" s="921" t="s">
        <v>151</v>
      </c>
      <c r="D14" s="921" t="s">
        <v>151</v>
      </c>
      <c r="E14" s="1848" t="s">
        <v>151</v>
      </c>
      <c r="F14" s="921" t="s">
        <v>152</v>
      </c>
      <c r="G14" s="921" t="s">
        <v>152</v>
      </c>
      <c r="H14" s="921" t="s">
        <v>152</v>
      </c>
      <c r="I14" s="922" t="s">
        <v>152</v>
      </c>
      <c r="J14" s="1835"/>
    </row>
    <row r="15" spans="1:14" x14ac:dyDescent="0.2">
      <c r="A15" s="923" t="s">
        <v>161</v>
      </c>
      <c r="B15" s="1849">
        <v>876809</v>
      </c>
      <c r="C15" s="1849">
        <f>75761.47+248976.32+129048.84+259852.54+80782.71</f>
        <v>794421.88</v>
      </c>
      <c r="D15" s="1849">
        <v>972346</v>
      </c>
      <c r="E15" s="1849">
        <f>+'[16]2-JA OMA Expenses'!$E$15</f>
        <v>1216881</v>
      </c>
      <c r="F15" s="1849">
        <f>72545+270236+384523+194746+104029+555904+271464</f>
        <v>1853447</v>
      </c>
      <c r="G15" s="1850">
        <v>2040211</v>
      </c>
      <c r="H15" s="1850">
        <v>2351977</v>
      </c>
      <c r="I15" s="1851">
        <v>2477284</v>
      </c>
      <c r="J15" s="924"/>
    </row>
    <row r="16" spans="1:14" x14ac:dyDescent="0.2">
      <c r="A16" s="925" t="s">
        <v>162</v>
      </c>
      <c r="B16" s="1852">
        <v>1019951</v>
      </c>
      <c r="C16" s="1852">
        <f>80782.69+131258.4+13336.18+197589.88+5163.41+417801.54+114087.72+300807.14</f>
        <v>1260826.96</v>
      </c>
      <c r="D16" s="1852">
        <v>1237774</v>
      </c>
      <c r="E16" s="1852">
        <f>+'[16]2-JA OMA Expenses'!$E$16</f>
        <v>1060956</v>
      </c>
      <c r="F16" s="1852">
        <f>96177+194004+2133+782488+5590+315038+22071+202594+77426+1</f>
        <v>1697522</v>
      </c>
      <c r="G16" s="1853">
        <v>961416</v>
      </c>
      <c r="H16" s="1853">
        <v>1321905</v>
      </c>
      <c r="I16" s="1854">
        <f>1335127-200000</f>
        <v>1135127</v>
      </c>
      <c r="J16" s="924"/>
    </row>
    <row r="17" spans="1:13" x14ac:dyDescent="0.2">
      <c r="A17" s="926" t="s">
        <v>534</v>
      </c>
      <c r="B17" s="1855">
        <f>SUM(B15:B16)</f>
        <v>1896760</v>
      </c>
      <c r="C17" s="1855">
        <f t="shared" ref="C17:I17" si="0">SUM(C15:C16)</f>
        <v>2055248.8399999999</v>
      </c>
      <c r="D17" s="1855">
        <f t="shared" si="0"/>
        <v>2210120</v>
      </c>
      <c r="E17" s="1856">
        <f t="shared" si="0"/>
        <v>2277837</v>
      </c>
      <c r="F17" s="1855">
        <f t="shared" si="0"/>
        <v>3550969</v>
      </c>
      <c r="G17" s="1855">
        <f t="shared" si="0"/>
        <v>3001627</v>
      </c>
      <c r="H17" s="1855">
        <f t="shared" si="0"/>
        <v>3673882</v>
      </c>
      <c r="I17" s="1857">
        <f t="shared" si="0"/>
        <v>3612411</v>
      </c>
      <c r="J17" s="1858"/>
    </row>
    <row r="18" spans="1:13" x14ac:dyDescent="0.2">
      <c r="A18" s="925" t="s">
        <v>535</v>
      </c>
      <c r="B18" s="1859"/>
      <c r="C18" s="1859"/>
      <c r="D18" s="1860">
        <f>IF(ISERROR((D17-B17)/B17), "", (D17-B17)/B17)</f>
        <v>0.16520803897172021</v>
      </c>
      <c r="E18" s="1861">
        <f>IF(ISERROR((E17-D17)/D17), "", (E17-D17)/D17)</f>
        <v>3.0639512786636021E-2</v>
      </c>
      <c r="F18" s="1860">
        <f>IF(ISERROR((F17-D17)/D17), "", (F17-D17)/D17)</f>
        <v>0.60668606229526001</v>
      </c>
      <c r="G18" s="1860">
        <f t="shared" ref="G18:H18" si="1">IF(ISERROR((G17-F17)/F17), "", (G17-F17)/F17)</f>
        <v>-0.15470199824329642</v>
      </c>
      <c r="H18" s="1860">
        <f t="shared" si="1"/>
        <v>0.22396353710837488</v>
      </c>
      <c r="I18" s="1862">
        <f>IF(ISERROR((I17-H17)/H17), "", (I17-H17)/H17)</f>
        <v>-1.6731892858834335E-2</v>
      </c>
      <c r="J18" s="1863"/>
    </row>
    <row r="19" spans="1:13" ht="24" x14ac:dyDescent="0.2">
      <c r="A19" s="925" t="s">
        <v>536</v>
      </c>
      <c r="B19" s="1864"/>
      <c r="C19" s="1865"/>
      <c r="D19" s="1865"/>
      <c r="E19" s="1866"/>
      <c r="F19" s="1865"/>
      <c r="G19" s="1865"/>
      <c r="H19" s="1867"/>
      <c r="I19" s="1862">
        <f>IF(ISERROR((I17-C17)/C17), "", (I17-C17)/C17)</f>
        <v>0.75765139952590865</v>
      </c>
      <c r="J19" s="1863"/>
    </row>
    <row r="20" spans="1:13" x14ac:dyDescent="0.2">
      <c r="A20" s="925" t="s">
        <v>147</v>
      </c>
      <c r="B20" s="1852">
        <v>1818688</v>
      </c>
      <c r="C20" s="1852">
        <f>1028765+631527</f>
        <v>1660292</v>
      </c>
      <c r="D20" s="1852">
        <v>1805605</v>
      </c>
      <c r="E20" s="1852">
        <v>1912502</v>
      </c>
      <c r="F20" s="1852">
        <v>1912502</v>
      </c>
      <c r="G20" s="1853">
        <v>2071190.75</v>
      </c>
      <c r="H20" s="1853">
        <v>2288854</v>
      </c>
      <c r="I20" s="1854">
        <f>2329699-100000</f>
        <v>2229699</v>
      </c>
      <c r="J20" s="924"/>
    </row>
    <row r="21" spans="1:13" x14ac:dyDescent="0.2">
      <c r="A21" s="925" t="s">
        <v>163</v>
      </c>
      <c r="B21" s="1852">
        <v>10679</v>
      </c>
      <c r="C21" s="1852">
        <v>5020</v>
      </c>
      <c r="D21" s="1852">
        <v>3260</v>
      </c>
      <c r="E21" s="1852">
        <v>11752</v>
      </c>
      <c r="F21" s="1852">
        <v>11752</v>
      </c>
      <c r="G21" s="1853">
        <v>19679.190000000002</v>
      </c>
      <c r="H21" s="1853">
        <v>19755</v>
      </c>
      <c r="I21" s="1854">
        <v>20070.500000000004</v>
      </c>
      <c r="J21" s="924"/>
    </row>
    <row r="22" spans="1:13" x14ac:dyDescent="0.2">
      <c r="A22" s="925" t="s">
        <v>215</v>
      </c>
      <c r="B22" s="1852">
        <v>2573873</v>
      </c>
      <c r="C22" s="1852">
        <f>2424637+78123+173444-2</f>
        <v>2676202</v>
      </c>
      <c r="D22" s="1852">
        <v>2743007</v>
      </c>
      <c r="E22" s="1852">
        <v>2960750</v>
      </c>
      <c r="F22" s="1852">
        <f>2686271+126663+147816</f>
        <v>2960750</v>
      </c>
      <c r="G22" s="1853">
        <v>3451400</v>
      </c>
      <c r="H22" s="1853">
        <v>4046395</v>
      </c>
      <c r="I22" s="1854">
        <f>3960267-250000</f>
        <v>3710267</v>
      </c>
      <c r="J22" s="924"/>
    </row>
    <row r="23" spans="1:13" x14ac:dyDescent="0.2">
      <c r="A23" s="926" t="s">
        <v>534</v>
      </c>
      <c r="B23" s="1855">
        <f>SUM(B20:B22)</f>
        <v>4403240</v>
      </c>
      <c r="C23" s="1855">
        <f t="shared" ref="C23:I23" si="2">SUM(C20:C22)</f>
        <v>4341514</v>
      </c>
      <c r="D23" s="1855">
        <f t="shared" si="2"/>
        <v>4551872</v>
      </c>
      <c r="E23" s="1856">
        <f t="shared" si="2"/>
        <v>4885004</v>
      </c>
      <c r="F23" s="1855">
        <f t="shared" si="2"/>
        <v>4885004</v>
      </c>
      <c r="G23" s="1855">
        <f t="shared" si="2"/>
        <v>5542269.9399999995</v>
      </c>
      <c r="H23" s="1855">
        <f t="shared" si="2"/>
        <v>6355004</v>
      </c>
      <c r="I23" s="1857">
        <f t="shared" si="2"/>
        <v>5960036.5</v>
      </c>
      <c r="J23" s="1858"/>
      <c r="K23" s="1858"/>
      <c r="L23" s="1868"/>
      <c r="M23" s="919"/>
    </row>
    <row r="24" spans="1:13" x14ac:dyDescent="0.2">
      <c r="A24" s="925" t="s">
        <v>535</v>
      </c>
      <c r="B24" s="1859"/>
      <c r="C24" s="1859"/>
      <c r="D24" s="1860">
        <f>IF(ISERROR((D23-B23)/B23), "", (D23-B23)/B23)</f>
        <v>3.3755143939462759E-2</v>
      </c>
      <c r="E24" s="1861">
        <f>IF(ISERROR((E23-D23)/D23), "", (E23-D23)/D23)</f>
        <v>7.3185713482277176E-2</v>
      </c>
      <c r="F24" s="1860">
        <f>IF(ISERROR((F23-D23)/D23), "", (F23-D23)/D23)</f>
        <v>7.3185713482277176E-2</v>
      </c>
      <c r="G24" s="1860">
        <f t="shared" ref="G24:I24" si="3">IF(ISERROR((G23-F23)/F23), "", (G23-F23)/F23)</f>
        <v>0.13454767693127773</v>
      </c>
      <c r="H24" s="1860">
        <f t="shared" si="3"/>
        <v>0.14664281400916401</v>
      </c>
      <c r="I24" s="1862">
        <f t="shared" si="3"/>
        <v>-6.2150629645551757E-2</v>
      </c>
      <c r="J24" s="1863"/>
      <c r="K24" s="1863"/>
      <c r="L24" s="1868"/>
      <c r="M24" s="919"/>
    </row>
    <row r="25" spans="1:13" ht="24" x14ac:dyDescent="0.2">
      <c r="A25" s="925" t="s">
        <v>536</v>
      </c>
      <c r="B25" s="1864"/>
      <c r="C25" s="1865"/>
      <c r="D25" s="1865"/>
      <c r="E25" s="1866"/>
      <c r="F25" s="1865"/>
      <c r="G25" s="1865"/>
      <c r="H25" s="1867"/>
      <c r="I25" s="1862">
        <f>IF(ISERROR((I23-C23)/C23), "", (I23-C23)/C23)</f>
        <v>0.37280140061738831</v>
      </c>
      <c r="J25" s="1863"/>
      <c r="K25" s="1863"/>
      <c r="L25" s="919"/>
      <c r="M25" s="919"/>
    </row>
    <row r="26" spans="1:13" x14ac:dyDescent="0.2">
      <c r="A26" s="926" t="s">
        <v>388</v>
      </c>
      <c r="B26" s="1855">
        <f>SUM(B23,B17)</f>
        <v>6300000</v>
      </c>
      <c r="C26" s="1855">
        <f t="shared" ref="C26:I26" si="4">SUM(C23,C17)</f>
        <v>6396762.8399999999</v>
      </c>
      <c r="D26" s="1855">
        <f t="shared" si="4"/>
        <v>6761992</v>
      </c>
      <c r="E26" s="1856">
        <f t="shared" si="4"/>
        <v>7162841</v>
      </c>
      <c r="F26" s="1855">
        <f t="shared" si="4"/>
        <v>8435973</v>
      </c>
      <c r="G26" s="1855">
        <f t="shared" si="4"/>
        <v>8543896.9399999995</v>
      </c>
      <c r="H26" s="1855">
        <f t="shared" si="4"/>
        <v>10028886</v>
      </c>
      <c r="I26" s="1857">
        <f t="shared" si="4"/>
        <v>9572447.5</v>
      </c>
      <c r="J26" s="1858"/>
      <c r="K26" s="1858"/>
      <c r="L26" s="919"/>
      <c r="M26" s="919"/>
    </row>
    <row r="27" spans="1:13" ht="13.5" thickBot="1" x14ac:dyDescent="0.25">
      <c r="A27" s="927" t="s">
        <v>535</v>
      </c>
      <c r="B27" s="1869"/>
      <c r="C27" s="1870"/>
      <c r="D27" s="1871">
        <f>IF(ISERROR((D26-B26)/B26), "", (D26-B26)/B26)</f>
        <v>7.333206349206349E-2</v>
      </c>
      <c r="E27" s="1872"/>
      <c r="F27" s="1871">
        <f>IF(ISERROR((F26-C26)/C26), "", (F26-C26)/C26)</f>
        <v>0.31878783237804081</v>
      </c>
      <c r="G27" s="1871">
        <f t="shared" ref="G27:I27" si="5">IF(ISERROR((G26-F26)/F26), "", (G26-F26)/F26)</f>
        <v>1.2793300784627865E-2</v>
      </c>
      <c r="H27" s="1871">
        <f t="shared" si="5"/>
        <v>0.17380699585077164</v>
      </c>
      <c r="I27" s="1873">
        <f t="shared" si="5"/>
        <v>-4.5512382930666478E-2</v>
      </c>
      <c r="J27" s="1863"/>
      <c r="K27" s="1863"/>
      <c r="L27" s="919"/>
      <c r="M27" s="919"/>
    </row>
    <row r="28" spans="1:13" x14ac:dyDescent="0.2">
      <c r="A28" s="194"/>
      <c r="B28" s="1874"/>
      <c r="C28" s="1874"/>
      <c r="D28" s="1874"/>
      <c r="E28" s="1875"/>
      <c r="F28" s="1876"/>
      <c r="G28" s="1876"/>
      <c r="H28" s="1876"/>
      <c r="I28" s="1874"/>
      <c r="J28" s="928"/>
      <c r="K28" s="928"/>
      <c r="L28" s="919"/>
      <c r="M28" s="919"/>
    </row>
    <row r="29" spans="1:13" ht="13.5" thickBot="1" x14ac:dyDescent="0.25">
      <c r="A29" s="194"/>
      <c r="B29" s="194"/>
      <c r="C29" s="194"/>
      <c r="D29" s="194"/>
      <c r="E29" s="1877"/>
      <c r="F29" s="194"/>
      <c r="G29" s="194"/>
      <c r="H29" s="194"/>
      <c r="I29" s="194"/>
      <c r="J29" s="919"/>
      <c r="K29" s="919"/>
      <c r="L29" s="919"/>
      <c r="M29" s="919"/>
    </row>
    <row r="30" spans="1:13" ht="36" x14ac:dyDescent="0.2">
      <c r="A30" s="929"/>
      <c r="B30" s="930" t="str">
        <f>B13</f>
        <v>Last Rebasing Year (2011 Board-Approved)</v>
      </c>
      <c r="C30" s="930" t="str">
        <f t="shared" ref="C30:I30" si="6">C13</f>
        <v>Last Rebasing Year (2011 Actuals)</v>
      </c>
      <c r="D30" s="930" t="str">
        <f t="shared" si="6"/>
        <v>2012 Actuals</v>
      </c>
      <c r="E30" s="1878" t="s">
        <v>2433</v>
      </c>
      <c r="F30" s="930" t="str">
        <f t="shared" si="6"/>
        <v>2013 Actuals</v>
      </c>
      <c r="G30" s="930" t="str">
        <f t="shared" si="6"/>
        <v>2014 Actuals</v>
      </c>
      <c r="H30" s="930" t="str">
        <f t="shared" si="6"/>
        <v>2015 Bridge Year</v>
      </c>
      <c r="I30" s="931" t="str">
        <f t="shared" si="6"/>
        <v>2016 Test Year</v>
      </c>
      <c r="J30" s="919"/>
      <c r="K30" s="919"/>
      <c r="L30" s="919"/>
      <c r="M30" s="919"/>
    </row>
    <row r="31" spans="1:13" x14ac:dyDescent="0.2">
      <c r="A31" s="925" t="s">
        <v>161</v>
      </c>
      <c r="B31" s="1879">
        <f>B15</f>
        <v>876809</v>
      </c>
      <c r="C31" s="1879">
        <f t="shared" ref="C31:I32" si="7">C15</f>
        <v>794421.88</v>
      </c>
      <c r="D31" s="1879">
        <f t="shared" si="7"/>
        <v>972346</v>
      </c>
      <c r="E31" s="1880">
        <f t="shared" si="7"/>
        <v>1216881</v>
      </c>
      <c r="F31" s="1879">
        <f t="shared" si="7"/>
        <v>1853447</v>
      </c>
      <c r="G31" s="1879">
        <f t="shared" si="7"/>
        <v>2040211</v>
      </c>
      <c r="H31" s="1879">
        <f t="shared" si="7"/>
        <v>2351977</v>
      </c>
      <c r="I31" s="1881">
        <f t="shared" si="7"/>
        <v>2477284</v>
      </c>
      <c r="J31" s="919"/>
      <c r="K31" s="919"/>
      <c r="L31" s="919"/>
      <c r="M31" s="919"/>
    </row>
    <row r="32" spans="1:13" x14ac:dyDescent="0.2">
      <c r="A32" s="925" t="s">
        <v>162</v>
      </c>
      <c r="B32" s="1879">
        <f>B16</f>
        <v>1019951</v>
      </c>
      <c r="C32" s="1879">
        <f t="shared" si="7"/>
        <v>1260826.96</v>
      </c>
      <c r="D32" s="1879">
        <f t="shared" si="7"/>
        <v>1237774</v>
      </c>
      <c r="E32" s="1880">
        <f t="shared" si="7"/>
        <v>1060956</v>
      </c>
      <c r="F32" s="1879">
        <f t="shared" si="7"/>
        <v>1697522</v>
      </c>
      <c r="G32" s="1879">
        <f t="shared" si="7"/>
        <v>961416</v>
      </c>
      <c r="H32" s="1879">
        <f t="shared" si="7"/>
        <v>1321905</v>
      </c>
      <c r="I32" s="1881">
        <f t="shared" si="7"/>
        <v>1135127</v>
      </c>
      <c r="J32" s="919"/>
      <c r="K32" s="919"/>
      <c r="L32" s="919"/>
      <c r="M32" s="919"/>
    </row>
    <row r="33" spans="1:16" x14ac:dyDescent="0.2">
      <c r="A33" s="925" t="s">
        <v>147</v>
      </c>
      <c r="B33" s="1879">
        <f>B20</f>
        <v>1818688</v>
      </c>
      <c r="C33" s="1879">
        <f t="shared" ref="C33:I35" si="8">C20</f>
        <v>1660292</v>
      </c>
      <c r="D33" s="1879">
        <f t="shared" si="8"/>
        <v>1805605</v>
      </c>
      <c r="E33" s="1880">
        <f t="shared" si="8"/>
        <v>1912502</v>
      </c>
      <c r="F33" s="1879">
        <f t="shared" si="8"/>
        <v>1912502</v>
      </c>
      <c r="G33" s="1879">
        <f t="shared" si="8"/>
        <v>2071190.75</v>
      </c>
      <c r="H33" s="1879">
        <f t="shared" si="8"/>
        <v>2288854</v>
      </c>
      <c r="I33" s="1881">
        <f t="shared" si="8"/>
        <v>2229699</v>
      </c>
      <c r="J33" s="919"/>
      <c r="K33" s="919"/>
      <c r="L33" s="919"/>
      <c r="M33" s="919"/>
    </row>
    <row r="34" spans="1:16" x14ac:dyDescent="0.2">
      <c r="A34" s="925" t="s">
        <v>163</v>
      </c>
      <c r="B34" s="1879">
        <f>B21</f>
        <v>10679</v>
      </c>
      <c r="C34" s="1879">
        <f t="shared" si="8"/>
        <v>5020</v>
      </c>
      <c r="D34" s="1879">
        <f t="shared" si="8"/>
        <v>3260</v>
      </c>
      <c r="E34" s="1880">
        <f t="shared" si="8"/>
        <v>11752</v>
      </c>
      <c r="F34" s="1879">
        <f t="shared" si="8"/>
        <v>11752</v>
      </c>
      <c r="G34" s="1879">
        <f t="shared" si="8"/>
        <v>19679.190000000002</v>
      </c>
      <c r="H34" s="1879">
        <f t="shared" si="8"/>
        <v>19755</v>
      </c>
      <c r="I34" s="1881">
        <f t="shared" si="8"/>
        <v>20070.500000000004</v>
      </c>
      <c r="J34" s="919"/>
      <c r="K34" s="919"/>
      <c r="L34" s="919"/>
      <c r="M34" s="919"/>
    </row>
    <row r="35" spans="1:16" x14ac:dyDescent="0.2">
      <c r="A35" s="925" t="s">
        <v>215</v>
      </c>
      <c r="B35" s="1879">
        <f>B22</f>
        <v>2573873</v>
      </c>
      <c r="C35" s="1879">
        <f t="shared" si="8"/>
        <v>2676202</v>
      </c>
      <c r="D35" s="1879">
        <f t="shared" si="8"/>
        <v>2743007</v>
      </c>
      <c r="E35" s="1880">
        <f t="shared" si="8"/>
        <v>2960750</v>
      </c>
      <c r="F35" s="1879">
        <f t="shared" si="8"/>
        <v>2960750</v>
      </c>
      <c r="G35" s="1879">
        <f t="shared" si="8"/>
        <v>3451400</v>
      </c>
      <c r="H35" s="1879">
        <f t="shared" si="8"/>
        <v>4046395</v>
      </c>
      <c r="I35" s="1881">
        <f t="shared" si="8"/>
        <v>3710267</v>
      </c>
      <c r="J35" s="919"/>
      <c r="K35" s="919"/>
      <c r="L35" s="919"/>
      <c r="M35" s="919"/>
    </row>
    <row r="36" spans="1:16" x14ac:dyDescent="0.2">
      <c r="A36" s="926" t="s">
        <v>388</v>
      </c>
      <c r="B36" s="1855">
        <f>SUM(B31:B35)</f>
        <v>6300000</v>
      </c>
      <c r="C36" s="1855">
        <f t="shared" ref="C36:I36" si="9">SUM(C31:C35)</f>
        <v>6396762.8399999999</v>
      </c>
      <c r="D36" s="1855">
        <f t="shared" si="9"/>
        <v>6761992</v>
      </c>
      <c r="E36" s="1856">
        <f t="shared" si="9"/>
        <v>7162841</v>
      </c>
      <c r="F36" s="1855">
        <f t="shared" si="9"/>
        <v>8435973</v>
      </c>
      <c r="G36" s="1855">
        <f t="shared" si="9"/>
        <v>8543896.9400000013</v>
      </c>
      <c r="H36" s="1855">
        <f t="shared" si="9"/>
        <v>10028886</v>
      </c>
      <c r="I36" s="1857">
        <f t="shared" si="9"/>
        <v>9572447.5</v>
      </c>
      <c r="J36" s="919"/>
      <c r="K36" s="919"/>
      <c r="L36" s="919"/>
      <c r="M36" s="919"/>
    </row>
    <row r="37" spans="1:16" ht="13.5" thickBot="1" x14ac:dyDescent="0.25">
      <c r="A37" s="927" t="s">
        <v>535</v>
      </c>
      <c r="B37" s="1869"/>
      <c r="C37" s="1870"/>
      <c r="D37" s="1871">
        <f>IF(ISERROR((D36-B36)/B36), "", (D36-B36)/B36)</f>
        <v>7.333206349206349E-2</v>
      </c>
      <c r="E37" s="1872">
        <f>IF(ISERROR((E36-D36)/D36), "", (E36-D36)/D36)</f>
        <v>5.9279721123597896E-2</v>
      </c>
      <c r="F37" s="1871">
        <f>IF(ISERROR((F36-D36)/D36), "", (F36-D36)/D36)</f>
        <v>0.24755737658370491</v>
      </c>
      <c r="G37" s="1871">
        <f t="shared" ref="G37:I37" si="10">IF(ISERROR((G36-F36)/F36), "", (G36-F36)/F36)</f>
        <v>1.2793300784628085E-2</v>
      </c>
      <c r="H37" s="1871">
        <f t="shared" si="10"/>
        <v>0.17380699585077139</v>
      </c>
      <c r="I37" s="1873">
        <f t="shared" si="10"/>
        <v>-4.5512382930666478E-2</v>
      </c>
      <c r="J37" s="919"/>
      <c r="K37" s="919"/>
      <c r="L37" s="919"/>
      <c r="M37" s="919"/>
    </row>
    <row r="38" spans="1:16" x14ac:dyDescent="0.2">
      <c r="A38" s="919"/>
      <c r="B38" s="919"/>
      <c r="C38" s="919"/>
      <c r="D38" s="919"/>
      <c r="E38" s="1882"/>
      <c r="F38" s="919"/>
      <c r="G38" s="919"/>
      <c r="H38" s="919"/>
      <c r="I38" s="919"/>
      <c r="J38" s="919"/>
      <c r="K38" s="919"/>
      <c r="L38" s="919"/>
      <c r="M38" s="919"/>
    </row>
    <row r="39" spans="1:16" ht="13.5" thickBot="1" x14ac:dyDescent="0.25">
      <c r="A39" s="919"/>
      <c r="B39" s="919"/>
      <c r="C39" s="919"/>
      <c r="D39" s="919"/>
      <c r="E39" s="1882"/>
      <c r="F39" s="919"/>
      <c r="G39" s="919"/>
      <c r="H39" s="919"/>
      <c r="I39" s="919"/>
      <c r="J39" s="919"/>
      <c r="K39" s="919"/>
      <c r="L39" s="919"/>
      <c r="M39" s="919"/>
    </row>
    <row r="40" spans="1:16" ht="60.75" thickBot="1" x14ac:dyDescent="0.25">
      <c r="A40" s="932"/>
      <c r="B40" s="933" t="str">
        <f>B13</f>
        <v>Last Rebasing Year (2011 Board-Approved)</v>
      </c>
      <c r="C40" s="933" t="str">
        <f>C13</f>
        <v>Last Rebasing Year (2011 Actuals)</v>
      </c>
      <c r="D40" s="933" t="str">
        <f>"Variance " &amp; '[17]LDC Info'!E28 &amp; "  BA – " &amp; '[17]LDC Info'!E28 &amp; " Actuals"</f>
        <v>Variance 2011  BA – 2011 Actuals</v>
      </c>
      <c r="E40" s="933" t="s">
        <v>2241</v>
      </c>
      <c r="F40" s="933" t="s">
        <v>2240</v>
      </c>
      <c r="G40" s="1883" t="str">
        <f t="shared" ref="G40:G45" si="11">+E30</f>
        <v>2013 Actual (CGAAP)</v>
      </c>
      <c r="H40" s="933" t="s">
        <v>2434</v>
      </c>
      <c r="I40" s="933" t="str">
        <f>F13</f>
        <v>2013 Actuals</v>
      </c>
      <c r="J40" s="933" t="s">
        <v>2242</v>
      </c>
      <c r="K40" s="933" t="str">
        <f>G13</f>
        <v>2014 Actuals</v>
      </c>
      <c r="L40" s="933" t="str">
        <f>"Variance " &amp; '[17]LDC Info'!E26 -1 &amp; " Actuals vs. " &amp;  '[17]LDC Info'!E26-2 &amp; " Actuals"</f>
        <v>Variance 2014 Actuals vs. 2013 Actuals</v>
      </c>
      <c r="M40" s="933" t="str">
        <f>H13</f>
        <v>2015 Bridge Year</v>
      </c>
      <c r="N40" s="933" t="str">
        <f>"Variance " &amp; '[17]LDC Info'!E26 &amp; " Bridge vs. " &amp; '[17]LDC Info'!E26 -1 &amp; " Actuals"</f>
        <v>Variance 2015 Bridge vs. 2014 Actuals</v>
      </c>
      <c r="O40" s="933" t="str">
        <f>I13</f>
        <v>2016 Test Year</v>
      </c>
      <c r="P40" s="934" t="str">
        <f>"Variance " &amp; TestYear &amp; " Test vs. " &amp; BridgeYear &amp; " Bridge"</f>
        <v>Variance 2016 Test vs. 2015 Bridge</v>
      </c>
    </row>
    <row r="41" spans="1:16" x14ac:dyDescent="0.2">
      <c r="A41" s="935" t="s">
        <v>161</v>
      </c>
      <c r="B41" s="1884">
        <f t="shared" ref="B41:C42" si="12">B15</f>
        <v>876809</v>
      </c>
      <c r="C41" s="1884">
        <f t="shared" si="12"/>
        <v>794421.88</v>
      </c>
      <c r="D41" s="1885">
        <f>B41-C41</f>
        <v>82387.12</v>
      </c>
      <c r="E41" s="1885">
        <f>+D31</f>
        <v>972346</v>
      </c>
      <c r="F41" s="1885">
        <f>+E41-C41</f>
        <v>177924.12</v>
      </c>
      <c r="G41" s="1886">
        <f t="shared" si="11"/>
        <v>1216881</v>
      </c>
      <c r="H41" s="1885">
        <f>+G41-E41</f>
        <v>244535</v>
      </c>
      <c r="I41" s="1885">
        <f>F15</f>
        <v>1853447</v>
      </c>
      <c r="J41" s="1885">
        <f>I41-E41</f>
        <v>881101</v>
      </c>
      <c r="K41" s="1885">
        <f>G15</f>
        <v>2040211</v>
      </c>
      <c r="L41" s="1885">
        <f>K41-I41</f>
        <v>186764</v>
      </c>
      <c r="M41" s="1885">
        <f>H15</f>
        <v>2351977</v>
      </c>
      <c r="N41" s="1885">
        <f>M41-K41</f>
        <v>311766</v>
      </c>
      <c r="O41" s="1885">
        <f>I15</f>
        <v>2477284</v>
      </c>
      <c r="P41" s="1887">
        <f>O41-M41</f>
        <v>125307</v>
      </c>
    </row>
    <row r="42" spans="1:16" x14ac:dyDescent="0.2">
      <c r="A42" s="936" t="s">
        <v>537</v>
      </c>
      <c r="B42" s="1879">
        <f t="shared" si="12"/>
        <v>1019951</v>
      </c>
      <c r="C42" s="1879">
        <f t="shared" si="12"/>
        <v>1260826.96</v>
      </c>
      <c r="D42" s="1888">
        <f>B42-C42</f>
        <v>-240875.95999999996</v>
      </c>
      <c r="E42" s="1885">
        <f>+D32</f>
        <v>1237774</v>
      </c>
      <c r="F42" s="1885">
        <f>+E42-C42</f>
        <v>-23052.959999999963</v>
      </c>
      <c r="G42" s="1886">
        <f t="shared" si="11"/>
        <v>1060956</v>
      </c>
      <c r="H42" s="1885">
        <f t="shared" ref="H42:H45" si="13">+G42-E42</f>
        <v>-176818</v>
      </c>
      <c r="I42" s="1888">
        <f>F16</f>
        <v>1697522</v>
      </c>
      <c r="J42" s="1885">
        <f>I42-E42</f>
        <v>459748</v>
      </c>
      <c r="K42" s="1888">
        <f>G16</f>
        <v>961416</v>
      </c>
      <c r="L42" s="1888">
        <f t="shared" ref="L42:P45" si="14">K42-I42</f>
        <v>-736106</v>
      </c>
      <c r="M42" s="1888">
        <f>H16</f>
        <v>1321905</v>
      </c>
      <c r="N42" s="1888">
        <f t="shared" si="14"/>
        <v>360489</v>
      </c>
      <c r="O42" s="1888">
        <f>I16</f>
        <v>1135127</v>
      </c>
      <c r="P42" s="1889">
        <f t="shared" si="14"/>
        <v>-186778</v>
      </c>
    </row>
    <row r="43" spans="1:16" x14ac:dyDescent="0.2">
      <c r="A43" s="936" t="s">
        <v>538</v>
      </c>
      <c r="B43" s="1879">
        <f t="shared" ref="B43:C45" si="15">B20</f>
        <v>1818688</v>
      </c>
      <c r="C43" s="1879">
        <f t="shared" si="15"/>
        <v>1660292</v>
      </c>
      <c r="D43" s="1888">
        <f>B43-C43</f>
        <v>158396</v>
      </c>
      <c r="E43" s="1885">
        <f>+D33</f>
        <v>1805605</v>
      </c>
      <c r="F43" s="1885">
        <f>+E43-C43</f>
        <v>145313</v>
      </c>
      <c r="G43" s="1886">
        <f t="shared" si="11"/>
        <v>1912502</v>
      </c>
      <c r="H43" s="1885">
        <f t="shared" si="13"/>
        <v>106897</v>
      </c>
      <c r="I43" s="1888">
        <f>F20</f>
        <v>1912502</v>
      </c>
      <c r="J43" s="1885">
        <f>I43-E43</f>
        <v>106897</v>
      </c>
      <c r="K43" s="1888">
        <f>G20</f>
        <v>2071190.75</v>
      </c>
      <c r="L43" s="1888">
        <f t="shared" si="14"/>
        <v>158688.75</v>
      </c>
      <c r="M43" s="1888">
        <f>H20</f>
        <v>2288854</v>
      </c>
      <c r="N43" s="1888">
        <f t="shared" si="14"/>
        <v>217663.25</v>
      </c>
      <c r="O43" s="1888">
        <f>I20</f>
        <v>2229699</v>
      </c>
      <c r="P43" s="1889">
        <f t="shared" si="14"/>
        <v>-59155</v>
      </c>
    </row>
    <row r="44" spans="1:16" x14ac:dyDescent="0.2">
      <c r="A44" s="936" t="s">
        <v>539</v>
      </c>
      <c r="B44" s="1879">
        <f t="shared" si="15"/>
        <v>10679</v>
      </c>
      <c r="C44" s="1879">
        <f t="shared" si="15"/>
        <v>5020</v>
      </c>
      <c r="D44" s="1888">
        <f>B44-C44</f>
        <v>5659</v>
      </c>
      <c r="E44" s="1885">
        <f>+D34</f>
        <v>3260</v>
      </c>
      <c r="F44" s="1885">
        <f>+E44-C44</f>
        <v>-1760</v>
      </c>
      <c r="G44" s="1886">
        <f t="shared" si="11"/>
        <v>11752</v>
      </c>
      <c r="H44" s="1885">
        <f t="shared" si="13"/>
        <v>8492</v>
      </c>
      <c r="I44" s="1888">
        <f>F21</f>
        <v>11752</v>
      </c>
      <c r="J44" s="1885">
        <f>I44-E44</f>
        <v>8492</v>
      </c>
      <c r="K44" s="1888">
        <f>G21</f>
        <v>19679.190000000002</v>
      </c>
      <c r="L44" s="1888">
        <f t="shared" si="14"/>
        <v>7927.1900000000023</v>
      </c>
      <c r="M44" s="1888">
        <f>H21</f>
        <v>19755</v>
      </c>
      <c r="N44" s="1888">
        <f t="shared" si="14"/>
        <v>75.809999999997672</v>
      </c>
      <c r="O44" s="1888">
        <f>I21</f>
        <v>20070.500000000004</v>
      </c>
      <c r="P44" s="1889">
        <f t="shared" si="14"/>
        <v>315.50000000000364</v>
      </c>
    </row>
    <row r="45" spans="1:16" x14ac:dyDescent="0.2">
      <c r="A45" s="936" t="s">
        <v>540</v>
      </c>
      <c r="B45" s="1879">
        <f t="shared" si="15"/>
        <v>2573873</v>
      </c>
      <c r="C45" s="1879">
        <f t="shared" si="15"/>
        <v>2676202</v>
      </c>
      <c r="D45" s="1888">
        <f>B45-C45</f>
        <v>-102329</v>
      </c>
      <c r="E45" s="1885">
        <f>+D35</f>
        <v>2743007</v>
      </c>
      <c r="F45" s="1885">
        <f>+E45-C45</f>
        <v>66805</v>
      </c>
      <c r="G45" s="1886">
        <f t="shared" si="11"/>
        <v>2960750</v>
      </c>
      <c r="H45" s="1885">
        <f t="shared" si="13"/>
        <v>217743</v>
      </c>
      <c r="I45" s="1888">
        <f>F22</f>
        <v>2960750</v>
      </c>
      <c r="J45" s="1885">
        <f>I45-E45</f>
        <v>217743</v>
      </c>
      <c r="K45" s="1888">
        <f>G22</f>
        <v>3451400</v>
      </c>
      <c r="L45" s="1888">
        <f t="shared" si="14"/>
        <v>490650</v>
      </c>
      <c r="M45" s="1888">
        <f>H22</f>
        <v>4046395</v>
      </c>
      <c r="N45" s="1888">
        <f t="shared" si="14"/>
        <v>594995</v>
      </c>
      <c r="O45" s="1888">
        <f>I22</f>
        <v>3710267</v>
      </c>
      <c r="P45" s="1889">
        <f t="shared" si="14"/>
        <v>-336128</v>
      </c>
    </row>
    <row r="46" spans="1:16" x14ac:dyDescent="0.2">
      <c r="A46" s="936" t="s">
        <v>815</v>
      </c>
      <c r="B46" s="1888">
        <f>SUM(B41:B45)</f>
        <v>6300000</v>
      </c>
      <c r="C46" s="1888">
        <f t="shared" ref="C46:P46" si="16">SUM(C41:C45)</f>
        <v>6396762.8399999999</v>
      </c>
      <c r="D46" s="1888">
        <f t="shared" si="16"/>
        <v>-96762.839999999967</v>
      </c>
      <c r="E46" s="1888">
        <f>SUM(E41:E45)</f>
        <v>6761992</v>
      </c>
      <c r="F46" s="1888">
        <f>SUM(F41:F45)</f>
        <v>365229.16000000003</v>
      </c>
      <c r="G46" s="1890">
        <f t="shared" si="16"/>
        <v>7162841</v>
      </c>
      <c r="H46" s="1888">
        <f t="shared" si="16"/>
        <v>400849</v>
      </c>
      <c r="I46" s="1888">
        <f t="shared" si="16"/>
        <v>8435973</v>
      </c>
      <c r="J46" s="1888">
        <f t="shared" si="16"/>
        <v>1673981</v>
      </c>
      <c r="K46" s="1888">
        <f t="shared" si="16"/>
        <v>8543896.9400000013</v>
      </c>
      <c r="L46" s="1888">
        <f t="shared" si="16"/>
        <v>107923.94</v>
      </c>
      <c r="M46" s="1888">
        <f t="shared" si="16"/>
        <v>10028886</v>
      </c>
      <c r="N46" s="1888">
        <f t="shared" si="16"/>
        <v>1484989.06</v>
      </c>
      <c r="O46" s="1888">
        <f t="shared" si="16"/>
        <v>9572447.5</v>
      </c>
      <c r="P46" s="1889">
        <f t="shared" si="16"/>
        <v>-456438.5</v>
      </c>
    </row>
    <row r="47" spans="1:16" ht="36" x14ac:dyDescent="0.2">
      <c r="A47" s="936" t="s">
        <v>814</v>
      </c>
      <c r="B47" s="1888"/>
      <c r="C47" s="1888"/>
      <c r="D47" s="1888"/>
      <c r="E47" s="1888"/>
      <c r="F47" s="1888"/>
      <c r="G47" s="1890"/>
      <c r="H47" s="1888"/>
      <c r="I47" s="1888"/>
      <c r="J47" s="1888"/>
      <c r="K47" s="1888"/>
      <c r="L47" s="1888"/>
      <c r="M47" s="1888"/>
      <c r="N47" s="1888"/>
      <c r="O47" s="1888"/>
      <c r="P47" s="1888"/>
    </row>
    <row r="48" spans="1:16" ht="24" x14ac:dyDescent="0.2">
      <c r="A48" s="936" t="s">
        <v>776</v>
      </c>
      <c r="B48" s="1888">
        <f>B46-B47</f>
        <v>6300000</v>
      </c>
      <c r="C48" s="1888">
        <f t="shared" ref="C48:P48" si="17">C46-C47</f>
        <v>6396762.8399999999</v>
      </c>
      <c r="D48" s="1888">
        <f t="shared" si="17"/>
        <v>-96762.839999999967</v>
      </c>
      <c r="E48" s="1888">
        <f>E46-E47</f>
        <v>6761992</v>
      </c>
      <c r="F48" s="1888">
        <f>F46-F47</f>
        <v>365229.16000000003</v>
      </c>
      <c r="G48" s="1890">
        <f t="shared" si="17"/>
        <v>7162841</v>
      </c>
      <c r="H48" s="1888">
        <f t="shared" si="17"/>
        <v>400849</v>
      </c>
      <c r="I48" s="1888">
        <f t="shared" si="17"/>
        <v>8435973</v>
      </c>
      <c r="J48" s="1888">
        <f t="shared" si="17"/>
        <v>1673981</v>
      </c>
      <c r="K48" s="1888">
        <f t="shared" si="17"/>
        <v>8543896.9400000013</v>
      </c>
      <c r="L48" s="1888">
        <f t="shared" si="17"/>
        <v>107923.94</v>
      </c>
      <c r="M48" s="1888">
        <f t="shared" si="17"/>
        <v>10028886</v>
      </c>
      <c r="N48" s="1888">
        <f t="shared" si="17"/>
        <v>1484989.06</v>
      </c>
      <c r="O48" s="1888">
        <f t="shared" si="17"/>
        <v>9572447.5</v>
      </c>
      <c r="P48" s="1888">
        <f t="shared" si="17"/>
        <v>-456438.5</v>
      </c>
    </row>
    <row r="49" spans="1:16" x14ac:dyDescent="0.2">
      <c r="A49" s="936" t="s">
        <v>541</v>
      </c>
      <c r="B49" s="937"/>
      <c r="C49" s="938"/>
      <c r="D49" s="938"/>
      <c r="E49" s="1891">
        <f>E48-C48</f>
        <v>365229.16000000015</v>
      </c>
      <c r="F49" s="1892"/>
      <c r="G49" s="1891">
        <f>G48-E48</f>
        <v>400849</v>
      </c>
      <c r="H49" s="938"/>
      <c r="I49" s="1891">
        <f>I48-E48</f>
        <v>1673981</v>
      </c>
      <c r="J49" s="1893"/>
      <c r="K49" s="1891">
        <f>K48-I48</f>
        <v>107923.94000000134</v>
      </c>
      <c r="L49" s="1893"/>
      <c r="M49" s="1891">
        <f>M48-K48</f>
        <v>1484989.0599999987</v>
      </c>
      <c r="N49" s="1894"/>
      <c r="O49" s="1891">
        <f>O48-M48</f>
        <v>-456438.5</v>
      </c>
      <c r="P49" s="1696"/>
    </row>
    <row r="50" spans="1:16" x14ac:dyDescent="0.2">
      <c r="A50" s="936" t="s">
        <v>542</v>
      </c>
      <c r="B50" s="939"/>
      <c r="C50" s="940"/>
      <c r="D50" s="940"/>
      <c r="E50" s="1895">
        <f>IF(ISERROR(E49/C48), "", E49/C48)</f>
        <v>5.7095935731142432E-2</v>
      </c>
      <c r="F50" s="1697"/>
      <c r="G50" s="1895">
        <f>IF(ISERROR(G49/E48), "", G49/E48)</f>
        <v>5.9279721123597896E-2</v>
      </c>
      <c r="H50" s="940"/>
      <c r="I50" s="1895">
        <f>IF(ISERROR(I49/E48), "", I49/E48)</f>
        <v>0.24755737658370491</v>
      </c>
      <c r="J50" s="1698"/>
      <c r="K50" s="1895">
        <f>IF(ISERROR(K49/I48), "", K49/I48)</f>
        <v>1.2793300784628085E-2</v>
      </c>
      <c r="L50" s="1698"/>
      <c r="M50" s="1895">
        <f>IF(ISERROR(M49/K48), "", M49/K48)</f>
        <v>0.17380699585077139</v>
      </c>
      <c r="N50" s="1699"/>
      <c r="O50" s="1895">
        <f>IF(ISERROR(O49/M48), "", O49/M48)</f>
        <v>-4.5512382930666478E-2</v>
      </c>
      <c r="P50" s="1700"/>
    </row>
    <row r="51" spans="1:16" ht="24" x14ac:dyDescent="0.2">
      <c r="A51" s="936" t="s">
        <v>543</v>
      </c>
      <c r="B51" s="941"/>
      <c r="C51" s="942"/>
      <c r="D51" s="942"/>
      <c r="E51" s="942"/>
      <c r="F51" s="1701"/>
      <c r="G51" s="1702"/>
      <c r="H51" s="1702"/>
      <c r="I51" s="1702"/>
      <c r="J51" s="1703"/>
      <c r="K51" s="1704">
        <f>IF(ISERROR((O48-K48)/K48), "", (O48-K48)/K48)</f>
        <v>0.12038424236891586</v>
      </c>
      <c r="L51" s="1705"/>
      <c r="M51" s="1701"/>
      <c r="N51" s="1705"/>
      <c r="O51" s="1701"/>
      <c r="P51" s="1706"/>
    </row>
    <row r="52" spans="1:16" ht="24" x14ac:dyDescent="0.2">
      <c r="A52" s="936" t="s">
        <v>216</v>
      </c>
      <c r="B52" s="941"/>
      <c r="C52" s="942"/>
      <c r="D52" s="942"/>
      <c r="E52" s="942"/>
      <c r="F52" s="1705"/>
      <c r="G52" s="1705"/>
      <c r="H52" s="1705"/>
      <c r="I52" s="1911"/>
      <c r="J52" s="1705"/>
      <c r="K52" s="1707"/>
      <c r="L52" s="1705"/>
      <c r="M52" s="1705"/>
      <c r="N52" s="1705"/>
      <c r="O52" s="1705"/>
      <c r="P52" s="1896">
        <f>IF(ISERROR(AVERAGE(E50,I50,M50,O50,K50)), "", AVERAGE(E50,I50,M50,O50,K50))</f>
        <v>8.9148245203916052E-2</v>
      </c>
    </row>
    <row r="53" spans="1:16" ht="36" x14ac:dyDescent="0.2">
      <c r="A53" s="936" t="s">
        <v>2435</v>
      </c>
      <c r="B53" s="941"/>
      <c r="C53" s="942"/>
      <c r="D53" s="942"/>
      <c r="E53" s="942"/>
      <c r="F53" s="1705"/>
      <c r="G53" s="1705"/>
      <c r="H53" s="1705"/>
      <c r="I53" s="1707" t="str">
        <f>IF(ISERROR((O49-C49)/C49), "", (O49-C49)/C49)</f>
        <v/>
      </c>
      <c r="J53" s="1705"/>
      <c r="K53" s="1705"/>
      <c r="L53" s="1705"/>
      <c r="M53" s="1705"/>
      <c r="N53" s="1705"/>
      <c r="O53" s="1705"/>
      <c r="P53" s="1896">
        <f>IF((O48-C48)=0, "", (O48/C48)^(1/5)-1)</f>
        <v>8.3958233992779352E-2</v>
      </c>
    </row>
    <row r="54" spans="1:16" ht="24.75" thickBot="1" x14ac:dyDescent="0.25">
      <c r="A54" s="943" t="str">
        <f>"Compound Growth Rate                                                            (" &amp; G13 &amp; " vs. " &amp; '[17]LDC Info'!E28 &amp; " Actuals)"</f>
        <v>Compound Growth Rate                                                            (2014 Actuals vs. 2011 Actuals)</v>
      </c>
      <c r="B54" s="944"/>
      <c r="C54" s="945"/>
      <c r="D54" s="945"/>
      <c r="E54" s="945"/>
      <c r="F54" s="1708"/>
      <c r="G54" s="1709"/>
      <c r="H54" s="1709"/>
      <c r="I54" s="1709"/>
      <c r="J54" s="1711"/>
      <c r="K54" s="1710">
        <f>IF(ISERROR((K48/C48)^(1/(3)) - 1), "", (K48/C48)^(1/(3)) - 1)</f>
        <v>0.10128210885150768</v>
      </c>
      <c r="L54" s="1708"/>
      <c r="M54" s="1708"/>
      <c r="N54" s="1708"/>
      <c r="O54" s="1708"/>
      <c r="P54" s="1712"/>
    </row>
    <row r="55" spans="1:16" x14ac:dyDescent="0.2">
      <c r="A55" s="919"/>
      <c r="B55" s="919"/>
      <c r="C55" s="919"/>
      <c r="D55" s="919"/>
      <c r="E55" s="919"/>
      <c r="F55" s="919"/>
      <c r="G55" s="919"/>
      <c r="H55" s="919"/>
      <c r="I55" s="919"/>
      <c r="J55" s="919"/>
      <c r="K55" s="919"/>
      <c r="L55" s="919"/>
    </row>
    <row r="56" spans="1:16" x14ac:dyDescent="0.2">
      <c r="A56" s="946" t="s">
        <v>164</v>
      </c>
      <c r="B56" s="919"/>
      <c r="C56" s="919"/>
      <c r="D56" s="919"/>
      <c r="E56" s="919"/>
      <c r="F56" s="919"/>
      <c r="G56" s="919"/>
      <c r="H56" s="919"/>
      <c r="I56" s="919"/>
      <c r="J56" s="919"/>
      <c r="K56" s="919"/>
      <c r="L56" s="919"/>
    </row>
    <row r="57" spans="1:16" x14ac:dyDescent="0.2">
      <c r="A57" s="946"/>
      <c r="B57" s="919"/>
      <c r="C57" s="919"/>
      <c r="D57" s="919"/>
      <c r="E57" s="919"/>
      <c r="F57" s="919"/>
      <c r="G57" s="919"/>
      <c r="H57" s="919"/>
      <c r="I57" s="919"/>
      <c r="J57" s="919"/>
      <c r="K57" s="919"/>
      <c r="L57" s="919"/>
    </row>
    <row r="58" spans="1:16" x14ac:dyDescent="0.2">
      <c r="A58" s="947" t="s">
        <v>544</v>
      </c>
      <c r="B58" s="919"/>
      <c r="C58" s="919"/>
      <c r="D58" s="919"/>
      <c r="E58" s="919"/>
      <c r="F58" s="919"/>
      <c r="G58" s="919"/>
      <c r="H58" s="919"/>
      <c r="I58" s="919"/>
      <c r="J58" s="919"/>
      <c r="K58" s="919"/>
      <c r="L58" s="919"/>
    </row>
    <row r="59" spans="1:16" ht="12.75" customHeight="1" x14ac:dyDescent="0.2">
      <c r="A59" s="2120" t="s">
        <v>545</v>
      </c>
      <c r="B59" s="2120"/>
      <c r="C59" s="2120"/>
      <c r="D59" s="2120"/>
      <c r="E59" s="2120"/>
      <c r="F59" s="2120"/>
      <c r="G59" s="2120"/>
      <c r="H59" s="2120"/>
      <c r="I59" s="2120"/>
      <c r="J59" s="2120"/>
      <c r="K59" s="2120"/>
      <c r="L59" s="2120"/>
      <c r="M59" s="2120"/>
    </row>
    <row r="60" spans="1:16" x14ac:dyDescent="0.2">
      <c r="A60" s="2120"/>
      <c r="B60" s="2120"/>
      <c r="C60" s="2120"/>
      <c r="D60" s="2120"/>
      <c r="E60" s="2120"/>
      <c r="F60" s="2120"/>
      <c r="G60" s="2120"/>
      <c r="H60" s="2120"/>
      <c r="I60" s="2120"/>
      <c r="J60" s="2120"/>
      <c r="K60" s="2120"/>
      <c r="L60" s="2120"/>
      <c r="M60" s="2120"/>
    </row>
    <row r="61" spans="1:16" x14ac:dyDescent="0.2">
      <c r="A61" s="1485" t="s">
        <v>777</v>
      </c>
      <c r="B61" s="1507"/>
      <c r="C61" s="1507"/>
      <c r="D61" s="1606"/>
      <c r="E61" s="1507"/>
      <c r="F61" s="1507"/>
      <c r="G61" s="1507"/>
      <c r="H61" s="1507"/>
      <c r="I61" s="1507"/>
      <c r="J61" s="1507"/>
      <c r="K61" s="1507"/>
      <c r="L61" s="1507"/>
      <c r="M61" s="1507"/>
    </row>
    <row r="62" spans="1:16" x14ac:dyDescent="0.2">
      <c r="A62" s="1507"/>
      <c r="B62" s="1507"/>
      <c r="C62" s="1507"/>
      <c r="D62" s="1606"/>
      <c r="E62" s="1507"/>
      <c r="F62" s="1507"/>
      <c r="G62" s="1507"/>
      <c r="H62" s="1507"/>
      <c r="I62" s="1507"/>
      <c r="J62" s="1507"/>
      <c r="K62" s="1507"/>
      <c r="L62" s="1507"/>
      <c r="M62" s="1507"/>
    </row>
    <row r="63" spans="1:16" x14ac:dyDescent="0.2">
      <c r="A63" s="1485"/>
      <c r="B63" s="1507"/>
      <c r="C63" s="1507"/>
      <c r="D63" s="1606"/>
      <c r="E63" s="1507"/>
      <c r="F63" s="1507"/>
      <c r="G63" s="1507"/>
      <c r="H63" s="919"/>
      <c r="I63" s="919"/>
      <c r="J63" s="919"/>
      <c r="K63" s="919"/>
      <c r="L63" s="919"/>
    </row>
    <row r="64" spans="1:16" x14ac:dyDescent="0.2">
      <c r="B64" s="2120"/>
      <c r="C64" s="2120"/>
      <c r="D64" s="2120"/>
      <c r="E64" s="2120"/>
      <c r="F64" s="2120"/>
      <c r="G64" s="2120"/>
      <c r="H64" s="919"/>
      <c r="I64" s="919"/>
      <c r="J64" s="919"/>
      <c r="K64" s="919"/>
      <c r="L64" s="919"/>
    </row>
    <row r="65" spans="1:12" x14ac:dyDescent="0.2">
      <c r="A65" s="264"/>
      <c r="B65" s="2120"/>
      <c r="C65" s="2120"/>
      <c r="D65" s="2120"/>
      <c r="E65" s="2120"/>
      <c r="F65" s="2120"/>
      <c r="G65" s="2120"/>
      <c r="H65" s="919"/>
      <c r="I65" s="919"/>
      <c r="J65" s="919"/>
      <c r="K65" s="919"/>
      <c r="L65" s="919"/>
    </row>
    <row r="66" spans="1:12" x14ac:dyDescent="0.2">
      <c r="A66" s="919"/>
      <c r="B66" s="919"/>
      <c r="C66" s="919"/>
      <c r="D66" s="919"/>
      <c r="E66" s="919"/>
      <c r="F66" s="919"/>
      <c r="G66" s="919"/>
      <c r="H66" s="919"/>
      <c r="I66" s="919"/>
      <c r="J66" s="919"/>
      <c r="K66" s="919"/>
      <c r="L66" s="919"/>
    </row>
    <row r="67" spans="1:12" x14ac:dyDescent="0.2">
      <c r="A67" s="919"/>
      <c r="B67" s="919"/>
      <c r="C67" s="919"/>
      <c r="D67" s="919"/>
      <c r="E67" s="919"/>
      <c r="F67" s="919"/>
      <c r="G67" s="919"/>
      <c r="H67" s="919"/>
      <c r="I67" s="919"/>
      <c r="J67" s="919"/>
      <c r="K67" s="919"/>
      <c r="L67" s="919"/>
    </row>
    <row r="68" spans="1:12" x14ac:dyDescent="0.2">
      <c r="A68" s="919"/>
      <c r="B68" s="919"/>
      <c r="C68" s="919"/>
      <c r="D68" s="919"/>
      <c r="E68" s="919"/>
      <c r="F68" s="919"/>
      <c r="G68" s="919"/>
      <c r="H68" s="919"/>
      <c r="I68" s="919"/>
      <c r="J68" s="919"/>
      <c r="K68" s="919"/>
      <c r="L68" s="919"/>
    </row>
    <row r="69" spans="1:12" x14ac:dyDescent="0.2">
      <c r="A69" s="919"/>
      <c r="B69" s="919"/>
      <c r="C69" s="919"/>
      <c r="D69" s="919"/>
      <c r="E69" s="919"/>
      <c r="F69" s="919"/>
      <c r="G69" s="919"/>
      <c r="H69" s="919"/>
      <c r="I69" s="919"/>
      <c r="J69" s="919"/>
      <c r="K69" s="919"/>
      <c r="L69" s="919"/>
    </row>
    <row r="70" spans="1:12" x14ac:dyDescent="0.2">
      <c r="A70" s="919"/>
      <c r="B70" s="919"/>
      <c r="C70" s="919"/>
      <c r="D70" s="919"/>
      <c r="E70" s="919"/>
      <c r="F70" s="919"/>
      <c r="G70" s="919"/>
      <c r="H70" s="919"/>
      <c r="I70" s="919"/>
      <c r="J70" s="919"/>
      <c r="K70" s="919"/>
      <c r="L70" s="919"/>
    </row>
    <row r="71" spans="1:12" x14ac:dyDescent="0.2">
      <c r="A71" s="919"/>
      <c r="B71" s="919"/>
      <c r="C71" s="919"/>
      <c r="D71" s="919"/>
      <c r="E71" s="919"/>
      <c r="F71" s="919"/>
      <c r="G71" s="919"/>
      <c r="H71" s="919"/>
      <c r="I71" s="919"/>
      <c r="J71" s="919"/>
      <c r="K71" s="919"/>
      <c r="L71" s="919"/>
    </row>
    <row r="72" spans="1:12" x14ac:dyDescent="0.2">
      <c r="A72" s="919"/>
      <c r="B72" s="919"/>
      <c r="C72" s="919"/>
      <c r="D72" s="919"/>
      <c r="E72" s="919"/>
      <c r="F72" s="919"/>
      <c r="G72" s="919"/>
      <c r="H72" s="919"/>
      <c r="I72" s="919"/>
      <c r="J72" s="919"/>
      <c r="K72" s="919"/>
      <c r="L72" s="919"/>
    </row>
    <row r="73" spans="1:12" x14ac:dyDescent="0.2">
      <c r="A73" s="919"/>
      <c r="B73" s="919"/>
      <c r="C73" s="919"/>
      <c r="D73" s="919"/>
      <c r="E73" s="919"/>
      <c r="F73" s="919"/>
      <c r="G73" s="919"/>
      <c r="H73" s="919"/>
      <c r="I73" s="919"/>
      <c r="J73" s="919"/>
      <c r="K73" s="919"/>
      <c r="L73" s="919"/>
    </row>
    <row r="74" spans="1:12" x14ac:dyDescent="0.2">
      <c r="A74" s="919"/>
      <c r="B74" s="919"/>
      <c r="C74" s="919"/>
      <c r="D74" s="919"/>
      <c r="E74" s="919"/>
      <c r="F74" s="919"/>
      <c r="G74" s="919"/>
      <c r="H74" s="919"/>
      <c r="I74" s="919"/>
      <c r="J74" s="919"/>
      <c r="K74" s="919"/>
      <c r="L74" s="919"/>
    </row>
    <row r="75" spans="1:12" x14ac:dyDescent="0.2">
      <c r="A75" s="919"/>
      <c r="B75" s="919"/>
      <c r="C75" s="919"/>
      <c r="D75" s="919"/>
      <c r="E75" s="919"/>
      <c r="F75" s="919"/>
      <c r="G75" s="919"/>
      <c r="H75" s="919"/>
      <c r="I75" s="919"/>
      <c r="J75" s="919"/>
      <c r="K75" s="919"/>
      <c r="L75" s="919"/>
    </row>
    <row r="76" spans="1:12" x14ac:dyDescent="0.2">
      <c r="A76" s="919"/>
      <c r="B76" s="919"/>
      <c r="C76" s="919"/>
      <c r="D76" s="919"/>
      <c r="E76" s="919"/>
      <c r="F76" s="919"/>
      <c r="G76" s="919"/>
      <c r="H76" s="919"/>
      <c r="I76" s="919"/>
      <c r="J76" s="919"/>
      <c r="K76" s="919"/>
      <c r="L76" s="919"/>
    </row>
    <row r="77" spans="1:12" x14ac:dyDescent="0.2">
      <c r="A77" s="919"/>
      <c r="B77" s="919"/>
      <c r="C77" s="919"/>
      <c r="D77" s="919"/>
      <c r="E77" s="919"/>
      <c r="F77" s="919"/>
      <c r="G77" s="919"/>
      <c r="H77" s="919"/>
      <c r="I77" s="919"/>
      <c r="J77" s="919"/>
      <c r="K77" s="919"/>
      <c r="L77" s="919"/>
    </row>
    <row r="78" spans="1:12" x14ac:dyDescent="0.2">
      <c r="A78" s="919"/>
      <c r="B78" s="919"/>
      <c r="C78" s="919"/>
      <c r="D78" s="919"/>
      <c r="E78" s="919"/>
      <c r="F78" s="919"/>
      <c r="G78" s="919"/>
      <c r="H78" s="919"/>
      <c r="I78" s="919"/>
      <c r="J78" s="919"/>
      <c r="K78" s="919"/>
      <c r="L78" s="919"/>
    </row>
    <row r="79" spans="1:12" x14ac:dyDescent="0.2">
      <c r="A79" s="919"/>
      <c r="B79" s="919"/>
      <c r="C79" s="919"/>
      <c r="D79" s="919"/>
      <c r="E79" s="919"/>
      <c r="F79" s="919"/>
      <c r="G79" s="919"/>
      <c r="H79" s="919"/>
      <c r="I79" s="919"/>
      <c r="J79" s="919"/>
      <c r="K79" s="919"/>
      <c r="L79" s="919"/>
    </row>
    <row r="80" spans="1:12" x14ac:dyDescent="0.2">
      <c r="A80" s="919"/>
      <c r="B80" s="919"/>
      <c r="C80" s="919"/>
      <c r="D80" s="919"/>
      <c r="E80" s="919"/>
      <c r="F80" s="919"/>
      <c r="G80" s="919"/>
      <c r="H80" s="919"/>
      <c r="I80" s="919"/>
      <c r="J80" s="919"/>
      <c r="K80" s="919"/>
      <c r="L80" s="919"/>
    </row>
    <row r="81" spans="1:12" x14ac:dyDescent="0.2">
      <c r="A81" s="919"/>
      <c r="B81" s="919"/>
      <c r="C81" s="919"/>
      <c r="D81" s="919"/>
      <c r="E81" s="919"/>
      <c r="F81" s="919"/>
      <c r="G81" s="919"/>
      <c r="H81" s="919"/>
      <c r="I81" s="919"/>
      <c r="J81" s="919"/>
      <c r="K81" s="919"/>
      <c r="L81" s="919"/>
    </row>
    <row r="82" spans="1:12" x14ac:dyDescent="0.2">
      <c r="A82" s="919"/>
      <c r="B82" s="919"/>
      <c r="C82" s="919"/>
      <c r="D82" s="919"/>
      <c r="E82" s="919"/>
      <c r="F82" s="919"/>
      <c r="G82" s="919"/>
      <c r="H82" s="919"/>
      <c r="I82" s="919"/>
      <c r="J82" s="919"/>
      <c r="K82" s="919"/>
      <c r="L82" s="919"/>
    </row>
    <row r="83" spans="1:12" x14ac:dyDescent="0.2">
      <c r="A83" s="919"/>
      <c r="B83" s="919"/>
      <c r="C83" s="919"/>
      <c r="D83" s="919"/>
      <c r="E83" s="919"/>
      <c r="F83" s="919"/>
      <c r="G83" s="919"/>
      <c r="H83" s="919"/>
      <c r="I83" s="919"/>
      <c r="J83" s="919"/>
      <c r="K83" s="919"/>
      <c r="L83" s="919"/>
    </row>
    <row r="84" spans="1:12" x14ac:dyDescent="0.2">
      <c r="A84" s="919"/>
      <c r="B84" s="919"/>
      <c r="C84" s="919"/>
      <c r="D84" s="919"/>
      <c r="E84" s="919"/>
      <c r="F84" s="919"/>
      <c r="G84" s="919"/>
      <c r="H84" s="919"/>
      <c r="I84" s="919"/>
      <c r="J84" s="919"/>
      <c r="K84" s="919"/>
      <c r="L84" s="919"/>
    </row>
    <row r="85" spans="1:12" x14ac:dyDescent="0.2">
      <c r="A85" s="919"/>
      <c r="B85" s="919"/>
      <c r="C85" s="919"/>
      <c r="D85" s="919"/>
      <c r="E85" s="919"/>
      <c r="F85" s="919"/>
      <c r="G85" s="919"/>
      <c r="H85" s="919"/>
      <c r="I85" s="919"/>
      <c r="J85" s="919"/>
      <c r="K85" s="919"/>
      <c r="L85" s="919"/>
    </row>
    <row r="86" spans="1:12" x14ac:dyDescent="0.2">
      <c r="A86" s="919"/>
      <c r="B86" s="919"/>
      <c r="C86" s="919"/>
      <c r="D86" s="919"/>
      <c r="E86" s="919"/>
      <c r="F86" s="919"/>
      <c r="G86" s="919"/>
      <c r="H86" s="919"/>
      <c r="I86" s="919"/>
      <c r="J86" s="919"/>
      <c r="K86" s="919"/>
      <c r="L86" s="919"/>
    </row>
    <row r="87" spans="1:12" x14ac:dyDescent="0.2">
      <c r="A87" s="919"/>
      <c r="B87" s="919"/>
      <c r="C87" s="919"/>
      <c r="D87" s="919"/>
      <c r="E87" s="919"/>
      <c r="F87" s="919"/>
      <c r="G87" s="919"/>
      <c r="H87" s="919"/>
      <c r="I87" s="919"/>
      <c r="J87" s="919"/>
      <c r="K87" s="919"/>
      <c r="L87" s="919"/>
    </row>
    <row r="88" spans="1:12" x14ac:dyDescent="0.2">
      <c r="A88" s="919"/>
      <c r="B88" s="919"/>
      <c r="C88" s="919"/>
      <c r="D88" s="919"/>
      <c r="E88" s="919"/>
      <c r="F88" s="919"/>
      <c r="G88" s="919"/>
      <c r="H88" s="919"/>
      <c r="I88" s="919"/>
      <c r="J88" s="919"/>
      <c r="K88" s="919"/>
      <c r="L88" s="919"/>
    </row>
    <row r="89" spans="1:12" x14ac:dyDescent="0.2">
      <c r="A89" s="919"/>
      <c r="B89" s="919"/>
      <c r="C89" s="919"/>
      <c r="D89" s="919"/>
      <c r="E89" s="919"/>
      <c r="F89" s="919"/>
      <c r="G89" s="919"/>
      <c r="H89" s="919"/>
      <c r="I89" s="919"/>
      <c r="J89" s="919"/>
      <c r="K89" s="919"/>
      <c r="L89" s="919"/>
    </row>
    <row r="90" spans="1:12" x14ac:dyDescent="0.2">
      <c r="A90" s="919"/>
      <c r="B90" s="919"/>
      <c r="C90" s="919"/>
      <c r="D90" s="919"/>
      <c r="E90" s="919"/>
      <c r="F90" s="919"/>
      <c r="G90" s="919"/>
      <c r="H90" s="919"/>
      <c r="I90" s="919"/>
      <c r="J90" s="919"/>
      <c r="K90" s="919"/>
      <c r="L90" s="919"/>
    </row>
    <row r="91" spans="1:12" x14ac:dyDescent="0.2">
      <c r="A91" s="919"/>
      <c r="B91" s="919"/>
      <c r="C91" s="919"/>
      <c r="D91" s="919"/>
      <c r="E91" s="919"/>
      <c r="F91" s="919"/>
      <c r="G91" s="919"/>
      <c r="H91" s="919"/>
      <c r="I91" s="919"/>
      <c r="J91" s="919"/>
      <c r="K91" s="919"/>
      <c r="L91" s="919"/>
    </row>
    <row r="92" spans="1:12" x14ac:dyDescent="0.2">
      <c r="A92" s="919"/>
      <c r="B92" s="919"/>
      <c r="C92" s="919"/>
      <c r="D92" s="919"/>
      <c r="E92" s="919"/>
      <c r="F92" s="919"/>
      <c r="G92" s="919"/>
      <c r="H92" s="919"/>
      <c r="I92" s="919"/>
      <c r="J92" s="919"/>
      <c r="K92" s="919"/>
      <c r="L92" s="919"/>
    </row>
    <row r="93" spans="1:12" x14ac:dyDescent="0.2">
      <c r="A93" s="919"/>
      <c r="B93" s="919"/>
      <c r="C93" s="919"/>
      <c r="D93" s="919"/>
      <c r="E93" s="919"/>
      <c r="F93" s="919"/>
      <c r="G93" s="919"/>
      <c r="H93" s="919"/>
      <c r="I93" s="919"/>
      <c r="J93" s="919"/>
      <c r="K93" s="919"/>
      <c r="L93" s="919"/>
    </row>
    <row r="94" spans="1:12" x14ac:dyDescent="0.2">
      <c r="A94" s="919"/>
      <c r="B94" s="919"/>
      <c r="C94" s="919"/>
      <c r="D94" s="919"/>
      <c r="E94" s="919"/>
      <c r="F94" s="919"/>
      <c r="G94" s="919"/>
      <c r="H94" s="919"/>
      <c r="I94" s="919"/>
      <c r="J94" s="919"/>
      <c r="K94" s="919"/>
      <c r="L94" s="919"/>
    </row>
    <row r="95" spans="1:12" x14ac:dyDescent="0.2">
      <c r="A95" s="919"/>
      <c r="B95" s="919"/>
      <c r="C95" s="919"/>
      <c r="D95" s="919"/>
      <c r="E95" s="919"/>
      <c r="F95" s="919"/>
      <c r="G95" s="919"/>
      <c r="H95" s="919"/>
      <c r="I95" s="919"/>
      <c r="J95" s="919"/>
      <c r="K95" s="919"/>
      <c r="L95" s="919"/>
    </row>
    <row r="96" spans="1:12" x14ac:dyDescent="0.2">
      <c r="A96" s="919"/>
      <c r="B96" s="919"/>
      <c r="C96" s="919"/>
      <c r="D96" s="919"/>
      <c r="E96" s="919"/>
      <c r="F96" s="919"/>
      <c r="G96" s="919"/>
      <c r="H96" s="919"/>
      <c r="I96" s="919"/>
      <c r="J96" s="919"/>
      <c r="K96" s="919"/>
      <c r="L96" s="919"/>
    </row>
    <row r="97" spans="1:12" x14ac:dyDescent="0.2">
      <c r="A97" s="919"/>
      <c r="B97" s="919"/>
      <c r="C97" s="919"/>
      <c r="D97" s="919"/>
      <c r="E97" s="919"/>
      <c r="F97" s="919"/>
      <c r="G97" s="919"/>
      <c r="H97" s="919"/>
      <c r="I97" s="919"/>
      <c r="J97" s="919"/>
      <c r="K97" s="919"/>
      <c r="L97" s="919"/>
    </row>
    <row r="98" spans="1:12" x14ac:dyDescent="0.2">
      <c r="A98" s="919"/>
      <c r="B98" s="919"/>
      <c r="C98" s="919"/>
      <c r="D98" s="919"/>
      <c r="E98" s="919"/>
      <c r="F98" s="919"/>
      <c r="G98" s="919"/>
      <c r="H98" s="919"/>
      <c r="I98" s="919"/>
      <c r="J98" s="919"/>
      <c r="K98" s="919"/>
      <c r="L98" s="919"/>
    </row>
    <row r="99" spans="1:12" x14ac:dyDescent="0.2">
      <c r="A99" s="919"/>
      <c r="B99" s="919"/>
      <c r="C99" s="919"/>
      <c r="D99" s="919"/>
      <c r="E99" s="919"/>
      <c r="F99" s="919"/>
      <c r="G99" s="919"/>
      <c r="H99" s="919"/>
      <c r="I99" s="919"/>
      <c r="J99" s="919"/>
      <c r="K99" s="919"/>
      <c r="L99" s="919"/>
    </row>
    <row r="100" spans="1:12" x14ac:dyDescent="0.2">
      <c r="A100" s="919"/>
      <c r="B100" s="919"/>
      <c r="C100" s="919"/>
      <c r="D100" s="919"/>
      <c r="E100" s="919"/>
      <c r="F100" s="919"/>
      <c r="G100" s="919"/>
      <c r="H100" s="919"/>
      <c r="I100" s="919"/>
      <c r="J100" s="919"/>
      <c r="K100" s="919"/>
      <c r="L100" s="919"/>
    </row>
    <row r="101" spans="1:12" x14ac:dyDescent="0.2">
      <c r="A101" s="919"/>
      <c r="B101" s="919"/>
      <c r="C101" s="919"/>
      <c r="D101" s="919"/>
      <c r="E101" s="919"/>
      <c r="F101" s="919"/>
      <c r="G101" s="919"/>
      <c r="H101" s="919"/>
      <c r="I101" s="919"/>
      <c r="J101" s="919"/>
      <c r="K101" s="919"/>
      <c r="L101" s="919"/>
    </row>
    <row r="102" spans="1:12" x14ac:dyDescent="0.2">
      <c r="A102" s="919"/>
      <c r="B102" s="919"/>
      <c r="C102" s="919"/>
      <c r="D102" s="919"/>
      <c r="E102" s="919"/>
      <c r="F102" s="919"/>
      <c r="G102" s="919"/>
      <c r="H102" s="919"/>
      <c r="I102" s="919"/>
      <c r="J102" s="919"/>
      <c r="K102" s="919"/>
      <c r="L102" s="919"/>
    </row>
    <row r="103" spans="1:12" x14ac:dyDescent="0.2">
      <c r="A103" s="919"/>
      <c r="B103" s="919"/>
      <c r="C103" s="919"/>
      <c r="D103" s="919"/>
      <c r="E103" s="919"/>
      <c r="F103" s="919"/>
      <c r="G103" s="919"/>
      <c r="H103" s="919"/>
      <c r="I103" s="919"/>
      <c r="J103" s="919"/>
      <c r="K103" s="919"/>
      <c r="L103" s="919"/>
    </row>
    <row r="104" spans="1:12" x14ac:dyDescent="0.2">
      <c r="A104" s="919"/>
      <c r="B104" s="919"/>
      <c r="C104" s="919"/>
      <c r="D104" s="919"/>
      <c r="E104" s="919"/>
      <c r="F104" s="919"/>
      <c r="G104" s="919"/>
      <c r="H104" s="919"/>
      <c r="I104" s="919"/>
      <c r="J104" s="919"/>
      <c r="K104" s="919"/>
      <c r="L104" s="919"/>
    </row>
    <row r="105" spans="1:12" x14ac:dyDescent="0.2">
      <c r="A105" s="919"/>
      <c r="B105" s="919"/>
      <c r="C105" s="919"/>
      <c r="D105" s="919"/>
      <c r="E105" s="919"/>
      <c r="F105" s="919"/>
      <c r="G105" s="919"/>
      <c r="H105" s="919"/>
      <c r="I105" s="919"/>
      <c r="J105" s="919"/>
      <c r="K105" s="919"/>
      <c r="L105" s="919"/>
    </row>
    <row r="106" spans="1:12" x14ac:dyDescent="0.2">
      <c r="A106" s="919"/>
      <c r="B106" s="919"/>
      <c r="C106" s="919"/>
      <c r="D106" s="919"/>
      <c r="E106" s="919"/>
      <c r="F106" s="919"/>
      <c r="G106" s="919"/>
      <c r="H106" s="919"/>
      <c r="I106" s="919"/>
      <c r="J106" s="919"/>
      <c r="K106" s="919"/>
      <c r="L106" s="919"/>
    </row>
    <row r="107" spans="1:12" x14ac:dyDescent="0.2">
      <c r="A107" s="919"/>
      <c r="B107" s="919"/>
      <c r="C107" s="919"/>
      <c r="D107" s="919"/>
      <c r="E107" s="919"/>
      <c r="F107" s="919"/>
      <c r="G107" s="919"/>
      <c r="H107" s="919"/>
      <c r="I107" s="919"/>
      <c r="J107" s="919"/>
      <c r="K107" s="919"/>
      <c r="L107" s="919"/>
    </row>
    <row r="108" spans="1:12" x14ac:dyDescent="0.2">
      <c r="A108" s="919"/>
      <c r="B108" s="919"/>
      <c r="C108" s="919"/>
      <c r="D108" s="919"/>
      <c r="E108" s="919"/>
      <c r="F108" s="919"/>
      <c r="G108" s="919"/>
      <c r="H108" s="919"/>
      <c r="I108" s="919"/>
      <c r="J108" s="919"/>
      <c r="K108" s="919"/>
      <c r="L108" s="919"/>
    </row>
    <row r="109" spans="1:12" x14ac:dyDescent="0.2">
      <c r="A109" s="919"/>
      <c r="B109" s="919"/>
      <c r="C109" s="919"/>
      <c r="D109" s="919"/>
      <c r="E109" s="919"/>
      <c r="F109" s="919"/>
      <c r="G109" s="919"/>
      <c r="H109" s="919"/>
      <c r="I109" s="919"/>
      <c r="J109" s="919"/>
      <c r="K109" s="919"/>
      <c r="L109" s="919"/>
    </row>
    <row r="110" spans="1:12" x14ac:dyDescent="0.2">
      <c r="A110" s="919"/>
      <c r="B110" s="919"/>
      <c r="C110" s="919"/>
      <c r="D110" s="919"/>
      <c r="E110" s="919"/>
      <c r="F110" s="919"/>
      <c r="G110" s="919"/>
      <c r="H110" s="919"/>
      <c r="I110" s="919"/>
      <c r="J110" s="919"/>
      <c r="K110" s="919"/>
      <c r="L110" s="919"/>
    </row>
    <row r="111" spans="1:12" x14ac:dyDescent="0.2">
      <c r="A111" s="919"/>
      <c r="B111" s="919"/>
      <c r="C111" s="919"/>
      <c r="D111" s="919"/>
      <c r="E111" s="919"/>
      <c r="F111" s="919"/>
      <c r="G111" s="919"/>
      <c r="H111" s="919"/>
      <c r="I111" s="919"/>
      <c r="J111" s="919"/>
      <c r="K111" s="919"/>
      <c r="L111" s="919"/>
    </row>
    <row r="112" spans="1:12" x14ac:dyDescent="0.2">
      <c r="A112" s="919"/>
      <c r="B112" s="919"/>
      <c r="C112" s="919"/>
      <c r="D112" s="919"/>
      <c r="E112" s="919"/>
      <c r="F112" s="919"/>
      <c r="G112" s="919"/>
      <c r="H112" s="919"/>
      <c r="I112" s="919"/>
      <c r="J112" s="919"/>
      <c r="K112" s="919"/>
      <c r="L112" s="919"/>
    </row>
    <row r="113" spans="1:12" x14ac:dyDescent="0.2">
      <c r="A113" s="919"/>
      <c r="B113" s="919"/>
      <c r="C113" s="919"/>
      <c r="D113" s="919"/>
      <c r="E113" s="919"/>
      <c r="F113" s="919"/>
      <c r="G113" s="919"/>
      <c r="H113" s="919"/>
      <c r="I113" s="919"/>
      <c r="J113" s="919"/>
      <c r="K113" s="919"/>
      <c r="L113" s="919"/>
    </row>
    <row r="114" spans="1:12" x14ac:dyDescent="0.2">
      <c r="A114" s="919"/>
      <c r="B114" s="919"/>
      <c r="C114" s="919"/>
      <c r="D114" s="919"/>
      <c r="E114" s="919"/>
      <c r="F114" s="919"/>
      <c r="G114" s="919"/>
      <c r="H114" s="919"/>
      <c r="I114" s="919"/>
      <c r="J114" s="919"/>
      <c r="K114" s="919"/>
      <c r="L114" s="919"/>
    </row>
    <row r="115" spans="1:12" x14ac:dyDescent="0.2">
      <c r="A115" s="919"/>
      <c r="B115" s="919"/>
      <c r="C115" s="919"/>
      <c r="D115" s="919"/>
      <c r="E115" s="919"/>
      <c r="F115" s="919"/>
      <c r="G115" s="919"/>
      <c r="H115" s="919"/>
      <c r="I115" s="919"/>
      <c r="J115" s="919"/>
      <c r="K115" s="919"/>
      <c r="L115" s="919"/>
    </row>
    <row r="116" spans="1:12" x14ac:dyDescent="0.2">
      <c r="A116" s="919"/>
      <c r="B116" s="919"/>
      <c r="C116" s="919"/>
      <c r="D116" s="919"/>
      <c r="E116" s="919"/>
      <c r="F116" s="919"/>
      <c r="G116" s="919"/>
      <c r="H116" s="919"/>
      <c r="I116" s="919"/>
      <c r="J116" s="919"/>
      <c r="K116" s="919"/>
      <c r="L116" s="919"/>
    </row>
    <row r="117" spans="1:12" x14ac:dyDescent="0.2">
      <c r="A117" s="919"/>
      <c r="B117" s="919"/>
      <c r="C117" s="919"/>
      <c r="D117" s="919"/>
      <c r="E117" s="919"/>
      <c r="F117" s="919"/>
      <c r="G117" s="919"/>
      <c r="H117" s="919"/>
      <c r="I117" s="919"/>
      <c r="J117" s="919"/>
      <c r="K117" s="919"/>
      <c r="L117" s="919"/>
    </row>
    <row r="118" spans="1:12" x14ac:dyDescent="0.2">
      <c r="A118" s="919"/>
      <c r="B118" s="919"/>
      <c r="C118" s="919"/>
      <c r="D118" s="919"/>
      <c r="E118" s="919"/>
      <c r="F118" s="919"/>
      <c r="G118" s="919"/>
      <c r="H118" s="919"/>
      <c r="I118" s="919"/>
      <c r="J118" s="919"/>
      <c r="K118" s="919"/>
      <c r="L118" s="919"/>
    </row>
    <row r="119" spans="1:12" x14ac:dyDescent="0.2">
      <c r="A119" s="919"/>
      <c r="B119" s="919"/>
      <c r="C119" s="919"/>
      <c r="D119" s="919"/>
      <c r="E119" s="919"/>
      <c r="F119" s="919"/>
      <c r="G119" s="919"/>
      <c r="H119" s="919"/>
      <c r="I119" s="919"/>
      <c r="J119" s="919"/>
      <c r="K119" s="919"/>
      <c r="L119" s="919"/>
    </row>
    <row r="120" spans="1:12" x14ac:dyDescent="0.2">
      <c r="A120" s="919"/>
      <c r="B120" s="919"/>
      <c r="C120" s="919"/>
      <c r="D120" s="919"/>
      <c r="E120" s="919"/>
      <c r="F120" s="919"/>
      <c r="G120" s="919"/>
      <c r="H120" s="919"/>
      <c r="I120" s="919"/>
      <c r="J120" s="919"/>
      <c r="K120" s="919"/>
      <c r="L120" s="919"/>
    </row>
    <row r="121" spans="1:12" x14ac:dyDescent="0.2">
      <c r="A121" s="919"/>
      <c r="B121" s="919"/>
      <c r="C121" s="919"/>
      <c r="D121" s="919"/>
      <c r="E121" s="919"/>
      <c r="F121" s="919"/>
      <c r="G121" s="919"/>
      <c r="H121" s="919"/>
      <c r="I121" s="919"/>
      <c r="J121" s="919"/>
      <c r="K121" s="919"/>
      <c r="L121" s="919"/>
    </row>
    <row r="122" spans="1:12" x14ac:dyDescent="0.2">
      <c r="A122" s="919"/>
      <c r="B122" s="919"/>
      <c r="C122" s="919"/>
      <c r="D122" s="919"/>
      <c r="E122" s="919"/>
      <c r="F122" s="919"/>
      <c r="G122" s="919"/>
      <c r="H122" s="919"/>
      <c r="I122" s="919"/>
      <c r="J122" s="919"/>
      <c r="K122" s="919"/>
      <c r="L122" s="919"/>
    </row>
    <row r="123" spans="1:12" x14ac:dyDescent="0.2">
      <c r="A123" s="919"/>
      <c r="B123" s="919"/>
      <c r="C123" s="919"/>
      <c r="D123" s="919"/>
      <c r="E123" s="919"/>
      <c r="F123" s="919"/>
      <c r="G123" s="919"/>
      <c r="H123" s="919"/>
      <c r="I123" s="919"/>
      <c r="J123" s="919"/>
      <c r="K123" s="919"/>
      <c r="L123" s="919"/>
    </row>
    <row r="124" spans="1:12" x14ac:dyDescent="0.2">
      <c r="A124" s="919"/>
      <c r="B124" s="919"/>
      <c r="C124" s="919"/>
      <c r="D124" s="919"/>
      <c r="E124" s="919"/>
      <c r="F124" s="919"/>
      <c r="G124" s="919"/>
      <c r="H124" s="919"/>
      <c r="I124" s="919"/>
      <c r="J124" s="919"/>
      <c r="K124" s="919"/>
      <c r="L124" s="919"/>
    </row>
    <row r="125" spans="1:12" x14ac:dyDescent="0.2">
      <c r="A125" s="919"/>
      <c r="B125" s="919"/>
      <c r="C125" s="919"/>
      <c r="D125" s="919"/>
      <c r="E125" s="919"/>
      <c r="F125" s="919"/>
      <c r="G125" s="919"/>
      <c r="H125" s="919"/>
      <c r="I125" s="919"/>
      <c r="J125" s="919"/>
      <c r="K125" s="919"/>
      <c r="L125" s="919"/>
    </row>
    <row r="126" spans="1:12" x14ac:dyDescent="0.2">
      <c r="A126" s="919"/>
      <c r="B126" s="919"/>
      <c r="C126" s="919"/>
      <c r="D126" s="919"/>
      <c r="E126" s="919"/>
      <c r="F126" s="919"/>
      <c r="G126" s="919"/>
      <c r="H126" s="919"/>
      <c r="I126" s="919"/>
      <c r="J126" s="919"/>
      <c r="K126" s="919"/>
      <c r="L126" s="919"/>
    </row>
    <row r="127" spans="1:12" x14ac:dyDescent="0.2">
      <c r="A127" s="919"/>
      <c r="B127" s="919"/>
      <c r="C127" s="919"/>
      <c r="D127" s="919"/>
      <c r="E127" s="919"/>
      <c r="F127" s="919"/>
      <c r="G127" s="919"/>
      <c r="H127" s="919"/>
      <c r="I127" s="919"/>
      <c r="J127" s="919"/>
      <c r="K127" s="919"/>
      <c r="L127" s="919"/>
    </row>
    <row r="128" spans="1:12" x14ac:dyDescent="0.2">
      <c r="A128" s="919"/>
      <c r="B128" s="919"/>
      <c r="C128" s="919"/>
      <c r="D128" s="919"/>
      <c r="E128" s="919"/>
      <c r="F128" s="919"/>
      <c r="G128" s="919"/>
      <c r="H128" s="919"/>
      <c r="I128" s="919"/>
      <c r="J128" s="919"/>
      <c r="K128" s="919"/>
      <c r="L128" s="919"/>
    </row>
    <row r="129" spans="1:12" x14ac:dyDescent="0.2">
      <c r="A129" s="919"/>
      <c r="B129" s="919"/>
      <c r="C129" s="919"/>
      <c r="D129" s="919"/>
      <c r="E129" s="919"/>
      <c r="F129" s="919"/>
      <c r="G129" s="919"/>
      <c r="H129" s="919"/>
      <c r="I129" s="919"/>
      <c r="J129" s="919"/>
      <c r="K129" s="919"/>
      <c r="L129" s="919"/>
    </row>
    <row r="130" spans="1:12" x14ac:dyDescent="0.2">
      <c r="A130" s="919"/>
      <c r="B130" s="919"/>
      <c r="C130" s="919"/>
      <c r="D130" s="919"/>
      <c r="E130" s="919"/>
      <c r="F130" s="919"/>
      <c r="G130" s="919"/>
      <c r="H130" s="919"/>
      <c r="I130" s="919"/>
      <c r="J130" s="919"/>
      <c r="K130" s="919"/>
      <c r="L130" s="919"/>
    </row>
    <row r="131" spans="1:12" x14ac:dyDescent="0.2">
      <c r="A131" s="919"/>
      <c r="B131" s="919"/>
      <c r="C131" s="919"/>
      <c r="D131" s="919"/>
      <c r="E131" s="919"/>
      <c r="F131" s="919"/>
      <c r="G131" s="919"/>
      <c r="H131" s="919"/>
      <c r="I131" s="919"/>
      <c r="J131" s="919"/>
      <c r="K131" s="919"/>
      <c r="L131" s="919"/>
    </row>
    <row r="132" spans="1:12" x14ac:dyDescent="0.2">
      <c r="A132" s="919"/>
      <c r="B132" s="919"/>
      <c r="C132" s="919"/>
      <c r="D132" s="919"/>
      <c r="E132" s="919"/>
      <c r="F132" s="919"/>
      <c r="G132" s="919"/>
      <c r="H132" s="919"/>
      <c r="I132" s="919"/>
      <c r="J132" s="919"/>
      <c r="K132" s="919"/>
      <c r="L132" s="919"/>
    </row>
    <row r="133" spans="1:12" x14ac:dyDescent="0.2">
      <c r="A133" s="919"/>
      <c r="B133" s="919"/>
      <c r="C133" s="919"/>
      <c r="D133" s="919"/>
      <c r="E133" s="919"/>
      <c r="F133" s="919"/>
      <c r="G133" s="919"/>
      <c r="H133" s="919"/>
      <c r="I133" s="919"/>
      <c r="J133" s="919"/>
      <c r="K133" s="919"/>
      <c r="L133" s="919"/>
    </row>
    <row r="134" spans="1:12" x14ac:dyDescent="0.2">
      <c r="A134" s="919"/>
      <c r="B134" s="919"/>
      <c r="C134" s="919"/>
      <c r="D134" s="919"/>
      <c r="E134" s="919"/>
      <c r="F134" s="919"/>
      <c r="G134" s="919"/>
      <c r="H134" s="919"/>
      <c r="I134" s="919"/>
      <c r="J134" s="919"/>
      <c r="K134" s="919"/>
      <c r="L134" s="919"/>
    </row>
  </sheetData>
  <mergeCells count="6">
    <mergeCell ref="B64:G65"/>
    <mergeCell ref="A59:M60"/>
    <mergeCell ref="A9:I9"/>
    <mergeCell ref="A10:I10"/>
    <mergeCell ref="A11:I11"/>
    <mergeCell ref="J13:K13"/>
  </mergeCells>
  <dataValidations count="2">
    <dataValidation allowBlank="1" showInputMessage="1" showErrorMessage="1" promptTitle="Date Format" prompt="E.g:  &quot;August 1, 2011&quot;" sqref="N7"/>
    <dataValidation type="list" allowBlank="1" showInputMessage="1" showErrorMessage="1" sqref="B14:I14">
      <formula1>"CGAAP, MIFRS, USGAAP, ASPE"</formula1>
    </dataValidation>
  </dataValidations>
  <pageMargins left="0.75" right="0.75" top="1" bottom="1" header="0.5" footer="0.5"/>
  <pageSetup scale="64"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M66"/>
  <sheetViews>
    <sheetView showGridLines="0" topLeftCell="A5" zoomScaleNormal="100" workbookViewId="0">
      <selection activeCell="A11" sqref="A11:G11"/>
    </sheetView>
  </sheetViews>
  <sheetFormatPr defaultRowHeight="12.75" x14ac:dyDescent="0.2"/>
  <cols>
    <col min="1" max="1" width="53" style="61" bestFit="1" customWidth="1"/>
    <col min="2" max="2" width="15.7109375" style="61" customWidth="1"/>
    <col min="3" max="3" width="15.7109375" style="61" hidden="1" customWidth="1"/>
    <col min="4" max="7" width="15.7109375" style="61" customWidth="1"/>
    <col min="8" max="8" width="15.140625" style="61" customWidth="1"/>
    <col min="9" max="16384" width="9.140625" style="61"/>
  </cols>
  <sheetData>
    <row r="1" spans="1:13" x14ac:dyDescent="0.2">
      <c r="A1"/>
      <c r="F1" s="715" t="s">
        <v>394</v>
      </c>
      <c r="G1" s="253" t="str">
        <f>EBNUMBER</f>
        <v>EB-2015-0089</v>
      </c>
    </row>
    <row r="2" spans="1:13" x14ac:dyDescent="0.2">
      <c r="A2"/>
      <c r="F2" s="715" t="s">
        <v>395</v>
      </c>
      <c r="G2" s="254">
        <v>4</v>
      </c>
    </row>
    <row r="3" spans="1:13" x14ac:dyDescent="0.2">
      <c r="F3" s="715" t="s">
        <v>396</v>
      </c>
      <c r="G3" s="254" t="s">
        <v>2456</v>
      </c>
    </row>
    <row r="4" spans="1:13" x14ac:dyDescent="0.2">
      <c r="F4" s="715" t="s">
        <v>397</v>
      </c>
      <c r="G4" s="254" t="s">
        <v>2410</v>
      </c>
    </row>
    <row r="5" spans="1:13" x14ac:dyDescent="0.2">
      <c r="F5" s="715" t="s">
        <v>398</v>
      </c>
      <c r="G5" s="255">
        <v>14</v>
      </c>
    </row>
    <row r="6" spans="1:13" x14ac:dyDescent="0.2">
      <c r="F6" s="715"/>
      <c r="G6" s="253"/>
    </row>
    <row r="7" spans="1:13" x14ac:dyDescent="0.2">
      <c r="F7" s="715" t="s">
        <v>399</v>
      </c>
      <c r="G7" s="1836" t="s">
        <v>2455</v>
      </c>
    </row>
    <row r="8" spans="1:13" x14ac:dyDescent="0.2">
      <c r="G8" s="666"/>
    </row>
    <row r="9" spans="1:13" x14ac:dyDescent="0.2">
      <c r="G9" s="666"/>
    </row>
    <row r="10" spans="1:13" ht="18" x14ac:dyDescent="0.25">
      <c r="A10" s="1940" t="s">
        <v>1509</v>
      </c>
      <c r="B10" s="1940"/>
      <c r="C10" s="1940"/>
      <c r="D10" s="1940"/>
      <c r="E10" s="1940"/>
      <c r="F10" s="1940"/>
      <c r="G10" s="1940"/>
    </row>
    <row r="11" spans="1:13" ht="18" x14ac:dyDescent="0.25">
      <c r="A11" s="1940" t="s">
        <v>2461</v>
      </c>
      <c r="B11" s="1940"/>
      <c r="C11" s="1940"/>
      <c r="D11" s="1940"/>
      <c r="E11" s="1940"/>
      <c r="F11" s="1940"/>
      <c r="G11" s="1940"/>
    </row>
    <row r="12" spans="1:13" ht="13.5" thickBot="1" x14ac:dyDescent="0.25"/>
    <row r="13" spans="1:13" ht="39" thickBot="1" x14ac:dyDescent="0.25">
      <c r="A13" s="1823" t="s">
        <v>166</v>
      </c>
      <c r="B13" s="1824" t="str">
        <f>"Last Rebasing Year (" &amp; RebaseYear &amp; " Actuals)"</f>
        <v>Last Rebasing Year (2011 Actuals)</v>
      </c>
      <c r="C13" s="1824" t="str">
        <f>BridgeYear -3 &amp; " Actuals"</f>
        <v>2012 Actuals</v>
      </c>
      <c r="D13" s="1824" t="str">
        <f>BridgeYear -2 &amp; " Actuals"</f>
        <v>2013 Actuals</v>
      </c>
      <c r="E13" s="1824" t="str">
        <f>BridgeYear -1 &amp; " Actuals"</f>
        <v>2014 Actuals</v>
      </c>
      <c r="F13" s="1824" t="str">
        <f>BridgeYear &amp; " Bridge Year"</f>
        <v>2015 Bridge Year</v>
      </c>
      <c r="G13" s="1825" t="str">
        <f>TestYear &amp; " Test Year"</f>
        <v>2016 Test Year</v>
      </c>
    </row>
    <row r="14" spans="1:13" ht="13.5" thickBot="1" x14ac:dyDescent="0.25">
      <c r="A14" s="920" t="s">
        <v>150</v>
      </c>
      <c r="B14" s="921" t="s">
        <v>151</v>
      </c>
      <c r="C14" s="921" t="s">
        <v>151</v>
      </c>
      <c r="D14" s="921" t="s">
        <v>152</v>
      </c>
      <c r="E14" s="921" t="s">
        <v>152</v>
      </c>
      <c r="F14" s="921" t="s">
        <v>152</v>
      </c>
      <c r="G14" s="922" t="s">
        <v>152</v>
      </c>
      <c r="M14" s="948"/>
    </row>
    <row r="15" spans="1:13" x14ac:dyDescent="0.2">
      <c r="A15" s="949" t="s">
        <v>325</v>
      </c>
      <c r="B15" s="950">
        <v>6300000</v>
      </c>
      <c r="C15" s="950">
        <f>+B56</f>
        <v>6396762.8399999999</v>
      </c>
      <c r="D15" s="950">
        <f>+C56</f>
        <v>6761992</v>
      </c>
      <c r="E15" s="950">
        <f t="shared" ref="E15:G15" si="0">+D56</f>
        <v>8435973</v>
      </c>
      <c r="F15" s="950">
        <f t="shared" si="0"/>
        <v>8543896.9399999995</v>
      </c>
      <c r="G15" s="950">
        <f t="shared" si="0"/>
        <v>10028886</v>
      </c>
    </row>
    <row r="16" spans="1:13" x14ac:dyDescent="0.2">
      <c r="A16" s="1715"/>
      <c r="B16" s="950"/>
      <c r="C16" s="950"/>
      <c r="D16" s="950"/>
      <c r="E16" s="950"/>
      <c r="F16" s="950"/>
      <c r="G16" s="383"/>
    </row>
    <row r="17" spans="1:7" x14ac:dyDescent="0.2">
      <c r="A17" s="1713" t="s">
        <v>2243</v>
      </c>
      <c r="B17" s="1778">
        <v>-43832.142617000267</v>
      </c>
      <c r="C17" s="1778">
        <v>242906.8600000008</v>
      </c>
      <c r="D17" s="1778">
        <v>-156525.30140303582</v>
      </c>
      <c r="E17" s="1778">
        <v>232457.04037613177</v>
      </c>
      <c r="F17" s="1778">
        <v>467948.85377592751</v>
      </c>
      <c r="G17" s="1778">
        <f>211864.503742297</f>
        <v>211864.50374229701</v>
      </c>
    </row>
    <row r="18" spans="1:7" x14ac:dyDescent="0.2">
      <c r="A18" s="1713" t="s">
        <v>2244</v>
      </c>
      <c r="B18" s="1779">
        <v>47965</v>
      </c>
      <c r="C18" s="1779">
        <v>-3350</v>
      </c>
      <c r="D18" s="1779">
        <v>-20578</v>
      </c>
      <c r="E18" s="1779">
        <v>10906</v>
      </c>
      <c r="F18" s="1779">
        <v>-19836</v>
      </c>
      <c r="G18" s="1779">
        <v>627</v>
      </c>
    </row>
    <row r="19" spans="1:7" x14ac:dyDescent="0.2">
      <c r="A19" s="1713" t="s">
        <v>2245</v>
      </c>
      <c r="B19" s="1779">
        <v>-35879</v>
      </c>
      <c r="C19" s="1779">
        <v>23507</v>
      </c>
      <c r="D19" s="1779">
        <v>34392</v>
      </c>
      <c r="E19" s="1779">
        <v>-6918</v>
      </c>
      <c r="F19" s="1779">
        <v>6202</v>
      </c>
      <c r="G19" s="1779">
        <v>16360</v>
      </c>
    </row>
    <row r="20" spans="1:7" x14ac:dyDescent="0.2">
      <c r="A20" s="1713" t="s">
        <v>2246</v>
      </c>
      <c r="B20" s="1779">
        <v>-14867</v>
      </c>
      <c r="C20" s="1779">
        <v>-23557</v>
      </c>
      <c r="D20" s="1779">
        <v>7799</v>
      </c>
      <c r="E20" s="1779">
        <v>-11283</v>
      </c>
      <c r="F20" s="1779">
        <v>35115</v>
      </c>
      <c r="G20" s="1779">
        <v>5346</v>
      </c>
    </row>
    <row r="21" spans="1:7" x14ac:dyDescent="0.2">
      <c r="A21" s="1713" t="s">
        <v>2247</v>
      </c>
      <c r="B21" s="1779">
        <v>39228</v>
      </c>
      <c r="C21" s="1779">
        <v>38534</v>
      </c>
      <c r="D21" s="1779">
        <v>6004</v>
      </c>
      <c r="E21" s="1779">
        <v>13740</v>
      </c>
      <c r="F21" s="1779">
        <v>6172</v>
      </c>
      <c r="G21" s="1779">
        <v>5999</v>
      </c>
    </row>
    <row r="22" spans="1:7" x14ac:dyDescent="0.2">
      <c r="A22" s="1713" t="s">
        <v>2248</v>
      </c>
      <c r="B22" s="1772"/>
      <c r="C22" s="1772"/>
      <c r="D22" s="1772"/>
      <c r="E22" s="1772"/>
      <c r="F22" s="1772"/>
      <c r="G22" s="1772"/>
    </row>
    <row r="23" spans="1:7" x14ac:dyDescent="0.2">
      <c r="A23" s="1714" t="s">
        <v>2249</v>
      </c>
      <c r="B23" s="1772"/>
      <c r="C23" s="1772"/>
      <c r="D23" s="1772"/>
      <c r="E23" s="1772"/>
      <c r="F23" s="1772"/>
      <c r="G23" s="1772"/>
    </row>
    <row r="24" spans="1:7" x14ac:dyDescent="0.2">
      <c r="A24" s="1713" t="s">
        <v>2250</v>
      </c>
      <c r="B24" s="1772">
        <v>-110122</v>
      </c>
      <c r="C24" s="1772">
        <v>11991</v>
      </c>
      <c r="D24" s="1772">
        <v>9269</v>
      </c>
      <c r="E24" s="1772">
        <v>54926</v>
      </c>
      <c r="F24" s="1772">
        <v>7838</v>
      </c>
      <c r="G24" s="1772">
        <v>12000</v>
      </c>
    </row>
    <row r="25" spans="1:7" x14ac:dyDescent="0.2">
      <c r="A25" s="1713" t="s">
        <v>2251</v>
      </c>
      <c r="B25" s="1772">
        <v>63466</v>
      </c>
      <c r="C25" s="1772">
        <v>-5887</v>
      </c>
      <c r="D25" s="1772">
        <v>-59220</v>
      </c>
      <c r="E25" s="1772">
        <v>91531</v>
      </c>
      <c r="F25" s="1772">
        <v>-4277</v>
      </c>
      <c r="G25" s="1772"/>
    </row>
    <row r="26" spans="1:7" x14ac:dyDescent="0.2">
      <c r="A26" s="1713" t="s">
        <v>2252</v>
      </c>
      <c r="B26" s="1772">
        <v>-8151</v>
      </c>
      <c r="C26" s="1772">
        <v>-3800</v>
      </c>
      <c r="D26" s="1772">
        <v>-2735</v>
      </c>
      <c r="E26" s="1772">
        <v>-11504</v>
      </c>
      <c r="F26" s="1772">
        <v>11792</v>
      </c>
      <c r="G26" s="1772">
        <v>5530</v>
      </c>
    </row>
    <row r="27" spans="1:7" x14ac:dyDescent="0.2">
      <c r="A27" s="1713" t="s">
        <v>2253</v>
      </c>
      <c r="B27" s="1772">
        <v>-11736</v>
      </c>
      <c r="C27" s="1772">
        <v>23032</v>
      </c>
      <c r="D27" s="1772">
        <v>7653</v>
      </c>
      <c r="E27" s="1772">
        <v>17731</v>
      </c>
      <c r="F27" s="1772">
        <v>6916</v>
      </c>
      <c r="G27" s="1772">
        <v>11720</v>
      </c>
    </row>
    <row r="28" spans="1:7" x14ac:dyDescent="0.2">
      <c r="A28" s="1713" t="s">
        <v>2254</v>
      </c>
      <c r="B28" s="1772">
        <v>-6909</v>
      </c>
      <c r="C28" s="1772">
        <v>-18136</v>
      </c>
      <c r="D28" s="1772">
        <v>31607</v>
      </c>
      <c r="E28" s="1772">
        <v>16397</v>
      </c>
      <c r="F28" s="1772">
        <v>-2145</v>
      </c>
      <c r="G28" s="1772">
        <v>-21446</v>
      </c>
    </row>
    <row r="29" spans="1:7" x14ac:dyDescent="0.2">
      <c r="A29" s="1713" t="s">
        <v>2255</v>
      </c>
      <c r="B29" s="1772">
        <v>-42827</v>
      </c>
      <c r="C29" s="1772">
        <v>-24197</v>
      </c>
      <c r="D29" s="1772">
        <v>43773</v>
      </c>
      <c r="E29" s="1772">
        <v>-5585</v>
      </c>
      <c r="F29" s="1772">
        <v>5001</v>
      </c>
      <c r="G29" s="1772">
        <f>-168860+135000</f>
        <v>-33860</v>
      </c>
    </row>
    <row r="30" spans="1:7" x14ac:dyDescent="0.2">
      <c r="A30" s="1713" t="s">
        <v>2256</v>
      </c>
      <c r="B30" s="1772">
        <v>-17876</v>
      </c>
      <c r="C30" s="1772">
        <v>13417</v>
      </c>
      <c r="D30" s="1772">
        <v>34378</v>
      </c>
      <c r="E30" s="1772">
        <v>820</v>
      </c>
      <c r="F30" s="1772">
        <v>-23740</v>
      </c>
      <c r="G30" s="1772">
        <v>22600</v>
      </c>
    </row>
    <row r="31" spans="1:7" x14ac:dyDescent="0.2">
      <c r="A31" s="1713"/>
      <c r="B31" s="1772"/>
      <c r="C31" s="1772"/>
      <c r="D31" s="1772"/>
      <c r="E31" s="1772"/>
      <c r="F31" s="1772"/>
      <c r="G31" s="1772"/>
    </row>
    <row r="32" spans="1:7" x14ac:dyDescent="0.2">
      <c r="A32" s="1714" t="s">
        <v>2257</v>
      </c>
      <c r="B32" s="1772"/>
      <c r="C32" s="1772"/>
      <c r="D32" s="1772"/>
      <c r="E32" s="1772"/>
      <c r="F32" s="1772"/>
      <c r="G32" s="1772"/>
    </row>
    <row r="33" spans="1:7" x14ac:dyDescent="0.2">
      <c r="A33" s="1713" t="s">
        <v>2318</v>
      </c>
      <c r="B33" s="1772">
        <v>5990</v>
      </c>
      <c r="C33" s="1772">
        <v>16264</v>
      </c>
      <c r="D33" s="1772">
        <v>1440</v>
      </c>
      <c r="E33" s="1772">
        <v>46554</v>
      </c>
      <c r="F33" s="1772">
        <v>-17378</v>
      </c>
      <c r="G33" s="1772">
        <v>-20000</v>
      </c>
    </row>
    <row r="34" spans="1:7" x14ac:dyDescent="0.2">
      <c r="A34" s="1713" t="s">
        <v>2332</v>
      </c>
      <c r="B34" s="1772">
        <v>3991</v>
      </c>
      <c r="C34" s="1772">
        <v>146</v>
      </c>
      <c r="D34" s="1772">
        <v>3448</v>
      </c>
      <c r="E34" s="1772">
        <v>3533</v>
      </c>
      <c r="F34" s="1772">
        <v>33648</v>
      </c>
      <c r="G34" s="1772">
        <v>1331</v>
      </c>
    </row>
    <row r="35" spans="1:7" x14ac:dyDescent="0.2">
      <c r="A35" s="1713" t="s">
        <v>2258</v>
      </c>
      <c r="B35" s="1772">
        <v>27891</v>
      </c>
      <c r="C35" s="1772">
        <v>-722</v>
      </c>
      <c r="D35" s="1772">
        <v>74396</v>
      </c>
      <c r="E35" s="1772">
        <v>-13375</v>
      </c>
      <c r="F35" s="1772">
        <v>15550</v>
      </c>
      <c r="G35" s="1772">
        <v>-32280</v>
      </c>
    </row>
    <row r="36" spans="1:7" x14ac:dyDescent="0.2">
      <c r="A36" s="1713" t="s">
        <v>2259</v>
      </c>
      <c r="B36" s="1772">
        <v>31638</v>
      </c>
      <c r="C36" s="1772">
        <v>52494</v>
      </c>
      <c r="D36" s="1772">
        <v>10251</v>
      </c>
      <c r="E36" s="1772">
        <v>-11724</v>
      </c>
      <c r="F36" s="1772">
        <v>-78468</v>
      </c>
      <c r="G36" s="1772">
        <v>3876</v>
      </c>
    </row>
    <row r="37" spans="1:7" x14ac:dyDescent="0.2">
      <c r="A37" s="1713" t="s">
        <v>2260</v>
      </c>
      <c r="B37" s="1772">
        <v>-23733</v>
      </c>
      <c r="C37" s="1772">
        <v>52358</v>
      </c>
      <c r="D37" s="1772">
        <v>-55643</v>
      </c>
      <c r="E37" s="1772">
        <v>-9291</v>
      </c>
      <c r="F37" s="1772">
        <v>25355</v>
      </c>
      <c r="G37" s="1772">
        <v>33887</v>
      </c>
    </row>
    <row r="38" spans="1:7" x14ac:dyDescent="0.2">
      <c r="A38" s="1713" t="s">
        <v>2261</v>
      </c>
      <c r="B38" s="1772"/>
      <c r="C38" s="1772"/>
      <c r="D38" s="1772"/>
      <c r="E38" s="1772">
        <v>6884</v>
      </c>
      <c r="F38" s="1772">
        <v>149617</v>
      </c>
      <c r="G38" s="1772">
        <v>-6501</v>
      </c>
    </row>
    <row r="39" spans="1:7" x14ac:dyDescent="0.2">
      <c r="A39" s="1713" t="s">
        <v>2262</v>
      </c>
      <c r="B39" s="1772">
        <v>245862</v>
      </c>
      <c r="C39" s="1772">
        <v>-68565</v>
      </c>
      <c r="D39" s="1772">
        <v>-34198</v>
      </c>
      <c r="E39" s="1772">
        <v>157983</v>
      </c>
      <c r="F39" s="1772">
        <v>47163</v>
      </c>
      <c r="G39" s="1772">
        <v>10538</v>
      </c>
    </row>
    <row r="40" spans="1:7" x14ac:dyDescent="0.2">
      <c r="A40" s="1713" t="s">
        <v>2263</v>
      </c>
      <c r="B40" s="1772"/>
      <c r="C40" s="1772"/>
      <c r="D40" s="1772">
        <v>500000</v>
      </c>
      <c r="E40" s="1772">
        <v>-1000000</v>
      </c>
      <c r="F40" s="1772">
        <v>500000</v>
      </c>
      <c r="G40" s="1772"/>
    </row>
    <row r="41" spans="1:7" x14ac:dyDescent="0.2">
      <c r="A41" s="1713" t="s">
        <v>2264</v>
      </c>
      <c r="B41" s="1772">
        <v>-6139</v>
      </c>
      <c r="C41" s="1772">
        <v>45167</v>
      </c>
      <c r="D41" s="1772">
        <v>4019</v>
      </c>
      <c r="E41" s="1772">
        <v>-32743</v>
      </c>
      <c r="F41" s="1772">
        <v>-30694</v>
      </c>
      <c r="G41" s="1772">
        <v>-328664</v>
      </c>
    </row>
    <row r="42" spans="1:7" x14ac:dyDescent="0.2">
      <c r="A42" s="1713" t="s">
        <v>2265</v>
      </c>
      <c r="B42" s="1772">
        <v>-9554</v>
      </c>
      <c r="C42" s="1772">
        <v>125166</v>
      </c>
      <c r="D42" s="1772">
        <v>9279</v>
      </c>
      <c r="E42" s="1772">
        <v>51343</v>
      </c>
      <c r="F42" s="1772">
        <v>-9258</v>
      </c>
      <c r="G42" s="1772">
        <v>12083</v>
      </c>
    </row>
    <row r="43" spans="1:7" x14ac:dyDescent="0.2">
      <c r="A43" s="1713" t="s">
        <v>2266</v>
      </c>
      <c r="B43" s="1772"/>
      <c r="C43" s="1772">
        <v>6000</v>
      </c>
      <c r="D43" s="1772">
        <v>-19000</v>
      </c>
      <c r="E43" s="1772">
        <v>43100</v>
      </c>
      <c r="F43" s="1772">
        <v>-23100</v>
      </c>
      <c r="G43" s="1772">
        <v>0</v>
      </c>
    </row>
    <row r="44" spans="1:7" x14ac:dyDescent="0.2">
      <c r="A44" s="1713" t="s">
        <v>2319</v>
      </c>
      <c r="B44" s="1772"/>
      <c r="C44" s="1772"/>
      <c r="D44" s="1772"/>
      <c r="E44" s="1772">
        <v>65000</v>
      </c>
      <c r="F44" s="1772">
        <v>3866</v>
      </c>
      <c r="G44" s="1772">
        <v>3556</v>
      </c>
    </row>
    <row r="45" spans="1:7" x14ac:dyDescent="0.2">
      <c r="A45" s="1713" t="s">
        <v>2267</v>
      </c>
      <c r="B45" s="1772"/>
      <c r="C45" s="1772"/>
      <c r="D45" s="1772"/>
      <c r="E45" s="1772">
        <v>28000</v>
      </c>
      <c r="F45" s="1772">
        <v>150000</v>
      </c>
      <c r="G45" s="1772">
        <v>-150000</v>
      </c>
    </row>
    <row r="46" spans="1:7" x14ac:dyDescent="0.2">
      <c r="A46" s="1713" t="s">
        <v>2334</v>
      </c>
      <c r="B46" s="1772">
        <v>43333</v>
      </c>
      <c r="C46" s="1772">
        <v>-18272</v>
      </c>
      <c r="D46" s="1772">
        <v>7734</v>
      </c>
      <c r="E46" s="1772">
        <v>109017</v>
      </c>
      <c r="F46" s="1772">
        <f>160054-97039</f>
        <v>63015</v>
      </c>
      <c r="G46" s="1772">
        <v>84131</v>
      </c>
    </row>
    <row r="47" spans="1:7" x14ac:dyDescent="0.2">
      <c r="A47" s="1713" t="s">
        <v>2268</v>
      </c>
      <c r="B47" s="1772">
        <v>-41271</v>
      </c>
      <c r="C47" s="1772">
        <v>20653</v>
      </c>
      <c r="D47" s="1772">
        <v>-34186</v>
      </c>
      <c r="E47" s="1772">
        <v>177161</v>
      </c>
      <c r="F47" s="1772">
        <f>-81415+72784</f>
        <v>-8631</v>
      </c>
      <c r="G47" s="1772">
        <v>-43211</v>
      </c>
    </row>
    <row r="48" spans="1:7" x14ac:dyDescent="0.2">
      <c r="A48" s="1713" t="s">
        <v>2269</v>
      </c>
      <c r="B48" s="1773">
        <v>5010</v>
      </c>
      <c r="C48" s="1772">
        <v>-71635</v>
      </c>
      <c r="D48" s="1772">
        <v>-10638</v>
      </c>
      <c r="E48" s="1772">
        <v>61846</v>
      </c>
      <c r="F48" s="1772">
        <v>-47450</v>
      </c>
      <c r="G48" s="1772">
        <v>8984</v>
      </c>
    </row>
    <row r="49" spans="1:7" x14ac:dyDescent="0.2">
      <c r="A49" s="1713"/>
      <c r="B49" s="1772"/>
      <c r="C49" s="1772"/>
      <c r="D49" s="1772"/>
      <c r="E49" s="1772"/>
      <c r="F49" s="1772"/>
      <c r="G49" s="1772"/>
    </row>
    <row r="50" spans="1:7" x14ac:dyDescent="0.2">
      <c r="A50" s="1714" t="s">
        <v>2270</v>
      </c>
      <c r="B50" s="1772"/>
      <c r="C50" s="1772"/>
      <c r="D50" s="1772"/>
      <c r="E50" s="1772"/>
      <c r="F50" s="1772"/>
      <c r="G50" s="1772"/>
    </row>
    <row r="51" spans="1:7" x14ac:dyDescent="0.2">
      <c r="A51" s="1713" t="s">
        <v>2271</v>
      </c>
      <c r="B51" s="1772">
        <v>-662</v>
      </c>
      <c r="C51" s="1772">
        <v>-52217</v>
      </c>
      <c r="D51" s="1772">
        <v>-5333</v>
      </c>
      <c r="E51" s="1772">
        <v>26913</v>
      </c>
      <c r="F51" s="1772">
        <v>-15606.990000000005</v>
      </c>
      <c r="G51" s="1772">
        <v>146260</v>
      </c>
    </row>
    <row r="52" spans="1:7" x14ac:dyDescent="0.2">
      <c r="A52" s="1713" t="s">
        <v>2320</v>
      </c>
      <c r="B52" s="1772"/>
      <c r="C52" s="1772"/>
      <c r="D52" s="1772">
        <v>1273132</v>
      </c>
      <c r="E52" s="1772">
        <v>-11627</v>
      </c>
      <c r="F52" s="1772">
        <v>-40035</v>
      </c>
      <c r="G52" s="1772">
        <v>234375</v>
      </c>
    </row>
    <row r="53" spans="1:7" x14ac:dyDescent="0.2">
      <c r="A53" s="1713"/>
      <c r="B53" s="1772"/>
      <c r="C53" s="1772"/>
      <c r="D53" s="1772"/>
      <c r="E53" s="1772"/>
      <c r="F53" s="1772"/>
      <c r="G53" s="1772"/>
    </row>
    <row r="54" spans="1:7" x14ac:dyDescent="0.2">
      <c r="A54" s="1714" t="s">
        <v>2272</v>
      </c>
      <c r="B54" s="1772">
        <v>-44053.017382999882</v>
      </c>
      <c r="C54" s="1772">
        <v>-16068.700000001118</v>
      </c>
      <c r="D54" s="1772">
        <v>13463.301403034478</v>
      </c>
      <c r="E54" s="1772">
        <v>6131.8996238671243</v>
      </c>
      <c r="F54" s="1772">
        <v>270409.19622407295</v>
      </c>
      <c r="G54" s="1772">
        <f>-179142.503742296+77599</f>
        <v>-101543.50374229599</v>
      </c>
    </row>
    <row r="55" spans="1:7" ht="13.5" thickBot="1" x14ac:dyDescent="0.25">
      <c r="A55" s="952"/>
      <c r="B55" s="953"/>
      <c r="C55" s="418"/>
      <c r="D55" s="418"/>
      <c r="E55" s="418"/>
      <c r="F55" s="418"/>
      <c r="G55" s="754"/>
    </row>
    <row r="56" spans="1:7" ht="14.25" thickTop="1" thickBot="1" x14ac:dyDescent="0.25">
      <c r="A56" s="954" t="s">
        <v>354</v>
      </c>
      <c r="B56" s="955">
        <f t="shared" ref="B56:G56" si="1">SUM(B15:B55)</f>
        <v>6396762.8399999999</v>
      </c>
      <c r="C56" s="955">
        <f t="shared" si="1"/>
        <v>6761992</v>
      </c>
      <c r="D56" s="955">
        <f t="shared" si="1"/>
        <v>8435973</v>
      </c>
      <c r="E56" s="955">
        <f>SUM(E15:E55)</f>
        <v>8543896.9399999995</v>
      </c>
      <c r="F56" s="955">
        <f t="shared" si="1"/>
        <v>10028886</v>
      </c>
      <c r="G56" s="955">
        <f t="shared" si="1"/>
        <v>10122448</v>
      </c>
    </row>
    <row r="58" spans="1:7" x14ac:dyDescent="0.2">
      <c r="A58" s="579" t="s">
        <v>13</v>
      </c>
      <c r="F58" s="1898"/>
      <c r="G58" s="1898"/>
    </row>
    <row r="59" spans="1:7" x14ac:dyDescent="0.2">
      <c r="F59" s="1897"/>
      <c r="G59" s="1897"/>
    </row>
    <row r="60" spans="1:7" x14ac:dyDescent="0.2">
      <c r="A60" s="641">
        <v>1</v>
      </c>
      <c r="B60" s="264" t="s">
        <v>1641</v>
      </c>
    </row>
    <row r="61" spans="1:7" ht="26.25" customHeight="1" x14ac:dyDescent="0.2">
      <c r="A61" s="956">
        <v>2</v>
      </c>
      <c r="B61" s="2186" t="s">
        <v>778</v>
      </c>
      <c r="C61" s="2186"/>
      <c r="D61" s="2186"/>
      <c r="E61" s="2186"/>
      <c r="F61" s="2186"/>
      <c r="G61" s="2186"/>
    </row>
    <row r="62" spans="1:7" x14ac:dyDescent="0.2">
      <c r="A62" s="641">
        <v>3</v>
      </c>
      <c r="B62" s="2236" t="s">
        <v>258</v>
      </c>
      <c r="C62" s="2236"/>
      <c r="D62" s="2236"/>
      <c r="E62" s="2236"/>
      <c r="F62" s="2236"/>
      <c r="G62" s="2236"/>
    </row>
    <row r="63" spans="1:7" x14ac:dyDescent="0.2">
      <c r="A63" s="264"/>
      <c r="B63" s="2236"/>
      <c r="C63" s="2236"/>
      <c r="D63" s="2236"/>
      <c r="E63" s="2236"/>
      <c r="F63" s="2236"/>
      <c r="G63" s="2236"/>
    </row>
    <row r="64" spans="1:7" ht="26.25" customHeight="1" x14ac:dyDescent="0.2">
      <c r="A64" s="264"/>
      <c r="B64" s="2236"/>
      <c r="C64" s="2236"/>
      <c r="D64" s="2236"/>
      <c r="E64" s="2236"/>
      <c r="F64" s="2236"/>
      <c r="G64" s="2236"/>
    </row>
    <row r="65" spans="1:7" x14ac:dyDescent="0.2">
      <c r="A65" s="641">
        <v>4</v>
      </c>
      <c r="B65" s="2120" t="s">
        <v>580</v>
      </c>
      <c r="C65" s="2120"/>
      <c r="D65" s="2237"/>
      <c r="E65" s="2237"/>
      <c r="F65" s="2237"/>
      <c r="G65" s="2237"/>
    </row>
    <row r="66" spans="1:7" ht="3.75" customHeight="1" x14ac:dyDescent="0.2">
      <c r="B66" s="2237"/>
      <c r="C66" s="2237"/>
      <c r="D66" s="2237"/>
      <c r="E66" s="2237"/>
      <c r="F66" s="2237"/>
      <c r="G66" s="2237"/>
    </row>
  </sheetData>
  <mergeCells count="5">
    <mergeCell ref="A10:G10"/>
    <mergeCell ref="A11:G11"/>
    <mergeCell ref="B62:G64"/>
    <mergeCell ref="B65:G66"/>
    <mergeCell ref="B61:G61"/>
  </mergeCells>
  <phoneticPr fontId="17" type="noConversion"/>
  <dataValidations count="2">
    <dataValidation allowBlank="1" showInputMessage="1" showErrorMessage="1" promptTitle="Date Format" prompt="E.g:  &quot;August 1, 2011&quot;" sqref="G7"/>
    <dataValidation type="list" allowBlank="1" showInputMessage="1" showErrorMessage="1" sqref="B14:G14">
      <formula1>"CGAAP, MIFRS, USGAAP, ASPE"</formula1>
    </dataValidation>
  </dataValidations>
  <pageMargins left="0.75" right="0.75" top="1" bottom="1" header="0.5" footer="0.5"/>
  <pageSetup scale="62"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pageSetUpPr fitToPage="1"/>
  </sheetPr>
  <dimension ref="A1:J62"/>
  <sheetViews>
    <sheetView showGridLines="0" zoomScaleNormal="100" workbookViewId="0"/>
  </sheetViews>
  <sheetFormatPr defaultRowHeight="12.75" x14ac:dyDescent="0.2"/>
  <cols>
    <col min="1" max="1" width="30.28515625" style="61" customWidth="1"/>
    <col min="2" max="10" width="13.7109375" style="61" customWidth="1"/>
    <col min="11" max="16384" width="9.140625" style="61"/>
  </cols>
  <sheetData>
    <row r="1" spans="1:10" x14ac:dyDescent="0.2">
      <c r="A1"/>
      <c r="B1"/>
      <c r="H1" s="252" t="s">
        <v>394</v>
      </c>
      <c r="I1" s="253" t="str">
        <f>EBNUMBER</f>
        <v>EB-2015-0089</v>
      </c>
    </row>
    <row r="2" spans="1:10" x14ac:dyDescent="0.2">
      <c r="H2" s="252" t="s">
        <v>395</v>
      </c>
      <c r="I2" s="254">
        <v>4</v>
      </c>
    </row>
    <row r="3" spans="1:10" x14ac:dyDescent="0.2">
      <c r="H3" s="252" t="s">
        <v>396</v>
      </c>
      <c r="I3" s="254" t="s">
        <v>2456</v>
      </c>
    </row>
    <row r="4" spans="1:10" x14ac:dyDescent="0.2">
      <c r="H4" s="252" t="s">
        <v>397</v>
      </c>
      <c r="I4" s="254" t="s">
        <v>2412</v>
      </c>
    </row>
    <row r="5" spans="1:10" x14ac:dyDescent="0.2">
      <c r="H5" s="252" t="s">
        <v>398</v>
      </c>
      <c r="I5" s="255">
        <v>25</v>
      </c>
    </row>
    <row r="6" spans="1:10" x14ac:dyDescent="0.2">
      <c r="H6" s="252"/>
      <c r="I6" s="253"/>
    </row>
    <row r="7" spans="1:10" x14ac:dyDescent="0.2">
      <c r="H7" s="252" t="s">
        <v>399</v>
      </c>
      <c r="I7" s="1836" t="s">
        <v>2455</v>
      </c>
    </row>
    <row r="9" spans="1:10" ht="18" x14ac:dyDescent="0.2">
      <c r="A9" s="1976" t="s">
        <v>811</v>
      </c>
      <c r="B9" s="1976"/>
      <c r="C9" s="1976"/>
      <c r="D9" s="1976"/>
      <c r="E9" s="1976"/>
      <c r="F9" s="1976"/>
      <c r="G9" s="1976"/>
      <c r="H9" s="1976"/>
      <c r="I9" s="1976"/>
      <c r="J9" s="1976"/>
    </row>
    <row r="10" spans="1:10" ht="18" x14ac:dyDescent="0.2">
      <c r="A10" s="1976" t="s">
        <v>2462</v>
      </c>
      <c r="B10" s="1976"/>
      <c r="C10" s="1976"/>
      <c r="D10" s="1976"/>
      <c r="E10" s="1976"/>
      <c r="F10" s="1976"/>
      <c r="G10" s="1976"/>
      <c r="H10" s="1976"/>
      <c r="I10" s="1976"/>
      <c r="J10" s="1976"/>
    </row>
    <row r="12" spans="1:10" ht="13.5" thickBot="1" x14ac:dyDescent="0.25">
      <c r="A12" s="1939"/>
      <c r="B12" s="1939"/>
      <c r="C12" s="1939"/>
      <c r="D12" s="1939"/>
      <c r="E12" s="1939"/>
      <c r="F12" s="1939"/>
      <c r="G12" s="1939"/>
      <c r="H12" s="1939"/>
    </row>
    <row r="13" spans="1:10" ht="89.25" customHeight="1" thickBot="1" x14ac:dyDescent="0.25">
      <c r="A13" s="257" t="s">
        <v>972</v>
      </c>
      <c r="B13" s="917" t="str">
        <f>"Last Rebasing Year (" &amp; RebaseYear &amp; " OEB-Approved)"</f>
        <v>Last Rebasing Year (2011 OEB-Approved)</v>
      </c>
      <c r="C13" s="917" t="str">
        <f>"Last Rebasing Year (" &amp; RebaseYear &amp; " Actuals)"</f>
        <v>Last Rebasing Year (2011 Actuals)</v>
      </c>
      <c r="D13" s="917" t="str">
        <f>BridgeYear -3 &amp; " Actuals"</f>
        <v>2012 Actuals</v>
      </c>
      <c r="E13" s="917" t="str">
        <f>BridgeYear -2 &amp; " Actuals"</f>
        <v>2013 Actuals</v>
      </c>
      <c r="F13" s="917" t="str">
        <f>BridgeYear -1 &amp; " Actuals"</f>
        <v>2014 Actuals</v>
      </c>
      <c r="G13" s="917" t="str">
        <f>BridgeYear &amp; " Bridge Year"</f>
        <v>2015 Bridge Year</v>
      </c>
      <c r="H13" s="918" t="str">
        <f>TestYear &amp; " Test Year"</f>
        <v>2016 Test Year</v>
      </c>
      <c r="I13" s="918" t="str">
        <f>"Variance 
(Test Year vs. " &amp; F13 &amp;")"</f>
        <v>Variance 
(Test Year vs. 2014 Actuals)</v>
      </c>
      <c r="J13" s="918" t="str">
        <f>"Variance 
(Test Year vs. " &amp; B13</f>
        <v>Variance 
(Test Year vs. Last Rebasing Year (2011 OEB-Approved)</v>
      </c>
    </row>
    <row r="14" spans="1:10" ht="13.5" thickBot="1" x14ac:dyDescent="0.25">
      <c r="A14" s="920" t="s">
        <v>150</v>
      </c>
      <c r="B14" s="921" t="s">
        <v>151</v>
      </c>
      <c r="C14" s="921" t="s">
        <v>151</v>
      </c>
      <c r="D14" s="921" t="s">
        <v>151</v>
      </c>
      <c r="E14" s="921" t="s">
        <v>152</v>
      </c>
      <c r="F14" s="921" t="s">
        <v>152</v>
      </c>
      <c r="G14" s="921" t="s">
        <v>152</v>
      </c>
      <c r="H14" s="921" t="s">
        <v>152</v>
      </c>
      <c r="I14" s="921"/>
      <c r="J14" s="921"/>
    </row>
    <row r="15" spans="1:10" x14ac:dyDescent="0.2">
      <c r="A15" s="1759" t="s">
        <v>161</v>
      </c>
      <c r="B15" s="1716"/>
      <c r="C15" s="1716"/>
      <c r="D15" s="1716"/>
      <c r="E15" s="1716"/>
      <c r="F15" s="1716"/>
      <c r="G15" s="1716"/>
      <c r="H15" s="1716"/>
      <c r="I15" s="1716"/>
      <c r="J15" s="1716"/>
    </row>
    <row r="16" spans="1:10" x14ac:dyDescent="0.2">
      <c r="A16" s="260" t="s">
        <v>2278</v>
      </c>
      <c r="B16" s="1581">
        <v>357898</v>
      </c>
      <c r="C16" s="1717">
        <v>248976</v>
      </c>
      <c r="D16" s="1717">
        <v>260967</v>
      </c>
      <c r="E16" s="1717">
        <v>270236</v>
      </c>
      <c r="F16" s="1717">
        <v>325163</v>
      </c>
      <c r="G16" s="1717">
        <v>333000</v>
      </c>
      <c r="H16" s="1717">
        <v>345000</v>
      </c>
      <c r="I16" s="1761">
        <f t="shared" ref="I16:I22" si="0">H16-F16</f>
        <v>19837</v>
      </c>
      <c r="J16" s="1761">
        <f t="shared" ref="J16:J22" si="1">H16-B16</f>
        <v>-12898</v>
      </c>
    </row>
    <row r="17" spans="1:10" x14ac:dyDescent="0.2">
      <c r="A17" s="260" t="s">
        <v>2276</v>
      </c>
      <c r="B17" s="261">
        <v>99495</v>
      </c>
      <c r="C17" s="261">
        <v>75762</v>
      </c>
      <c r="D17" s="261">
        <v>134251</v>
      </c>
      <c r="E17" s="261">
        <v>72545</v>
      </c>
      <c r="F17" s="261">
        <v>43708</v>
      </c>
      <c r="G17" s="261">
        <v>74775</v>
      </c>
      <c r="H17" s="261">
        <v>109154</v>
      </c>
      <c r="I17" s="1761">
        <f t="shared" si="0"/>
        <v>65446</v>
      </c>
      <c r="J17" s="1761">
        <f t="shared" si="1"/>
        <v>9659</v>
      </c>
    </row>
    <row r="18" spans="1:10" x14ac:dyDescent="0.2">
      <c r="A18" s="260" t="s">
        <v>2321</v>
      </c>
      <c r="B18" s="261">
        <v>87546</v>
      </c>
      <c r="C18" s="261">
        <v>161565</v>
      </c>
      <c r="D18" s="261">
        <v>169116</v>
      </c>
      <c r="E18" s="261">
        <v>200206</v>
      </c>
      <c r="F18" s="261">
        <v>94900</v>
      </c>
      <c r="G18" s="261"/>
      <c r="H18" s="261"/>
      <c r="I18" s="1761">
        <f t="shared" si="0"/>
        <v>-94900</v>
      </c>
      <c r="J18" s="1761">
        <f t="shared" si="1"/>
        <v>-87546</v>
      </c>
    </row>
    <row r="19" spans="1:10" x14ac:dyDescent="0.2">
      <c r="A19" s="260" t="s">
        <v>2277</v>
      </c>
      <c r="B19" s="1581"/>
      <c r="C19" s="1717">
        <v>0</v>
      </c>
      <c r="D19" s="1717">
        <v>0</v>
      </c>
      <c r="E19" s="1717">
        <v>827369</v>
      </c>
      <c r="F19" s="1717">
        <v>929273</v>
      </c>
      <c r="G19" s="1717">
        <v>1070353.5515000001</v>
      </c>
      <c r="H19" s="1717">
        <v>1145335.45</v>
      </c>
      <c r="I19" s="1761">
        <f t="shared" si="0"/>
        <v>216062.44999999995</v>
      </c>
      <c r="J19" s="1761">
        <f t="shared" si="1"/>
        <v>1145335.45</v>
      </c>
    </row>
    <row r="20" spans="1:10" x14ac:dyDescent="0.2">
      <c r="A20" s="260" t="s">
        <v>2261</v>
      </c>
      <c r="B20" s="261"/>
      <c r="C20" s="261">
        <v>0</v>
      </c>
      <c r="D20" s="261">
        <v>0</v>
      </c>
      <c r="E20" s="261">
        <v>0</v>
      </c>
      <c r="F20" s="261">
        <v>6884</v>
      </c>
      <c r="G20" s="261">
        <v>156501</v>
      </c>
      <c r="H20" s="261">
        <v>150000</v>
      </c>
      <c r="I20" s="1761">
        <f t="shared" si="0"/>
        <v>143116</v>
      </c>
      <c r="J20" s="1761">
        <f t="shared" si="1"/>
        <v>150000</v>
      </c>
    </row>
    <row r="21" spans="1:10" x14ac:dyDescent="0.2">
      <c r="A21" s="260" t="s">
        <v>2322</v>
      </c>
      <c r="B21" s="261">
        <v>178657</v>
      </c>
      <c r="C21" s="261">
        <v>129048.83999999998</v>
      </c>
      <c r="D21" s="261">
        <v>237892.43</v>
      </c>
      <c r="E21" s="261">
        <v>384523.1</v>
      </c>
      <c r="F21" s="261">
        <v>346438.68</v>
      </c>
      <c r="G21" s="261">
        <v>435349</v>
      </c>
      <c r="H21" s="261">
        <v>448581</v>
      </c>
      <c r="I21" s="1761">
        <f t="shared" si="0"/>
        <v>102142.32</v>
      </c>
      <c r="J21" s="1761">
        <f t="shared" si="1"/>
        <v>269924</v>
      </c>
    </row>
    <row r="22" spans="1:10" x14ac:dyDescent="0.2">
      <c r="A22" s="260" t="s">
        <v>2279</v>
      </c>
      <c r="B22" s="1581">
        <v>196386</v>
      </c>
      <c r="C22" s="1717">
        <v>259853</v>
      </c>
      <c r="D22" s="1717">
        <v>253966</v>
      </c>
      <c r="E22" s="1717">
        <v>194746</v>
      </c>
      <c r="F22" s="1717">
        <v>286277</v>
      </c>
      <c r="G22" s="1717">
        <v>281999</v>
      </c>
      <c r="H22" s="1717">
        <v>258634</v>
      </c>
      <c r="I22" s="1761">
        <f t="shared" si="0"/>
        <v>-27643</v>
      </c>
      <c r="J22" s="1761">
        <f t="shared" si="1"/>
        <v>62248</v>
      </c>
    </row>
    <row r="23" spans="1:10" x14ac:dyDescent="0.2">
      <c r="A23" s="1586" t="s">
        <v>268</v>
      </c>
      <c r="B23" s="1760">
        <v>919982</v>
      </c>
      <c r="C23" s="1760">
        <v>875204.84</v>
      </c>
      <c r="D23" s="1760">
        <v>1056192.43</v>
      </c>
      <c r="E23" s="1760">
        <v>1949625.1</v>
      </c>
      <c r="F23" s="1760">
        <v>2032643.68</v>
      </c>
      <c r="G23" s="1760">
        <v>2351977.5515000001</v>
      </c>
      <c r="H23" s="1760">
        <v>2456704.4500000002</v>
      </c>
      <c r="I23" s="1761">
        <f t="shared" ref="I23" si="2">H23-F23</f>
        <v>424060.77000000025</v>
      </c>
      <c r="J23" s="1761">
        <f>H23-B23</f>
        <v>1536722.4500000002</v>
      </c>
    </row>
    <row r="24" spans="1:10" x14ac:dyDescent="0.2">
      <c r="A24" s="260"/>
      <c r="B24" s="958"/>
      <c r="C24" s="958"/>
      <c r="D24" s="958"/>
      <c r="E24" s="958"/>
      <c r="F24" s="958"/>
      <c r="G24" s="958"/>
      <c r="H24" s="958"/>
      <c r="I24" s="957"/>
      <c r="J24" s="957"/>
    </row>
    <row r="25" spans="1:10" x14ac:dyDescent="0.2">
      <c r="A25" s="1759" t="s">
        <v>162</v>
      </c>
      <c r="B25" s="1584"/>
      <c r="C25" s="1718"/>
      <c r="D25" s="1718"/>
      <c r="E25" s="1718"/>
      <c r="F25" s="1718"/>
      <c r="G25" s="1718"/>
      <c r="H25" s="1718"/>
      <c r="I25" s="957"/>
      <c r="J25" s="957"/>
    </row>
    <row r="26" spans="1:10" x14ac:dyDescent="0.2">
      <c r="A26" s="260" t="s">
        <v>2258</v>
      </c>
      <c r="B26" s="261">
        <v>0</v>
      </c>
      <c r="C26" s="261">
        <v>15940.68</v>
      </c>
      <c r="D26" s="261">
        <v>61243.61</v>
      </c>
      <c r="E26" s="261">
        <v>77425.850000000006</v>
      </c>
      <c r="F26" s="261">
        <v>43089.829999999994</v>
      </c>
      <c r="G26" s="261">
        <v>22650.999999999996</v>
      </c>
      <c r="H26" s="261">
        <v>20580</v>
      </c>
      <c r="I26" s="1762">
        <f t="shared" ref="I26:I31" si="3">H26-F26</f>
        <v>-22509.829999999994</v>
      </c>
      <c r="J26" s="1762">
        <f t="shared" ref="J26:J31" si="4">H26-B26</f>
        <v>20580</v>
      </c>
    </row>
    <row r="27" spans="1:10" x14ac:dyDescent="0.2">
      <c r="A27" s="260" t="s">
        <v>2280</v>
      </c>
      <c r="B27" s="958">
        <v>391153</v>
      </c>
      <c r="C27" s="958">
        <v>347347.87</v>
      </c>
      <c r="D27" s="958">
        <v>448577.06999999989</v>
      </c>
      <c r="E27" s="958">
        <v>484215.32000000007</v>
      </c>
      <c r="F27" s="958">
        <v>637840.46</v>
      </c>
      <c r="G27" s="958">
        <f>450288+72784</f>
        <v>523072</v>
      </c>
      <c r="H27" s="958">
        <f>461346+77599</f>
        <v>538945</v>
      </c>
      <c r="I27" s="1762">
        <f t="shared" si="3"/>
        <v>-98895.459999999963</v>
      </c>
      <c r="J27" s="1762">
        <f t="shared" si="4"/>
        <v>147792</v>
      </c>
    </row>
    <row r="28" spans="1:10" x14ac:dyDescent="0.2">
      <c r="A28" s="260" t="s">
        <v>2281</v>
      </c>
      <c r="B28" s="1584">
        <v>279856</v>
      </c>
      <c r="C28" s="1718">
        <v>284866.46000000002</v>
      </c>
      <c r="D28" s="1718">
        <v>213231.22999999998</v>
      </c>
      <c r="E28" s="1718">
        <v>202592.35000000003</v>
      </c>
      <c r="F28" s="1718">
        <v>264438.33000000007</v>
      </c>
      <c r="G28" s="1718">
        <v>216988.45</v>
      </c>
      <c r="H28" s="1718">
        <v>225746</v>
      </c>
      <c r="I28" s="1762">
        <f t="shared" si="3"/>
        <v>-38692.330000000075</v>
      </c>
      <c r="J28" s="1762">
        <f t="shared" si="4"/>
        <v>-54110</v>
      </c>
    </row>
    <row r="29" spans="1:10" x14ac:dyDescent="0.2">
      <c r="A29" s="260" t="s">
        <v>2282</v>
      </c>
      <c r="B29" s="261">
        <v>133829</v>
      </c>
      <c r="C29" s="261">
        <v>114087.71999999997</v>
      </c>
      <c r="D29" s="261">
        <v>81639.03</v>
      </c>
      <c r="E29" s="261">
        <v>22071.360000000001</v>
      </c>
      <c r="F29" s="261">
        <v>50594.37</v>
      </c>
      <c r="G29" s="261">
        <v>39010</v>
      </c>
      <c r="H29" s="261">
        <v>21714</v>
      </c>
      <c r="I29" s="1762">
        <f t="shared" si="3"/>
        <v>-28880.370000000003</v>
      </c>
      <c r="J29" s="1762">
        <f t="shared" si="4"/>
        <v>-112115</v>
      </c>
    </row>
    <row r="30" spans="1:10" x14ac:dyDescent="0.2">
      <c r="A30" s="260" t="s">
        <v>2262</v>
      </c>
      <c r="B30" s="261">
        <v>171940</v>
      </c>
      <c r="C30" s="261">
        <v>417802</v>
      </c>
      <c r="D30" s="261">
        <v>349236</v>
      </c>
      <c r="E30" s="261">
        <v>315038</v>
      </c>
      <c r="F30" s="261">
        <v>473021</v>
      </c>
      <c r="G30" s="261">
        <v>520184</v>
      </c>
      <c r="H30" s="261">
        <f>548722</f>
        <v>548722</v>
      </c>
      <c r="I30" s="1762">
        <f t="shared" si="3"/>
        <v>75701</v>
      </c>
      <c r="J30" s="1762">
        <f t="shared" si="4"/>
        <v>376782</v>
      </c>
    </row>
    <row r="31" spans="1:10" customFormat="1" x14ac:dyDescent="0.2">
      <c r="A31" s="260" t="s">
        <v>2263</v>
      </c>
      <c r="B31" s="1584"/>
      <c r="C31" s="1718"/>
      <c r="D31" s="1718"/>
      <c r="E31" s="1718">
        <v>500000</v>
      </c>
      <c r="F31" s="1718">
        <v>-500000</v>
      </c>
      <c r="G31" s="1718"/>
      <c r="H31" s="1718"/>
      <c r="I31" s="1762">
        <f t="shared" si="3"/>
        <v>500000</v>
      </c>
      <c r="J31" s="1762">
        <f t="shared" si="4"/>
        <v>0</v>
      </c>
    </row>
    <row r="32" spans="1:10" customFormat="1" x14ac:dyDescent="0.2">
      <c r="A32" s="1586" t="s">
        <v>268</v>
      </c>
      <c r="B32" s="1722">
        <v>976778</v>
      </c>
      <c r="C32" s="1722">
        <v>1180044.73</v>
      </c>
      <c r="D32" s="1722">
        <v>1153926.94</v>
      </c>
      <c r="E32" s="1722">
        <v>1601342.88</v>
      </c>
      <c r="F32" s="1722">
        <v>968983.99</v>
      </c>
      <c r="G32" s="1722">
        <f>SUM(G26:G31)</f>
        <v>1321905.45</v>
      </c>
      <c r="H32" s="1722">
        <f>SUM(H26:H31)</f>
        <v>1355707</v>
      </c>
      <c r="I32" s="1762">
        <f t="shared" ref="I32" si="5">H32-F32</f>
        <v>386723.01</v>
      </c>
      <c r="J32" s="1762">
        <f>H32-B32</f>
        <v>378929</v>
      </c>
    </row>
    <row r="33" spans="1:10" customFormat="1" x14ac:dyDescent="0.2">
      <c r="A33" s="1579"/>
      <c r="B33" s="1581"/>
      <c r="C33" s="1581"/>
      <c r="D33" s="1581"/>
      <c r="E33" s="1581"/>
      <c r="F33" s="1581"/>
      <c r="G33" s="1581"/>
      <c r="H33" s="1581"/>
      <c r="I33" s="1721"/>
      <c r="J33" s="1721"/>
    </row>
    <row r="34" spans="1:10" customFormat="1" x14ac:dyDescent="0.2">
      <c r="A34" s="1759" t="s">
        <v>2323</v>
      </c>
      <c r="B34" s="1584"/>
      <c r="C34" s="1718"/>
      <c r="D34" s="1718"/>
      <c r="E34" s="1718"/>
      <c r="F34" s="1718"/>
      <c r="G34" s="1718"/>
      <c r="H34" s="1718"/>
      <c r="I34" s="1719"/>
      <c r="J34" s="1719"/>
    </row>
    <row r="35" spans="1:10" customFormat="1" x14ac:dyDescent="0.2">
      <c r="A35" s="260" t="s">
        <v>2273</v>
      </c>
      <c r="B35" s="1581">
        <v>316859</v>
      </c>
      <c r="C35" s="1581">
        <v>244004</v>
      </c>
      <c r="D35" s="1581">
        <v>265025</v>
      </c>
      <c r="E35" s="1581">
        <v>271074</v>
      </c>
      <c r="F35" s="1581">
        <v>269882</v>
      </c>
      <c r="G35" s="1581">
        <v>350690.82</v>
      </c>
      <c r="H35" s="1581">
        <v>187811.766</v>
      </c>
      <c r="I35" s="1762">
        <f t="shared" ref="I35:I37" si="6">H35-F35</f>
        <v>-82070.233999999997</v>
      </c>
      <c r="J35" s="1762">
        <f t="shared" ref="J35:J37" si="7">H35-B35</f>
        <v>-129047.234</v>
      </c>
    </row>
    <row r="36" spans="1:10" customFormat="1" x14ac:dyDescent="0.2">
      <c r="A36" s="260" t="s">
        <v>2324</v>
      </c>
      <c r="B36" s="1581">
        <v>1451829</v>
      </c>
      <c r="C36" s="1581">
        <v>1388056</v>
      </c>
      <c r="D36" s="1581">
        <v>1497221</v>
      </c>
      <c r="E36" s="1581">
        <v>1589135</v>
      </c>
      <c r="F36" s="1581">
        <v>1748998</v>
      </c>
      <c r="G36" s="1581">
        <v>1886163.3353670759</v>
      </c>
      <c r="H36" s="1581">
        <f>1952286.84551451+135000</f>
        <v>2087286.8455145101</v>
      </c>
      <c r="I36" s="1762">
        <f t="shared" si="6"/>
        <v>338288.84551451006</v>
      </c>
      <c r="J36" s="1762">
        <f t="shared" si="7"/>
        <v>635457.84551451006</v>
      </c>
    </row>
    <row r="37" spans="1:10" customFormat="1" x14ac:dyDescent="0.2">
      <c r="A37" s="260" t="s">
        <v>2325</v>
      </c>
      <c r="B37" s="1584">
        <v>50000</v>
      </c>
      <c r="C37" s="1718">
        <v>28230.51</v>
      </c>
      <c r="D37" s="1718">
        <v>43358.95</v>
      </c>
      <c r="E37" s="1718">
        <v>52293.41</v>
      </c>
      <c r="F37" s="1718">
        <v>52311.73</v>
      </c>
      <c r="G37" s="1718">
        <v>52000</v>
      </c>
      <c r="H37" s="1718">
        <v>54600</v>
      </c>
      <c r="I37" s="1762">
        <f t="shared" si="6"/>
        <v>2288.2699999999968</v>
      </c>
      <c r="J37" s="1762">
        <f t="shared" si="7"/>
        <v>4600</v>
      </c>
    </row>
    <row r="38" spans="1:10" customFormat="1" x14ac:dyDescent="0.2">
      <c r="A38" s="1586" t="s">
        <v>268</v>
      </c>
      <c r="B38" s="1722">
        <v>1818688</v>
      </c>
      <c r="C38" s="1722">
        <v>1660290.51</v>
      </c>
      <c r="D38" s="1722">
        <v>1805604.95</v>
      </c>
      <c r="E38" s="1722">
        <v>1912502.41</v>
      </c>
      <c r="F38" s="1722">
        <v>2071191.73</v>
      </c>
      <c r="G38" s="1722">
        <f>SUM(G35:G37)</f>
        <v>2288854.1553670759</v>
      </c>
      <c r="H38" s="1722">
        <f>SUM(H35:H37)</f>
        <v>2329698.6115145101</v>
      </c>
      <c r="I38" s="1762">
        <f t="shared" ref="I38" si="8">H38-F38</f>
        <v>258506.88151451014</v>
      </c>
      <c r="J38" s="1762">
        <f>H38-B38</f>
        <v>511010.61151451012</v>
      </c>
    </row>
    <row r="39" spans="1:10" customFormat="1" x14ac:dyDescent="0.2">
      <c r="A39" s="1579"/>
      <c r="B39" s="1581"/>
      <c r="C39" s="1581"/>
      <c r="D39" s="1581"/>
      <c r="E39" s="1581"/>
      <c r="F39" s="1581"/>
      <c r="G39" s="1581"/>
      <c r="H39" s="1581"/>
      <c r="I39" s="1720"/>
      <c r="J39" s="1720"/>
    </row>
    <row r="40" spans="1:10" customFormat="1" x14ac:dyDescent="0.2">
      <c r="A40" s="1759" t="s">
        <v>2183</v>
      </c>
      <c r="B40" s="1581"/>
      <c r="C40" s="1581"/>
      <c r="D40" s="1581"/>
      <c r="E40" s="1581"/>
      <c r="F40" s="1581"/>
      <c r="G40" s="1581"/>
      <c r="H40" s="1581"/>
      <c r="I40" s="1720"/>
      <c r="J40" s="1720"/>
    </row>
    <row r="41" spans="1:10" customFormat="1" x14ac:dyDescent="0.2">
      <c r="A41" s="260" t="s">
        <v>2326</v>
      </c>
      <c r="B41" s="1584">
        <v>1385636</v>
      </c>
      <c r="C41" s="1718">
        <v>1386416.25</v>
      </c>
      <c r="D41" s="1718">
        <v>1482912.4900000002</v>
      </c>
      <c r="E41" s="1718">
        <v>1672283.37</v>
      </c>
      <c r="F41" s="1718">
        <v>1753229.37</v>
      </c>
      <c r="G41" s="1718">
        <v>2228240.7800000003</v>
      </c>
      <c r="H41" s="1718">
        <f>2386847.642</f>
        <v>2386847.642</v>
      </c>
      <c r="I41" s="1762">
        <f t="shared" ref="I41:I46" si="9">H41-F41</f>
        <v>633618.27199999988</v>
      </c>
      <c r="J41" s="1762">
        <f t="shared" ref="J41:J46" si="10">H41-B41</f>
        <v>1001211.642</v>
      </c>
    </row>
    <row r="42" spans="1:10" customFormat="1" x14ac:dyDescent="0.2">
      <c r="A42" s="260" t="s">
        <v>2274</v>
      </c>
      <c r="B42" s="1581">
        <v>331203</v>
      </c>
      <c r="C42" s="1581">
        <v>366881</v>
      </c>
      <c r="D42" s="1581">
        <v>377144</v>
      </c>
      <c r="E42" s="1581">
        <v>396600</v>
      </c>
      <c r="F42" s="1581">
        <v>516665</v>
      </c>
      <c r="G42" s="1581">
        <v>482846</v>
      </c>
      <c r="H42" s="1581">
        <v>500906</v>
      </c>
      <c r="I42" s="1762">
        <f t="shared" si="9"/>
        <v>-15759</v>
      </c>
      <c r="J42" s="1762">
        <f t="shared" si="10"/>
        <v>169703</v>
      </c>
    </row>
    <row r="43" spans="1:10" customFormat="1" x14ac:dyDescent="0.2">
      <c r="A43" s="260" t="s">
        <v>2327</v>
      </c>
      <c r="B43" s="1581">
        <v>240912</v>
      </c>
      <c r="C43" s="1581">
        <v>262801.03999999998</v>
      </c>
      <c r="D43" s="1581">
        <v>254196.96</v>
      </c>
      <c r="E43" s="1581">
        <v>265755.63</v>
      </c>
      <c r="F43" s="1581">
        <v>445952.33</v>
      </c>
      <c r="G43" s="1581">
        <v>580062.96224999998</v>
      </c>
      <c r="H43" s="1581">
        <v>414637.99936249992</v>
      </c>
      <c r="I43" s="1762">
        <f t="shared" si="9"/>
        <v>-31314.330637500098</v>
      </c>
      <c r="J43" s="1762">
        <f t="shared" si="10"/>
        <v>173725.99936249992</v>
      </c>
    </row>
    <row r="44" spans="1:10" customFormat="1" x14ac:dyDescent="0.2">
      <c r="A44" s="260" t="s">
        <v>2328</v>
      </c>
      <c r="B44" s="1584">
        <v>349055</v>
      </c>
      <c r="C44" s="1718">
        <v>342916.42</v>
      </c>
      <c r="D44" s="1718">
        <v>388083.76</v>
      </c>
      <c r="E44" s="1718">
        <v>392102.31</v>
      </c>
      <c r="F44" s="1718">
        <v>359358.92</v>
      </c>
      <c r="G44" s="1718">
        <v>328664.47935483867</v>
      </c>
      <c r="H44" s="1718">
        <v>0</v>
      </c>
      <c r="I44" s="1762">
        <f t="shared" si="9"/>
        <v>-359358.92</v>
      </c>
      <c r="J44" s="1762">
        <f t="shared" si="10"/>
        <v>-349055</v>
      </c>
    </row>
    <row r="45" spans="1:10" customFormat="1" x14ac:dyDescent="0.2">
      <c r="A45" s="260" t="s">
        <v>2329</v>
      </c>
      <c r="B45" s="1581">
        <v>144406</v>
      </c>
      <c r="C45" s="1581">
        <v>143743.89000000001</v>
      </c>
      <c r="D45" s="1581">
        <v>91526.54</v>
      </c>
      <c r="E45" s="1581">
        <v>86193.53</v>
      </c>
      <c r="F45" s="1581">
        <v>113107</v>
      </c>
      <c r="G45" s="1581">
        <v>99000</v>
      </c>
      <c r="H45" s="1581">
        <v>245260.00000000003</v>
      </c>
      <c r="I45" s="1762">
        <f t="shared" si="9"/>
        <v>132153.00000000003</v>
      </c>
      <c r="J45" s="1762">
        <f t="shared" si="10"/>
        <v>100854.00000000003</v>
      </c>
    </row>
    <row r="46" spans="1:10" customFormat="1" x14ac:dyDescent="0.2">
      <c r="A46" s="260" t="s">
        <v>2275</v>
      </c>
      <c r="B46" s="1581">
        <v>122661</v>
      </c>
      <c r="C46" s="1581">
        <v>173444</v>
      </c>
      <c r="D46" s="1581">
        <v>149154</v>
      </c>
      <c r="E46" s="1581">
        <v>147816</v>
      </c>
      <c r="F46" s="1581">
        <v>263086</v>
      </c>
      <c r="G46" s="1581">
        <f>424619.01943825-97039</f>
        <v>327580.01943824999</v>
      </c>
      <c r="H46" s="1581">
        <f>406153.3048+6461+1</f>
        <v>412615.30479999998</v>
      </c>
      <c r="I46" s="1762">
        <f t="shared" si="9"/>
        <v>149529.30479999998</v>
      </c>
      <c r="J46" s="1762">
        <f t="shared" si="10"/>
        <v>289954.30479999998</v>
      </c>
    </row>
    <row r="47" spans="1:10" customFormat="1" x14ac:dyDescent="0.2">
      <c r="A47" s="1591" t="s">
        <v>268</v>
      </c>
      <c r="B47" s="1763">
        <v>2573873</v>
      </c>
      <c r="C47" s="1764">
        <v>2676202.6</v>
      </c>
      <c r="D47" s="1764">
        <v>2743017.75</v>
      </c>
      <c r="E47" s="1764">
        <v>2960750.84</v>
      </c>
      <c r="F47" s="1764">
        <v>3451398.62</v>
      </c>
      <c r="G47" s="1764">
        <f>SUM(G41:G46)</f>
        <v>4046394.241043089</v>
      </c>
      <c r="H47" s="1764">
        <f>SUM(H41:H46)</f>
        <v>3960266.9461625</v>
      </c>
      <c r="I47" s="1762">
        <f t="shared" ref="I47" si="11">H47-F47</f>
        <v>508868.32616249984</v>
      </c>
      <c r="J47" s="1762">
        <f>H47-B47</f>
        <v>1386393.9461625</v>
      </c>
    </row>
    <row r="48" spans="1:10" customFormat="1" x14ac:dyDescent="0.2">
      <c r="A48" s="1579"/>
      <c r="B48" s="1581"/>
      <c r="C48" s="1581"/>
      <c r="D48" s="1581"/>
      <c r="E48" s="1581"/>
      <c r="F48" s="1581"/>
      <c r="G48" s="1581"/>
      <c r="H48" s="1581"/>
      <c r="I48" s="1720">
        <f t="shared" ref="I48:I49" si="12">H48-F48</f>
        <v>0</v>
      </c>
      <c r="J48" s="1720">
        <f>H48-B48</f>
        <v>0</v>
      </c>
    </row>
    <row r="49" spans="1:10" customFormat="1" x14ac:dyDescent="0.2">
      <c r="A49" s="1591" t="s">
        <v>267</v>
      </c>
      <c r="B49" s="1722">
        <v>10679</v>
      </c>
      <c r="C49" s="1722">
        <v>5020</v>
      </c>
      <c r="D49" s="1722">
        <v>3250</v>
      </c>
      <c r="E49" s="1722">
        <v>11752</v>
      </c>
      <c r="F49" s="1722">
        <v>19679</v>
      </c>
      <c r="G49" s="1722">
        <v>19755</v>
      </c>
      <c r="H49" s="1722">
        <v>20071</v>
      </c>
      <c r="I49" s="1762">
        <f t="shared" si="12"/>
        <v>392</v>
      </c>
      <c r="J49" s="1762">
        <f>H49-B49</f>
        <v>9392</v>
      </c>
    </row>
    <row r="50" spans="1:10" customFormat="1" ht="13.5" thickBot="1" x14ac:dyDescent="0.25">
      <c r="A50" s="1591"/>
      <c r="B50" s="1584"/>
      <c r="C50" s="1718"/>
      <c r="D50" s="1718"/>
      <c r="E50" s="1718"/>
      <c r="F50" s="1718"/>
      <c r="G50" s="1718"/>
      <c r="H50" s="1718"/>
      <c r="I50" s="1719"/>
      <c r="J50" s="1719"/>
    </row>
    <row r="51" spans="1:10" ht="14.25" thickTop="1" thickBot="1" x14ac:dyDescent="0.25">
      <c r="A51" s="262" t="s">
        <v>388</v>
      </c>
      <c r="B51" s="262">
        <f>+B49+B47+B38+B32+B23</f>
        <v>6300000</v>
      </c>
      <c r="C51" s="262">
        <f t="shared" ref="C51:J51" si="13">+C49+C47+C38+C32+C23</f>
        <v>6396762.6799999997</v>
      </c>
      <c r="D51" s="262">
        <f t="shared" si="13"/>
        <v>6761992.0700000003</v>
      </c>
      <c r="E51" s="262">
        <f t="shared" si="13"/>
        <v>8435973.2300000004</v>
      </c>
      <c r="F51" s="262">
        <f t="shared" si="13"/>
        <v>8543897.0199999996</v>
      </c>
      <c r="G51" s="262">
        <f t="shared" si="13"/>
        <v>10028886.397910167</v>
      </c>
      <c r="H51" s="262">
        <f t="shared" si="13"/>
        <v>10122448.007677011</v>
      </c>
      <c r="I51" s="262">
        <f t="shared" si="13"/>
        <v>1578550.9876770102</v>
      </c>
      <c r="J51" s="262">
        <f t="shared" si="13"/>
        <v>3822448.0076770103</v>
      </c>
    </row>
    <row r="53" spans="1:10" x14ac:dyDescent="0.2">
      <c r="A53" s="263" t="s">
        <v>13</v>
      </c>
      <c r="G53" s="264"/>
    </row>
    <row r="55" spans="1:10" ht="27.75" customHeight="1" x14ac:dyDescent="0.2">
      <c r="A55" s="2120" t="s">
        <v>1398</v>
      </c>
      <c r="B55" s="2120"/>
      <c r="C55" s="2120"/>
      <c r="D55" s="2120"/>
      <c r="E55" s="2120"/>
      <c r="F55" s="2120"/>
      <c r="G55" s="2120"/>
      <c r="H55" s="2120"/>
      <c r="I55" s="2120"/>
    </row>
    <row r="56" spans="1:10" ht="15" customHeight="1" x14ac:dyDescent="0.2">
      <c r="A56" s="2120" t="s">
        <v>1503</v>
      </c>
      <c r="B56" s="2120"/>
      <c r="C56" s="2120"/>
      <c r="D56" s="2120"/>
      <c r="E56" s="2120"/>
      <c r="F56" s="2120"/>
      <c r="G56" s="2120"/>
      <c r="H56" s="2120"/>
      <c r="I56" s="2120"/>
    </row>
    <row r="57" spans="1:10" ht="27" customHeight="1" x14ac:dyDescent="0.2">
      <c r="A57" s="2120"/>
      <c r="B57" s="2239"/>
      <c r="C57" s="2239"/>
      <c r="D57" s="2239"/>
      <c r="E57" s="2239"/>
      <c r="F57" s="2239"/>
      <c r="G57" s="2239"/>
      <c r="H57" s="2239"/>
    </row>
    <row r="59" spans="1:10" x14ac:dyDescent="0.2">
      <c r="A59" s="2238"/>
      <c r="B59" s="2238"/>
      <c r="C59" s="2238"/>
      <c r="D59" s="2238"/>
      <c r="E59" s="2238"/>
      <c r="F59" s="2238"/>
      <c r="G59" s="2238"/>
      <c r="H59" s="2238"/>
      <c r="I59" s="2238"/>
    </row>
    <row r="60" spans="1:10" x14ac:dyDescent="0.2">
      <c r="A60" s="2238"/>
      <c r="B60" s="2238"/>
      <c r="C60" s="2238"/>
      <c r="D60" s="2238"/>
      <c r="E60" s="2238"/>
      <c r="F60" s="2238"/>
      <c r="G60" s="2238"/>
      <c r="H60" s="2238"/>
      <c r="I60" s="2238"/>
    </row>
    <row r="62" spans="1:10" x14ac:dyDescent="0.2">
      <c r="A62" s="252"/>
    </row>
  </sheetData>
  <mergeCells count="7">
    <mergeCell ref="A10:J10"/>
    <mergeCell ref="A9:J9"/>
    <mergeCell ref="A59:I60"/>
    <mergeCell ref="A12:H12"/>
    <mergeCell ref="A57:H57"/>
    <mergeCell ref="A55:I55"/>
    <mergeCell ref="A56:I56"/>
  </mergeCells>
  <dataValidations count="1">
    <dataValidation type="list" allowBlank="1" showInputMessage="1" showErrorMessage="1" sqref="B14:J15">
      <formula1>"CGAAP, MIFRS, USGAAP, ASPE"</formula1>
    </dataValidation>
  </dataValidations>
  <pageMargins left="0.74803149606299213" right="0.74803149606299213" top="0.98425196850393704" bottom="0.98425196850393704" header="0.51181102362204722" footer="0.51181102362204722"/>
  <pageSetup scale="78"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fitToPage="1"/>
  </sheetPr>
  <dimension ref="A1:I31"/>
  <sheetViews>
    <sheetView showGridLines="0" zoomScaleNormal="100" workbookViewId="0"/>
  </sheetViews>
  <sheetFormatPr defaultRowHeight="12.75" x14ac:dyDescent="0.2"/>
  <cols>
    <col min="1" max="1" width="36.7109375" style="61" customWidth="1"/>
    <col min="2" max="7" width="15.7109375" style="61" customWidth="1"/>
    <col min="8" max="8" width="13.28515625" style="61" customWidth="1"/>
    <col min="9" max="16384" width="9.140625" style="61"/>
  </cols>
  <sheetData>
    <row r="1" spans="1:9" x14ac:dyDescent="0.2">
      <c r="G1" s="715" t="s">
        <v>394</v>
      </c>
      <c r="H1" s="1513" t="str">
        <f>EBNUMBER</f>
        <v>EB-2015-0089</v>
      </c>
    </row>
    <row r="2" spans="1:9" x14ac:dyDescent="0.2">
      <c r="G2" s="715" t="s">
        <v>395</v>
      </c>
      <c r="H2" s="254">
        <v>4</v>
      </c>
    </row>
    <row r="3" spans="1:9" x14ac:dyDescent="0.2">
      <c r="G3" s="715" t="s">
        <v>396</v>
      </c>
      <c r="H3" s="254" t="s">
        <v>2456</v>
      </c>
    </row>
    <row r="4" spans="1:9" x14ac:dyDescent="0.2">
      <c r="G4" s="715" t="s">
        <v>397</v>
      </c>
      <c r="H4" s="254" t="s">
        <v>2413</v>
      </c>
    </row>
    <row r="5" spans="1:9" x14ac:dyDescent="0.2">
      <c r="G5" s="715" t="s">
        <v>398</v>
      </c>
      <c r="H5" s="255">
        <v>33</v>
      </c>
    </row>
    <row r="6" spans="1:9" ht="9" customHeight="1" x14ac:dyDescent="0.2">
      <c r="G6" s="715"/>
      <c r="H6" s="253"/>
    </row>
    <row r="7" spans="1:9" x14ac:dyDescent="0.2">
      <c r="G7" s="715" t="s">
        <v>399</v>
      </c>
      <c r="H7" s="1836" t="s">
        <v>2455</v>
      </c>
    </row>
    <row r="8" spans="1:9" ht="9" customHeight="1" x14ac:dyDescent="0.2"/>
    <row r="9" spans="1:9" ht="17.25" customHeight="1" x14ac:dyDescent="0.25">
      <c r="A9" s="1940" t="s">
        <v>328</v>
      </c>
      <c r="B9" s="1940"/>
      <c r="C9" s="1940"/>
      <c r="D9" s="1940"/>
      <c r="E9" s="1940"/>
      <c r="F9" s="1940"/>
      <c r="G9" s="1940"/>
      <c r="H9" s="1940"/>
    </row>
    <row r="10" spans="1:9" ht="18" x14ac:dyDescent="0.25">
      <c r="A10" s="1940" t="s">
        <v>2</v>
      </c>
      <c r="B10" s="1940"/>
      <c r="C10" s="1940"/>
      <c r="D10" s="1940"/>
      <c r="E10" s="1940"/>
      <c r="F10" s="1940"/>
      <c r="G10" s="1940"/>
      <c r="H10" s="1940"/>
    </row>
    <row r="11" spans="1:9" ht="9" customHeight="1" thickBot="1" x14ac:dyDescent="0.25"/>
    <row r="12" spans="1:9" ht="51.75" thickBot="1" x14ac:dyDescent="0.25">
      <c r="A12" s="959"/>
      <c r="B12" s="960" t="str">
        <f>"Last Rebasing Year - "&amp;RebaseYear&amp;"- Board Approved"</f>
        <v>Last Rebasing Year - 2011- Board Approved</v>
      </c>
      <c r="C12" s="960" t="str">
        <f>"Last Rebasing Year - "&amp;RebaseYear&amp;"-  Actual"</f>
        <v>Last Rebasing Year - 2011-  Actual</v>
      </c>
      <c r="D12" s="917" t="str">
        <f>BridgeYear -3 &amp; " Actuals"</f>
        <v>2012 Actuals</v>
      </c>
      <c r="E12" s="917" t="str">
        <f>BridgeYear -2 &amp; " Actuals"</f>
        <v>2013 Actuals</v>
      </c>
      <c r="F12" s="917" t="str">
        <f>BridgeYear -1 &amp; " Actuals"</f>
        <v>2014 Actuals</v>
      </c>
      <c r="G12" s="917" t="str">
        <f>BridgeYear &amp; " Bridge Year"</f>
        <v>2015 Bridge Year</v>
      </c>
      <c r="H12" s="918" t="str">
        <f>TestYear &amp; " Test Year"</f>
        <v>2016 Test Year</v>
      </c>
      <c r="I12" s="905"/>
    </row>
    <row r="13" spans="1:9" ht="14.25" x14ac:dyDescent="0.2">
      <c r="A13" s="2243" t="s">
        <v>141</v>
      </c>
      <c r="B13" s="2244"/>
      <c r="C13" s="2244"/>
      <c r="D13" s="2244"/>
      <c r="E13" s="2244"/>
      <c r="F13" s="2244"/>
      <c r="G13" s="2244"/>
      <c r="H13" s="2245"/>
    </row>
    <row r="14" spans="1:9" x14ac:dyDescent="0.2">
      <c r="A14" s="904" t="s">
        <v>931</v>
      </c>
      <c r="B14" s="1766">
        <v>18</v>
      </c>
      <c r="C14" s="1766">
        <v>17</v>
      </c>
      <c r="D14" s="1766">
        <v>18</v>
      </c>
      <c r="E14" s="1766">
        <v>19</v>
      </c>
      <c r="F14" s="1766">
        <v>19</v>
      </c>
      <c r="G14" s="1766">
        <v>23</v>
      </c>
      <c r="H14" s="1766">
        <v>23</v>
      </c>
    </row>
    <row r="15" spans="1:9" x14ac:dyDescent="0.2">
      <c r="A15" s="904" t="s">
        <v>932</v>
      </c>
      <c r="B15" s="1766">
        <f>33-2</f>
        <v>31</v>
      </c>
      <c r="C15" s="1766">
        <f>46-17</f>
        <v>29</v>
      </c>
      <c r="D15" s="1766">
        <f>48-18</f>
        <v>30</v>
      </c>
      <c r="E15" s="1766">
        <f>52-19</f>
        <v>33</v>
      </c>
      <c r="F15" s="1766">
        <v>33</v>
      </c>
      <c r="G15" s="1766">
        <v>36</v>
      </c>
      <c r="H15" s="1766">
        <v>38.5</v>
      </c>
    </row>
    <row r="16" spans="1:9" x14ac:dyDescent="0.2">
      <c r="A16" s="904" t="s">
        <v>388</v>
      </c>
      <c r="B16" s="1765">
        <f t="shared" ref="B16" si="0">SUM(B14:B15)</f>
        <v>49</v>
      </c>
      <c r="C16" s="1765">
        <f t="shared" ref="C16:H16" si="1">SUM(C14:C15)</f>
        <v>46</v>
      </c>
      <c r="D16" s="1765">
        <f t="shared" si="1"/>
        <v>48</v>
      </c>
      <c r="E16" s="1765">
        <f t="shared" si="1"/>
        <v>52</v>
      </c>
      <c r="F16" s="1765">
        <f t="shared" si="1"/>
        <v>52</v>
      </c>
      <c r="G16" s="1765">
        <f t="shared" si="1"/>
        <v>59</v>
      </c>
      <c r="H16" s="1765">
        <f t="shared" si="1"/>
        <v>61.5</v>
      </c>
    </row>
    <row r="17" spans="1:8" x14ac:dyDescent="0.2">
      <c r="A17" s="2240" t="s">
        <v>933</v>
      </c>
      <c r="B17" s="2241"/>
      <c r="C17" s="2241"/>
      <c r="D17" s="2241"/>
      <c r="E17" s="2241"/>
      <c r="F17" s="2241"/>
      <c r="G17" s="2241"/>
      <c r="H17" s="2242"/>
    </row>
    <row r="18" spans="1:8" x14ac:dyDescent="0.2">
      <c r="A18" s="904" t="s">
        <v>931</v>
      </c>
      <c r="B18" s="481">
        <v>1965522</v>
      </c>
      <c r="C18" s="1723">
        <v>1953244.31</v>
      </c>
      <c r="D18" s="1723">
        <v>2172665.85</v>
      </c>
      <c r="E18" s="1723">
        <v>2333609.3099999996</v>
      </c>
      <c r="F18" s="1723">
        <v>2524891.3399999994</v>
      </c>
      <c r="G18" s="1723">
        <v>2728936</v>
      </c>
      <c r="H18" s="481">
        <v>2835004</v>
      </c>
    </row>
    <row r="19" spans="1:8" x14ac:dyDescent="0.2">
      <c r="A19" s="904" t="s">
        <v>932</v>
      </c>
      <c r="B19" s="481">
        <v>1842833.2900000003</v>
      </c>
      <c r="C19" s="1723">
        <v>1959793.5199999998</v>
      </c>
      <c r="D19" s="1723">
        <v>2088708.1600000001</v>
      </c>
      <c r="E19" s="1723">
        <v>2252660.6700000004</v>
      </c>
      <c r="F19" s="1723">
        <v>2548169.6439999999</v>
      </c>
      <c r="G19" s="1723">
        <v>2689210</v>
      </c>
      <c r="H19" s="481">
        <v>2979967</v>
      </c>
    </row>
    <row r="20" spans="1:8" x14ac:dyDescent="0.2">
      <c r="A20" s="904" t="s">
        <v>388</v>
      </c>
      <c r="B20" s="961">
        <f t="shared" ref="B20:H20" si="2">SUM(B18:B19)</f>
        <v>3808355.29</v>
      </c>
      <c r="C20" s="961">
        <f t="shared" si="2"/>
        <v>3913037.83</v>
      </c>
      <c r="D20" s="961">
        <f t="shared" si="2"/>
        <v>4261374.01</v>
      </c>
      <c r="E20" s="961">
        <f t="shared" si="2"/>
        <v>4586269.9800000004</v>
      </c>
      <c r="F20" s="961">
        <f t="shared" si="2"/>
        <v>5073060.9839999992</v>
      </c>
      <c r="G20" s="961">
        <f t="shared" si="2"/>
        <v>5418146</v>
      </c>
      <c r="H20" s="961">
        <f t="shared" si="2"/>
        <v>5814971</v>
      </c>
    </row>
    <row r="21" spans="1:8" x14ac:dyDescent="0.2">
      <c r="A21" s="2240" t="s">
        <v>1</v>
      </c>
      <c r="B21" s="2241"/>
      <c r="C21" s="2241"/>
      <c r="D21" s="2241"/>
      <c r="E21" s="2241"/>
      <c r="F21" s="2241"/>
      <c r="G21" s="2241"/>
      <c r="H21" s="2242"/>
    </row>
    <row r="22" spans="1:8" x14ac:dyDescent="0.2">
      <c r="A22" s="904" t="s">
        <v>931</v>
      </c>
      <c r="B22" s="481">
        <v>379772</v>
      </c>
      <c r="C22" s="1723">
        <v>398185.39999999991</v>
      </c>
      <c r="D22" s="1723">
        <v>468401.91999999993</v>
      </c>
      <c r="E22" s="1723">
        <v>513418.20000000007</v>
      </c>
      <c r="F22" s="1723">
        <v>510349.78</v>
      </c>
      <c r="G22" s="1723">
        <v>589215.86000000022</v>
      </c>
      <c r="H22" s="481">
        <v>584561.53</v>
      </c>
    </row>
    <row r="23" spans="1:8" x14ac:dyDescent="0.2">
      <c r="A23" s="904" t="s">
        <v>932</v>
      </c>
      <c r="B23" s="481">
        <v>408783.88936681009</v>
      </c>
      <c r="C23" s="1723">
        <v>376851.6</v>
      </c>
      <c r="D23" s="1723">
        <v>442226.7699999999</v>
      </c>
      <c r="E23" s="1723">
        <v>470029.24</v>
      </c>
      <c r="F23" s="1723">
        <v>527264.72999999986</v>
      </c>
      <c r="G23" s="1723">
        <v>615852.25</v>
      </c>
      <c r="H23" s="481">
        <v>676677.62</v>
      </c>
    </row>
    <row r="24" spans="1:8" x14ac:dyDescent="0.2">
      <c r="A24" s="904" t="s">
        <v>388</v>
      </c>
      <c r="B24" s="961">
        <f>SUM(B22:B23)</f>
        <v>788555.88936681009</v>
      </c>
      <c r="C24" s="961">
        <f t="shared" ref="C24:H24" si="3">SUM(C22:C23)</f>
        <v>775036.99999999988</v>
      </c>
      <c r="D24" s="961">
        <f t="shared" si="3"/>
        <v>910628.68999999983</v>
      </c>
      <c r="E24" s="961">
        <f t="shared" si="3"/>
        <v>983447.44000000006</v>
      </c>
      <c r="F24" s="961">
        <f t="shared" si="3"/>
        <v>1037614.5099999999</v>
      </c>
      <c r="G24" s="961">
        <f t="shared" si="3"/>
        <v>1205068.1100000003</v>
      </c>
      <c r="H24" s="961">
        <f t="shared" si="3"/>
        <v>1261239.1499999999</v>
      </c>
    </row>
    <row r="25" spans="1:8" x14ac:dyDescent="0.2">
      <c r="A25" s="2240" t="s">
        <v>0</v>
      </c>
      <c r="B25" s="2241"/>
      <c r="C25" s="2241"/>
      <c r="D25" s="2241"/>
      <c r="E25" s="2241"/>
      <c r="F25" s="2241"/>
      <c r="G25" s="2241"/>
      <c r="H25" s="2242"/>
    </row>
    <row r="26" spans="1:8" x14ac:dyDescent="0.2">
      <c r="A26" s="904" t="s">
        <v>931</v>
      </c>
      <c r="B26" s="961">
        <f t="shared" ref="B26:H28" si="4">B18+B22</f>
        <v>2345294</v>
      </c>
      <c r="C26" s="961">
        <f t="shared" si="4"/>
        <v>2351429.71</v>
      </c>
      <c r="D26" s="961">
        <f t="shared" ref="D26" si="5">D18+D22</f>
        <v>2641067.77</v>
      </c>
      <c r="E26" s="961">
        <f t="shared" si="4"/>
        <v>2847027.51</v>
      </c>
      <c r="F26" s="961">
        <f t="shared" si="4"/>
        <v>3035241.1199999992</v>
      </c>
      <c r="G26" s="961">
        <f t="shared" si="4"/>
        <v>3318151.8600000003</v>
      </c>
      <c r="H26" s="961">
        <f t="shared" si="4"/>
        <v>3419565.5300000003</v>
      </c>
    </row>
    <row r="27" spans="1:8" x14ac:dyDescent="0.2">
      <c r="A27" s="904" t="s">
        <v>932</v>
      </c>
      <c r="B27" s="961">
        <f t="shared" si="4"/>
        <v>2251617.1793668102</v>
      </c>
      <c r="C27" s="961">
        <f t="shared" si="4"/>
        <v>2336645.1199999996</v>
      </c>
      <c r="D27" s="961">
        <f t="shared" ref="D27" si="6">D19+D23</f>
        <v>2530934.9300000002</v>
      </c>
      <c r="E27" s="961">
        <f t="shared" si="4"/>
        <v>2722689.91</v>
      </c>
      <c r="F27" s="961">
        <f t="shared" si="4"/>
        <v>3075434.3739999998</v>
      </c>
      <c r="G27" s="961">
        <f t="shared" si="4"/>
        <v>3305062.25</v>
      </c>
      <c r="H27" s="961">
        <f t="shared" si="4"/>
        <v>3656644.62</v>
      </c>
    </row>
    <row r="28" spans="1:8" x14ac:dyDescent="0.2">
      <c r="A28" s="904" t="s">
        <v>388</v>
      </c>
      <c r="B28" s="961">
        <f t="shared" si="4"/>
        <v>4596911.1793668102</v>
      </c>
      <c r="C28" s="961">
        <f t="shared" si="4"/>
        <v>4688074.83</v>
      </c>
      <c r="D28" s="961">
        <f t="shared" ref="D28" si="7">D20+D24</f>
        <v>5172002.6999999993</v>
      </c>
      <c r="E28" s="961">
        <f t="shared" si="4"/>
        <v>5569717.4200000009</v>
      </c>
      <c r="F28" s="961">
        <f t="shared" si="4"/>
        <v>6110675.493999999</v>
      </c>
      <c r="G28" s="961">
        <f t="shared" si="4"/>
        <v>6623214.1100000003</v>
      </c>
      <c r="H28" s="961">
        <f t="shared" si="4"/>
        <v>7076210.1500000004</v>
      </c>
    </row>
    <row r="30" spans="1:8" ht="19.5" customHeight="1" x14ac:dyDescent="0.2">
      <c r="A30" s="962" t="s">
        <v>164</v>
      </c>
    </row>
    <row r="31" spans="1:8" ht="14.25" x14ac:dyDescent="0.2">
      <c r="A31" s="963" t="s">
        <v>934</v>
      </c>
    </row>
  </sheetData>
  <mergeCells count="6">
    <mergeCell ref="A25:H25"/>
    <mergeCell ref="A9:H9"/>
    <mergeCell ref="A10:H10"/>
    <mergeCell ref="A13:H13"/>
    <mergeCell ref="A17:H17"/>
    <mergeCell ref="A21:H21"/>
  </mergeCells>
  <phoneticPr fontId="17" type="noConversion"/>
  <dataValidations count="1">
    <dataValidation allowBlank="1" showInputMessage="1" showErrorMessage="1" promptTitle="Date Format" prompt="E.g:  &quot;August 1, 2011&quot;" sqref="H7"/>
  </dataValidations>
  <printOptions horizontalCentered="1"/>
  <pageMargins left="0.74803149606299213" right="0.74803149606299213" top="0.98425196850393704" bottom="0.98425196850393704" header="0.51181102362204722" footer="0.51181102362204722"/>
  <pageSetup scale="75"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I29"/>
  <sheetViews>
    <sheetView showGridLines="0" zoomScaleNormal="100" workbookViewId="0"/>
  </sheetViews>
  <sheetFormatPr defaultRowHeight="12.75" x14ac:dyDescent="0.2"/>
  <cols>
    <col min="1" max="1" width="6" style="61" customWidth="1"/>
    <col min="2" max="2" width="20.28515625" style="61" customWidth="1"/>
    <col min="3" max="3" width="17.7109375" style="61" customWidth="1"/>
    <col min="4" max="4" width="14.7109375" style="61" customWidth="1"/>
    <col min="5" max="7" width="13.7109375" style="61" customWidth="1"/>
    <col min="8" max="8" width="13" style="61" customWidth="1"/>
    <col min="9" max="9" width="13.85546875" style="61" customWidth="1"/>
    <col min="10" max="16384" width="9.140625" style="61"/>
  </cols>
  <sheetData>
    <row r="1" spans="1:9" x14ac:dyDescent="0.2">
      <c r="A1"/>
      <c r="B1"/>
      <c r="G1" s="715" t="s">
        <v>394</v>
      </c>
      <c r="H1" s="1513" t="str">
        <f>EBNUMBER</f>
        <v>EB-2015-0089</v>
      </c>
    </row>
    <row r="2" spans="1:9" x14ac:dyDescent="0.2">
      <c r="G2" s="715" t="s">
        <v>395</v>
      </c>
      <c r="H2" s="254">
        <v>4</v>
      </c>
    </row>
    <row r="3" spans="1:9" x14ac:dyDescent="0.2">
      <c r="G3" s="715" t="s">
        <v>396</v>
      </c>
      <c r="H3" s="254" t="s">
        <v>2456</v>
      </c>
    </row>
    <row r="4" spans="1:9" x14ac:dyDescent="0.2">
      <c r="G4" s="715" t="s">
        <v>397</v>
      </c>
      <c r="H4" s="254" t="s">
        <v>2411</v>
      </c>
    </row>
    <row r="5" spans="1:9" x14ac:dyDescent="0.2">
      <c r="G5" s="715" t="s">
        <v>398</v>
      </c>
      <c r="H5" s="255">
        <v>24</v>
      </c>
    </row>
    <row r="6" spans="1:9" x14ac:dyDescent="0.2">
      <c r="G6" s="715"/>
      <c r="H6" s="253"/>
    </row>
    <row r="7" spans="1:9" x14ac:dyDescent="0.2">
      <c r="G7" s="715" t="s">
        <v>399</v>
      </c>
      <c r="H7" s="1836" t="s">
        <v>2455</v>
      </c>
    </row>
    <row r="9" spans="1:9" ht="18" x14ac:dyDescent="0.25">
      <c r="A9" s="1940" t="s">
        <v>221</v>
      </c>
      <c r="B9" s="1940"/>
      <c r="C9" s="1940"/>
      <c r="D9" s="1940"/>
      <c r="E9" s="1940"/>
      <c r="F9" s="1940"/>
      <c r="G9" s="1940"/>
      <c r="H9" s="1940"/>
    </row>
    <row r="10" spans="1:9" ht="21" x14ac:dyDescent="0.25">
      <c r="A10" s="1940" t="s">
        <v>2448</v>
      </c>
      <c r="B10" s="1940"/>
      <c r="C10" s="1940"/>
      <c r="D10" s="1940"/>
      <c r="E10" s="1940"/>
      <c r="F10" s="1940"/>
      <c r="G10" s="1940"/>
      <c r="H10" s="1940"/>
      <c r="I10" s="1940"/>
    </row>
    <row r="11" spans="1:9" ht="13.5" thickBot="1" x14ac:dyDescent="0.25"/>
    <row r="12" spans="1:9" ht="39" thickBot="1" x14ac:dyDescent="0.25">
      <c r="A12" s="964"/>
      <c r="B12" s="965"/>
      <c r="C12" s="966" t="str">
        <f>"Last Rebasing Year - "&amp;RebaseYear&amp;"- Board Approved"</f>
        <v>Last Rebasing Year - 2011- Board Approved</v>
      </c>
      <c r="D12" s="966" t="str">
        <f>"Last Rebasing Year - "&amp;RebaseYear&amp;"-  Actual"</f>
        <v>Last Rebasing Year - 2011-  Actual</v>
      </c>
      <c r="E12" s="917" t="str">
        <f>BridgeYear -3 &amp; " Actuals"</f>
        <v>2012 Actuals</v>
      </c>
      <c r="F12" s="917" t="str">
        <f>BridgeYear -2 &amp; " Actuals"</f>
        <v>2013 Actuals</v>
      </c>
      <c r="G12" s="917" t="str">
        <f>BridgeYear -1 &amp; " Actuals"</f>
        <v>2014 Actuals</v>
      </c>
      <c r="H12" s="917" t="str">
        <f>BridgeYear &amp; " Bridge Year"</f>
        <v>2015 Bridge Year</v>
      </c>
      <c r="I12" s="918" t="str">
        <f>TestYear &amp; " Test Year"</f>
        <v>2016 Test Year</v>
      </c>
    </row>
    <row r="13" spans="1:9" ht="13.5" thickBot="1" x14ac:dyDescent="0.25">
      <c r="A13" s="2253" t="s">
        <v>150</v>
      </c>
      <c r="B13" s="2254"/>
      <c r="C13" s="921" t="s">
        <v>151</v>
      </c>
      <c r="D13" s="921" t="s">
        <v>151</v>
      </c>
      <c r="E13" s="921" t="s">
        <v>151</v>
      </c>
      <c r="F13" s="921" t="s">
        <v>152</v>
      </c>
      <c r="G13" s="921" t="s">
        <v>152</v>
      </c>
      <c r="H13" s="921" t="s">
        <v>152</v>
      </c>
      <c r="I13" s="922" t="s">
        <v>152</v>
      </c>
    </row>
    <row r="14" spans="1:9" ht="14.25" x14ac:dyDescent="0.2">
      <c r="A14" s="2162" t="s">
        <v>1838</v>
      </c>
      <c r="B14" s="2163"/>
      <c r="C14" s="967">
        <v>30461</v>
      </c>
      <c r="D14" s="967">
        <f>+(29142+30485)/2</f>
        <v>29813.5</v>
      </c>
      <c r="E14" s="967">
        <f>+(32324+30485)/2</f>
        <v>31404.5</v>
      </c>
      <c r="F14" s="967">
        <f>+(34073+32324)/2</f>
        <v>33198.5</v>
      </c>
      <c r="G14" s="967">
        <f>+(35111+34073)/2</f>
        <v>34592</v>
      </c>
      <c r="H14" s="967">
        <f>+[15]Summary!$S$58</f>
        <v>35497.5</v>
      </c>
      <c r="I14" s="968">
        <f>+[15]Summary!$T$58</f>
        <v>36672.491658596526</v>
      </c>
    </row>
    <row r="15" spans="1:9" ht="27" customHeight="1" x14ac:dyDescent="0.2">
      <c r="A15" s="2251" t="s">
        <v>779</v>
      </c>
      <c r="B15" s="2252"/>
      <c r="C15" s="969">
        <v>6300000</v>
      </c>
      <c r="D15" s="969">
        <f>+'App.2-JB_OM&amp;A_Cost _Drivers'!B56</f>
        <v>6396762.8399999999</v>
      </c>
      <c r="E15" s="969">
        <f>+'App.2-JB_OM&amp;A_Cost _Drivers'!C56</f>
        <v>6761992</v>
      </c>
      <c r="F15" s="969">
        <f>+'App.2-JB_OM&amp;A_Cost _Drivers'!D56</f>
        <v>8435973</v>
      </c>
      <c r="G15" s="969">
        <f>+'App.2-JB_OM&amp;A_Cost _Drivers'!E56</f>
        <v>8543896.9399999995</v>
      </c>
      <c r="H15" s="969">
        <v>10028886</v>
      </c>
      <c r="I15" s="970">
        <v>10122448</v>
      </c>
    </row>
    <row r="16" spans="1:9" x14ac:dyDescent="0.2">
      <c r="A16" s="2247" t="s">
        <v>220</v>
      </c>
      <c r="B16" s="2248"/>
      <c r="C16" s="971">
        <f t="shared" ref="C16:I16" si="0">IF(C14=0,"",C15/C14)</f>
        <v>206.82183775975838</v>
      </c>
      <c r="D16" s="971">
        <f t="shared" si="0"/>
        <v>214.5592714709779</v>
      </c>
      <c r="E16" s="971">
        <f t="shared" si="0"/>
        <v>215.31920584629592</v>
      </c>
      <c r="F16" s="971">
        <f t="shared" si="0"/>
        <v>254.10705302950436</v>
      </c>
      <c r="G16" s="971">
        <f t="shared" si="0"/>
        <v>246.99054521276594</v>
      </c>
      <c r="H16" s="971">
        <f t="shared" si="0"/>
        <v>282.52372702302978</v>
      </c>
      <c r="I16" s="972">
        <f t="shared" si="0"/>
        <v>276.02291369332585</v>
      </c>
    </row>
    <row r="17" spans="1:9" ht="14.25" x14ac:dyDescent="0.2">
      <c r="A17" s="2247" t="s">
        <v>1839</v>
      </c>
      <c r="B17" s="2248"/>
      <c r="C17" s="973">
        <f>+'App.2-K_Employee Costs'!B16</f>
        <v>49</v>
      </c>
      <c r="D17" s="973">
        <f>+'App.2-K_Employee Costs'!C16</f>
        <v>46</v>
      </c>
      <c r="E17" s="973">
        <f>+'App.2-K_Employee Costs'!D16</f>
        <v>48</v>
      </c>
      <c r="F17" s="973">
        <f>+'App.2-K_Employee Costs'!E16</f>
        <v>52</v>
      </c>
      <c r="G17" s="973">
        <f>+'App.2-K_Employee Costs'!F16</f>
        <v>52</v>
      </c>
      <c r="H17" s="973">
        <f>+'App.2-K_Employee Costs'!G16</f>
        <v>59</v>
      </c>
      <c r="I17" s="973">
        <f>+'App.2-K_Employee Costs'!H16</f>
        <v>61.5</v>
      </c>
    </row>
    <row r="18" spans="1:9" x14ac:dyDescent="0.2">
      <c r="A18" s="2247" t="s">
        <v>780</v>
      </c>
      <c r="B18" s="2248"/>
      <c r="C18" s="974">
        <f t="shared" ref="C18:I18" si="1">IF(C17=0,"",C14/C17)</f>
        <v>621.65306122448976</v>
      </c>
      <c r="D18" s="974">
        <f t="shared" si="1"/>
        <v>648.11956521739125</v>
      </c>
      <c r="E18" s="974">
        <f t="shared" ref="E18" si="2">IF(E17=0,"",E14/E17)</f>
        <v>654.26041666666663</v>
      </c>
      <c r="F18" s="974">
        <f t="shared" si="1"/>
        <v>638.43269230769226</v>
      </c>
      <c r="G18" s="974">
        <f t="shared" si="1"/>
        <v>665.23076923076928</v>
      </c>
      <c r="H18" s="974">
        <f t="shared" si="1"/>
        <v>601.65254237288138</v>
      </c>
      <c r="I18" s="975">
        <f t="shared" si="1"/>
        <v>596.30067737555328</v>
      </c>
    </row>
    <row r="19" spans="1:9" ht="13.5" thickBot="1" x14ac:dyDescent="0.25">
      <c r="A19" s="2249" t="s">
        <v>781</v>
      </c>
      <c r="B19" s="2250"/>
      <c r="C19" s="976">
        <f t="shared" ref="C19:I19" si="3">IF(C17=0,"",C15/C17)</f>
        <v>128571.42857142857</v>
      </c>
      <c r="D19" s="976">
        <f t="shared" si="3"/>
        <v>139060.06173913044</v>
      </c>
      <c r="E19" s="976">
        <f t="shared" ref="E19" si="4">IF(E17=0,"",E15/E17)</f>
        <v>140874.83333333334</v>
      </c>
      <c r="F19" s="976">
        <f t="shared" si="3"/>
        <v>162230.25</v>
      </c>
      <c r="G19" s="976">
        <f t="shared" si="3"/>
        <v>164305.71038461538</v>
      </c>
      <c r="H19" s="976">
        <f t="shared" si="3"/>
        <v>169981.11864406778</v>
      </c>
      <c r="I19" s="977">
        <f t="shared" si="3"/>
        <v>164592.65040650408</v>
      </c>
    </row>
    <row r="21" spans="1:9" x14ac:dyDescent="0.2">
      <c r="A21" s="586" t="s">
        <v>13</v>
      </c>
    </row>
    <row r="23" spans="1:9" ht="12.75" customHeight="1" x14ac:dyDescent="0.2">
      <c r="A23" s="978">
        <v>1</v>
      </c>
      <c r="B23" s="2237" t="s">
        <v>258</v>
      </c>
      <c r="C23" s="2237"/>
      <c r="D23" s="2237"/>
      <c r="E23" s="2237"/>
      <c r="F23" s="2237"/>
      <c r="G23" s="2237"/>
      <c r="H23" s="2237"/>
    </row>
    <row r="24" spans="1:9" x14ac:dyDescent="0.2">
      <c r="A24" s="641"/>
      <c r="B24" s="2237"/>
      <c r="C24" s="2237"/>
      <c r="D24" s="2237"/>
      <c r="E24" s="2237"/>
      <c r="F24" s="2237"/>
      <c r="G24" s="2237"/>
      <c r="H24" s="2237"/>
    </row>
    <row r="25" spans="1:9" x14ac:dyDescent="0.2">
      <c r="A25" s="641"/>
      <c r="B25" s="2237"/>
      <c r="C25" s="2237"/>
      <c r="D25" s="2237"/>
      <c r="E25" s="2237"/>
      <c r="F25" s="2237"/>
      <c r="G25" s="2237"/>
      <c r="H25" s="2237"/>
    </row>
    <row r="26" spans="1:9" x14ac:dyDescent="0.2">
      <c r="A26" s="978">
        <v>2</v>
      </c>
      <c r="B26" s="2181" t="s">
        <v>367</v>
      </c>
      <c r="C26" s="2181"/>
      <c r="D26" s="2181"/>
      <c r="E26" s="2181"/>
      <c r="F26" s="2181"/>
      <c r="G26" s="2181"/>
    </row>
    <row r="27" spans="1:9" x14ac:dyDescent="0.2">
      <c r="A27" s="978">
        <v>3</v>
      </c>
      <c r="B27" s="2132" t="s">
        <v>782</v>
      </c>
      <c r="C27" s="2181"/>
      <c r="D27" s="2181"/>
      <c r="E27" s="2181"/>
      <c r="F27" s="2181"/>
      <c r="G27" s="2181"/>
    </row>
    <row r="28" spans="1:9" x14ac:dyDescent="0.2">
      <c r="A28" s="978">
        <v>4</v>
      </c>
      <c r="B28" s="2246" t="s">
        <v>783</v>
      </c>
      <c r="C28" s="2246"/>
      <c r="D28" s="2246"/>
      <c r="E28" s="2246"/>
      <c r="F28" s="2246"/>
      <c r="G28" s="2246"/>
      <c r="H28" s="2246"/>
    </row>
    <row r="29" spans="1:9" x14ac:dyDescent="0.2">
      <c r="A29" s="979"/>
      <c r="B29" s="2246"/>
      <c r="C29" s="2246"/>
      <c r="D29" s="2246"/>
      <c r="E29" s="2246"/>
      <c r="F29" s="2246"/>
      <c r="G29" s="2246"/>
      <c r="H29" s="2246"/>
    </row>
  </sheetData>
  <mergeCells count="13">
    <mergeCell ref="B23:H25"/>
    <mergeCell ref="B28:H29"/>
    <mergeCell ref="A9:H9"/>
    <mergeCell ref="B26:G26"/>
    <mergeCell ref="B27:G27"/>
    <mergeCell ref="A16:B16"/>
    <mergeCell ref="A17:B17"/>
    <mergeCell ref="A18:B18"/>
    <mergeCell ref="A19:B19"/>
    <mergeCell ref="A14:B14"/>
    <mergeCell ref="A15:B15"/>
    <mergeCell ref="A13:B13"/>
    <mergeCell ref="A10:I10"/>
  </mergeCells>
  <phoneticPr fontId="17" type="noConversion"/>
  <dataValidations disablePrompts="1" count="2">
    <dataValidation allowBlank="1" showInputMessage="1" showErrorMessage="1" promptTitle="Date Format" prompt="E.g:  &quot;August 1, 2011&quot;" sqref="H7"/>
    <dataValidation type="list" allowBlank="1" showInputMessage="1" showErrorMessage="1" sqref="C13:I13">
      <formula1>"CGAAP, MIFRS, USGAAP, ASPE"</formula1>
    </dataValidation>
  </dataValidations>
  <pageMargins left="0.25" right="0.25" top="0.75" bottom="0.75" header="0.3" footer="0.3"/>
  <pageSetup scale="82" fitToHeight="0"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47"/>
  <sheetViews>
    <sheetView showGridLines="0" topLeftCell="A7" zoomScaleNormal="100" workbookViewId="0"/>
  </sheetViews>
  <sheetFormatPr defaultRowHeight="12.75" x14ac:dyDescent="0.2"/>
  <cols>
    <col min="1" max="1" width="4.140625" style="61" customWidth="1"/>
    <col min="2" max="2" width="40.7109375" style="61" customWidth="1"/>
    <col min="3" max="3" width="16.28515625" style="61" bestFit="1" customWidth="1"/>
    <col min="4" max="8" width="13.7109375" style="61" customWidth="1"/>
    <col min="9" max="9" width="15" style="61" customWidth="1"/>
    <col min="10" max="10" width="12.85546875" style="61" customWidth="1"/>
    <col min="11" max="11" width="13.7109375" style="61" customWidth="1"/>
    <col min="12" max="12" width="10.7109375" style="61" customWidth="1"/>
    <col min="13" max="16384" width="9.140625" style="61"/>
  </cols>
  <sheetData>
    <row r="1" spans="1:12" x14ac:dyDescent="0.2">
      <c r="J1" s="715" t="s">
        <v>394</v>
      </c>
      <c r="K1" s="253" t="str">
        <f>EBNUMBER</f>
        <v>EB-2015-0089</v>
      </c>
    </row>
    <row r="2" spans="1:12" x14ac:dyDescent="0.2">
      <c r="J2" s="715" t="s">
        <v>395</v>
      </c>
      <c r="K2" s="254">
        <v>4</v>
      </c>
    </row>
    <row r="3" spans="1:12" x14ac:dyDescent="0.2">
      <c r="J3" s="715" t="s">
        <v>396</v>
      </c>
      <c r="K3" s="254" t="s">
        <v>2456</v>
      </c>
    </row>
    <row r="4" spans="1:12" x14ac:dyDescent="0.2">
      <c r="J4" s="715" t="s">
        <v>397</v>
      </c>
      <c r="K4" s="254" t="s">
        <v>2408</v>
      </c>
    </row>
    <row r="5" spans="1:12" x14ac:dyDescent="0.2">
      <c r="J5" s="715" t="s">
        <v>398</v>
      </c>
      <c r="K5" s="255">
        <v>54</v>
      </c>
    </row>
    <row r="6" spans="1:12" x14ac:dyDescent="0.2">
      <c r="J6" s="715"/>
      <c r="K6" s="253"/>
    </row>
    <row r="7" spans="1:12" x14ac:dyDescent="0.2">
      <c r="J7" s="715" t="s">
        <v>399</v>
      </c>
      <c r="K7" s="1836" t="s">
        <v>2455</v>
      </c>
    </row>
    <row r="9" spans="1:12" ht="18" x14ac:dyDescent="0.25">
      <c r="A9" s="1940" t="s">
        <v>56</v>
      </c>
      <c r="B9" s="1940"/>
      <c r="C9" s="1940"/>
      <c r="D9" s="1940"/>
      <c r="E9" s="1940"/>
      <c r="F9" s="1940"/>
      <c r="G9" s="1940"/>
      <c r="H9" s="1940"/>
      <c r="I9" s="1940"/>
      <c r="J9" s="1940"/>
      <c r="K9" s="1940"/>
    </row>
    <row r="10" spans="1:12" ht="18" x14ac:dyDescent="0.25">
      <c r="A10" s="1940" t="s">
        <v>148</v>
      </c>
      <c r="B10" s="1940"/>
      <c r="C10" s="1940"/>
      <c r="D10" s="1940"/>
      <c r="E10" s="1940"/>
      <c r="F10" s="1940"/>
      <c r="G10" s="1940"/>
      <c r="H10" s="1940"/>
      <c r="I10" s="1940"/>
      <c r="J10" s="1940"/>
      <c r="K10" s="1940"/>
    </row>
    <row r="11" spans="1:12" x14ac:dyDescent="0.2">
      <c r="E11" s="980"/>
    </row>
    <row r="12" spans="1:12" ht="13.5" thickBot="1" x14ac:dyDescent="0.25">
      <c r="E12" s="980"/>
    </row>
    <row r="13" spans="1:12" ht="63.75" x14ac:dyDescent="0.2">
      <c r="A13" s="2255" t="s">
        <v>167</v>
      </c>
      <c r="B13" s="2256"/>
      <c r="C13" s="981" t="s">
        <v>168</v>
      </c>
      <c r="D13" s="981" t="s">
        <v>171</v>
      </c>
      <c r="E13" s="981" t="s">
        <v>135</v>
      </c>
      <c r="F13" s="258" t="str">
        <f>"Last Rebasing Year (" &amp; RebaseYear &amp; " Board Approved)"</f>
        <v>Last Rebasing Year (2011 Board Approved)</v>
      </c>
      <c r="G13" s="258" t="str">
        <f>"Most Current Actuals               Year " &amp; TestYear - 2</f>
        <v>Most Current Actuals               Year 2014</v>
      </c>
      <c r="H13" s="258" t="str">
        <f>TestYear -1 &amp; " Bridge Year"</f>
        <v>2015 Bridge Year</v>
      </c>
      <c r="I13" s="981" t="s">
        <v>169</v>
      </c>
      <c r="J13" s="258" t="str">
        <f>TestYear &amp; " Test Year"</f>
        <v>2016 Test Year</v>
      </c>
      <c r="K13" s="982" t="s">
        <v>169</v>
      </c>
    </row>
    <row r="14" spans="1:12" x14ac:dyDescent="0.2">
      <c r="A14" s="2257" t="s">
        <v>45</v>
      </c>
      <c r="B14" s="2258"/>
      <c r="C14" s="1498" t="s">
        <v>46</v>
      </c>
      <c r="D14" s="1498" t="s">
        <v>170</v>
      </c>
      <c r="E14" s="1498" t="s">
        <v>47</v>
      </c>
      <c r="F14" s="1498" t="s">
        <v>48</v>
      </c>
      <c r="G14" s="1498" t="s">
        <v>172</v>
      </c>
      <c r="H14" s="1498" t="s">
        <v>173</v>
      </c>
      <c r="I14" s="1498" t="s">
        <v>175</v>
      </c>
      <c r="J14" s="1498" t="s">
        <v>174</v>
      </c>
      <c r="K14" s="983" t="s">
        <v>176</v>
      </c>
    </row>
    <row r="15" spans="1:12" x14ac:dyDescent="0.2">
      <c r="A15" s="984">
        <v>1</v>
      </c>
      <c r="B15" s="985" t="s">
        <v>177</v>
      </c>
      <c r="C15" s="986">
        <v>5655</v>
      </c>
      <c r="D15" s="987"/>
      <c r="E15" s="988" t="s">
        <v>2284</v>
      </c>
      <c r="F15" s="1724">
        <v>71781</v>
      </c>
      <c r="G15" s="987">
        <v>83022.990000000005</v>
      </c>
      <c r="H15" s="987">
        <v>90000</v>
      </c>
      <c r="I15" s="989">
        <f>IF(G15=0,"",(H15-G15)/G15)</f>
        <v>8.4037084185958538E-2</v>
      </c>
      <c r="J15" s="987">
        <v>93000</v>
      </c>
      <c r="K15" s="990">
        <f>IF(H15=0,"",(J15-H15)/H15)</f>
        <v>3.3333333333333333E-2</v>
      </c>
      <c r="L15" s="62"/>
    </row>
    <row r="16" spans="1:12" x14ac:dyDescent="0.2">
      <c r="A16" s="984">
        <v>2</v>
      </c>
      <c r="B16" s="985" t="s">
        <v>121</v>
      </c>
      <c r="C16" s="986"/>
      <c r="D16" s="987"/>
      <c r="E16" s="988"/>
      <c r="F16" s="1724"/>
      <c r="G16" s="987"/>
      <c r="H16" s="987"/>
      <c r="I16" s="989" t="str">
        <f t="shared" ref="I16:I28" si="0">IF(G16=0,"",(H16-G16)/G16)</f>
        <v/>
      </c>
      <c r="J16" s="987"/>
      <c r="K16" s="990" t="str">
        <f t="shared" ref="K16:K28" si="1">IF(H16=0,"",(J16-H16)/H16)</f>
        <v/>
      </c>
      <c r="L16" s="62"/>
    </row>
    <row r="17" spans="1:12" x14ac:dyDescent="0.2">
      <c r="A17" s="984">
        <v>3</v>
      </c>
      <c r="B17" s="985" t="s">
        <v>178</v>
      </c>
      <c r="C17" s="986">
        <v>5655</v>
      </c>
      <c r="D17" s="987"/>
      <c r="E17" s="988" t="s">
        <v>2284</v>
      </c>
      <c r="F17" s="1724">
        <v>2500</v>
      </c>
      <c r="G17" s="987"/>
      <c r="H17" s="987"/>
      <c r="I17" s="989" t="str">
        <f t="shared" si="0"/>
        <v/>
      </c>
      <c r="J17" s="987">
        <v>2500</v>
      </c>
      <c r="K17" s="990" t="str">
        <f t="shared" si="1"/>
        <v/>
      </c>
      <c r="L17" s="62"/>
    </row>
    <row r="18" spans="1:12" ht="12.75" customHeight="1" x14ac:dyDescent="0.2">
      <c r="A18" s="984">
        <v>4</v>
      </c>
      <c r="B18" s="985" t="s">
        <v>179</v>
      </c>
      <c r="C18" s="986"/>
      <c r="D18" s="987"/>
      <c r="E18" s="988"/>
      <c r="F18" s="1724"/>
      <c r="G18" s="987"/>
      <c r="H18" s="987"/>
      <c r="I18" s="989" t="str">
        <f t="shared" si="0"/>
        <v/>
      </c>
      <c r="J18" s="987"/>
      <c r="K18" s="990" t="str">
        <f t="shared" si="1"/>
        <v/>
      </c>
      <c r="L18" s="62"/>
    </row>
    <row r="19" spans="1:12" x14ac:dyDescent="0.2">
      <c r="A19" s="984">
        <v>5</v>
      </c>
      <c r="B19" s="985" t="s">
        <v>180</v>
      </c>
      <c r="C19" s="986">
        <v>5655</v>
      </c>
      <c r="D19" s="987"/>
      <c r="E19" s="988" t="s">
        <v>2283</v>
      </c>
      <c r="F19" s="1724">
        <v>14625</v>
      </c>
      <c r="G19" s="987"/>
      <c r="H19" s="987"/>
      <c r="I19" s="989" t="str">
        <f t="shared" si="0"/>
        <v/>
      </c>
      <c r="J19" s="987">
        <v>40440</v>
      </c>
      <c r="K19" s="990" t="str">
        <f t="shared" si="1"/>
        <v/>
      </c>
      <c r="L19" s="62"/>
    </row>
    <row r="20" spans="1:12" x14ac:dyDescent="0.2">
      <c r="A20" s="984">
        <v>6</v>
      </c>
      <c r="B20" s="985" t="s">
        <v>181</v>
      </c>
      <c r="C20" s="986">
        <v>5655</v>
      </c>
      <c r="D20" s="987"/>
      <c r="E20" s="988" t="s">
        <v>2283</v>
      </c>
      <c r="F20" s="1724">
        <v>16500</v>
      </c>
      <c r="G20" s="987">
        <v>26898.5</v>
      </c>
      <c r="H20" s="987"/>
      <c r="I20" s="989">
        <f t="shared" si="0"/>
        <v>-1</v>
      </c>
      <c r="J20" s="987">
        <v>34720</v>
      </c>
      <c r="K20" s="990" t="str">
        <f t="shared" si="1"/>
        <v/>
      </c>
      <c r="L20" s="62"/>
    </row>
    <row r="21" spans="1:12" ht="25.5" customHeight="1" x14ac:dyDescent="0.2">
      <c r="A21" s="984">
        <v>7</v>
      </c>
      <c r="B21" s="985" t="s">
        <v>182</v>
      </c>
      <c r="C21" s="986"/>
      <c r="D21" s="987"/>
      <c r="E21" s="988"/>
      <c r="F21" s="1724"/>
      <c r="G21" s="987"/>
      <c r="H21" s="987"/>
      <c r="I21" s="989" t="str">
        <f t="shared" si="0"/>
        <v/>
      </c>
      <c r="J21" s="987"/>
      <c r="K21" s="990" t="str">
        <f t="shared" si="1"/>
        <v/>
      </c>
      <c r="L21" s="62"/>
    </row>
    <row r="22" spans="1:12" ht="26.25" customHeight="1" x14ac:dyDescent="0.2">
      <c r="A22" s="984">
        <v>8</v>
      </c>
      <c r="B22" s="985" t="s">
        <v>134</v>
      </c>
      <c r="C22" s="986">
        <v>5655</v>
      </c>
      <c r="D22" s="987"/>
      <c r="E22" s="988" t="s">
        <v>2284</v>
      </c>
      <c r="F22" s="1724"/>
      <c r="G22" s="987">
        <v>877.45</v>
      </c>
      <c r="H22" s="987">
        <v>5000</v>
      </c>
      <c r="I22" s="989">
        <f t="shared" si="0"/>
        <v>4.6983303891959656</v>
      </c>
      <c r="J22" s="987">
        <v>3100</v>
      </c>
      <c r="K22" s="990">
        <f t="shared" si="1"/>
        <v>-0.38</v>
      </c>
      <c r="L22" s="62"/>
    </row>
    <row r="23" spans="1:12" ht="13.5" customHeight="1" x14ac:dyDescent="0.2">
      <c r="A23" s="984">
        <v>9</v>
      </c>
      <c r="B23" s="985" t="s">
        <v>183</v>
      </c>
      <c r="C23" s="986"/>
      <c r="D23" s="987"/>
      <c r="E23" s="988"/>
      <c r="F23" s="1724"/>
      <c r="G23" s="987"/>
      <c r="H23" s="987"/>
      <c r="I23" s="989" t="str">
        <f t="shared" si="0"/>
        <v/>
      </c>
      <c r="J23" s="987"/>
      <c r="K23" s="990" t="str">
        <f t="shared" si="1"/>
        <v/>
      </c>
      <c r="L23" s="62"/>
    </row>
    <row r="24" spans="1:12" ht="25.5" x14ac:dyDescent="0.2">
      <c r="A24" s="984">
        <v>10</v>
      </c>
      <c r="B24" s="985" t="s">
        <v>184</v>
      </c>
      <c r="C24" s="986">
        <v>5655</v>
      </c>
      <c r="D24" s="987"/>
      <c r="E24" s="988" t="s">
        <v>2284</v>
      </c>
      <c r="F24" s="1724">
        <f>5000+9000</f>
        <v>14000</v>
      </c>
      <c r="G24" s="987"/>
      <c r="H24" s="987"/>
      <c r="I24" s="989" t="str">
        <f t="shared" si="0"/>
        <v/>
      </c>
      <c r="J24" s="987">
        <v>39500</v>
      </c>
      <c r="K24" s="990" t="str">
        <f t="shared" si="1"/>
        <v/>
      </c>
      <c r="L24" s="62"/>
    </row>
    <row r="25" spans="1:12" ht="13.5" thickBot="1" x14ac:dyDescent="0.25">
      <c r="A25" s="991">
        <v>11</v>
      </c>
      <c r="B25" s="992" t="s">
        <v>185</v>
      </c>
      <c r="C25" s="993">
        <v>5655</v>
      </c>
      <c r="D25" s="994"/>
      <c r="E25" s="988" t="s">
        <v>2283</v>
      </c>
      <c r="F25" s="1725">
        <v>25000</v>
      </c>
      <c r="G25" s="994">
        <v>2308.0500000000002</v>
      </c>
      <c r="H25" s="994">
        <v>2500</v>
      </c>
      <c r="I25" s="995">
        <f t="shared" si="0"/>
        <v>8.3165442689716346E-2</v>
      </c>
      <c r="J25" s="994">
        <v>48000</v>
      </c>
      <c r="K25" s="996">
        <f t="shared" si="1"/>
        <v>18.2</v>
      </c>
      <c r="L25" s="62"/>
    </row>
    <row r="26" spans="1:12" ht="14.25" x14ac:dyDescent="0.2">
      <c r="A26" s="997">
        <v>12</v>
      </c>
      <c r="B26" s="998" t="s">
        <v>136</v>
      </c>
      <c r="C26" s="999"/>
      <c r="D26" s="1000">
        <f>SUMIF($E15:$E25,$E11,D15:D25)</f>
        <v>0</v>
      </c>
      <c r="E26" s="999"/>
      <c r="F26" s="1000">
        <f>+F15+F17+F24</f>
        <v>88281</v>
      </c>
      <c r="G26" s="1000">
        <f>+G15+G17+G24+G22</f>
        <v>83900.44</v>
      </c>
      <c r="H26" s="1000">
        <f>+H15+H17+H24+H22</f>
        <v>95000</v>
      </c>
      <c r="I26" s="1001">
        <f t="shared" si="0"/>
        <v>0.13229441943331879</v>
      </c>
      <c r="J26" s="1000">
        <f>+J15+J17+J24+J22</f>
        <v>138100</v>
      </c>
      <c r="K26" s="1002">
        <f t="shared" si="1"/>
        <v>0.4536842105263158</v>
      </c>
      <c r="L26" s="62"/>
    </row>
    <row r="27" spans="1:12" ht="15" thickBot="1" x14ac:dyDescent="0.25">
      <c r="A27" s="1003">
        <v>13</v>
      </c>
      <c r="B27" s="1004" t="s">
        <v>137</v>
      </c>
      <c r="C27" s="1005"/>
      <c r="D27" s="1006">
        <f>SUMIF($E15:$E25,$E12,D15:D25)</f>
        <v>0</v>
      </c>
      <c r="E27" s="1005"/>
      <c r="F27" s="1006">
        <f>+F19+F20+F25</f>
        <v>56125</v>
      </c>
      <c r="G27" s="1006">
        <f t="shared" ref="G27" si="2">+G19+G20+G25</f>
        <v>29206.55</v>
      </c>
      <c r="H27" s="1006">
        <f t="shared" ref="H27:J27" si="3">+H19+H20+H25</f>
        <v>2500</v>
      </c>
      <c r="I27" s="1007">
        <f t="shared" si="0"/>
        <v>-0.91440276239405205</v>
      </c>
      <c r="J27" s="1006">
        <f t="shared" si="3"/>
        <v>123160</v>
      </c>
      <c r="K27" s="1008">
        <f t="shared" si="1"/>
        <v>48.264000000000003</v>
      </c>
      <c r="L27" s="62"/>
    </row>
    <row r="28" spans="1:12" ht="14.25" thickTop="1" thickBot="1" x14ac:dyDescent="0.25">
      <c r="A28" s="1009">
        <v>14</v>
      </c>
      <c r="B28" s="1010" t="s">
        <v>388</v>
      </c>
      <c r="C28" s="1011"/>
      <c r="D28" s="1012">
        <f>D26+D27</f>
        <v>0</v>
      </c>
      <c r="E28" s="1011"/>
      <c r="F28" s="1012">
        <f>F26+F27</f>
        <v>144406</v>
      </c>
      <c r="G28" s="1012">
        <f>G26+G27</f>
        <v>113106.99</v>
      </c>
      <c r="H28" s="1012">
        <f>H26+H27</f>
        <v>97500</v>
      </c>
      <c r="I28" s="1013">
        <f t="shared" si="0"/>
        <v>-0.13798431025350427</v>
      </c>
      <c r="J28" s="1012">
        <f>J26+J27</f>
        <v>261260</v>
      </c>
      <c r="K28" s="1014">
        <f t="shared" si="1"/>
        <v>1.6795897435897436</v>
      </c>
      <c r="L28" s="62"/>
    </row>
    <row r="31" spans="1:12" x14ac:dyDescent="0.2">
      <c r="A31" s="252" t="s">
        <v>784</v>
      </c>
    </row>
    <row r="32" spans="1:12" ht="13.5" thickBot="1" x14ac:dyDescent="0.25"/>
    <row r="33" spans="1:6" ht="26.25" thickBot="1" x14ac:dyDescent="0.25">
      <c r="C33" s="1015" t="s">
        <v>327</v>
      </c>
      <c r="D33" s="1015" t="str">
        <f>H13</f>
        <v>2015 Bridge Year</v>
      </c>
      <c r="E33" s="1015" t="str">
        <f>J13</f>
        <v>2016 Test Year</v>
      </c>
      <c r="F33" s="1015" t="s">
        <v>2331</v>
      </c>
    </row>
    <row r="34" spans="1:6" x14ac:dyDescent="0.2">
      <c r="A34" s="1016">
        <v>4</v>
      </c>
      <c r="B34" s="1017" t="s">
        <v>787</v>
      </c>
      <c r="C34" s="1018"/>
      <c r="D34" s="1018"/>
      <c r="E34" s="1018"/>
      <c r="F34" s="1018"/>
    </row>
    <row r="35" spans="1:6" x14ac:dyDescent="0.2">
      <c r="A35" s="984">
        <v>5</v>
      </c>
      <c r="B35" s="1019" t="s">
        <v>788</v>
      </c>
      <c r="C35" s="1020"/>
      <c r="D35" s="1020"/>
      <c r="E35" s="1726">
        <v>202200</v>
      </c>
      <c r="F35" s="1726">
        <f>+E35/5</f>
        <v>40440</v>
      </c>
    </row>
    <row r="36" spans="1:6" x14ac:dyDescent="0.2">
      <c r="A36" s="984">
        <v>6</v>
      </c>
      <c r="B36" s="1021" t="s">
        <v>786</v>
      </c>
      <c r="C36" s="1022"/>
      <c r="D36" s="1022"/>
      <c r="E36" s="1727">
        <v>173600</v>
      </c>
      <c r="F36" s="1727">
        <f>+E36/5</f>
        <v>34720</v>
      </c>
    </row>
    <row r="37" spans="1:6" ht="31.5" customHeight="1" x14ac:dyDescent="0.2">
      <c r="A37" s="984">
        <v>7</v>
      </c>
      <c r="B37" s="1021" t="s">
        <v>785</v>
      </c>
      <c r="C37" s="1022"/>
      <c r="D37" s="1022"/>
      <c r="E37" s="1727"/>
      <c r="F37" s="1727"/>
    </row>
    <row r="38" spans="1:6" ht="51" x14ac:dyDescent="0.2">
      <c r="A38" s="984">
        <v>8</v>
      </c>
      <c r="B38" s="1021" t="s">
        <v>2330</v>
      </c>
      <c r="C38" s="1022"/>
      <c r="D38" s="1022"/>
      <c r="E38" s="1727">
        <v>100000</v>
      </c>
      <c r="F38" s="1727">
        <f>+E38/5</f>
        <v>20000</v>
      </c>
    </row>
    <row r="39" spans="1:6" ht="26.25" customHeight="1" x14ac:dyDescent="0.2">
      <c r="A39" s="984">
        <v>10</v>
      </c>
      <c r="B39" s="985" t="s">
        <v>184</v>
      </c>
      <c r="C39" s="1780"/>
      <c r="D39" s="1780"/>
      <c r="E39" s="1781">
        <f>22000+57000</f>
        <v>79000</v>
      </c>
      <c r="F39" s="1781">
        <f>+E39/2</f>
        <v>39500</v>
      </c>
    </row>
    <row r="40" spans="1:6" ht="13.5" thickBot="1" x14ac:dyDescent="0.25">
      <c r="A40" s="991">
        <v>11</v>
      </c>
      <c r="B40" s="1023" t="s">
        <v>185</v>
      </c>
      <c r="C40" s="1024"/>
      <c r="D40" s="1024"/>
      <c r="E40" s="1728">
        <f>140000</f>
        <v>140000</v>
      </c>
      <c r="F40" s="1728">
        <f>+E40/5</f>
        <v>28000</v>
      </c>
    </row>
    <row r="41" spans="1:6" ht="13.5" thickBot="1" x14ac:dyDescent="0.25">
      <c r="A41" s="1767"/>
      <c r="B41" s="1770" t="s">
        <v>388</v>
      </c>
      <c r="C41" s="1768"/>
      <c r="D41" s="1768"/>
      <c r="E41" s="1769">
        <f>SUM(E34:E40)</f>
        <v>694800</v>
      </c>
      <c r="F41" s="1769">
        <f>SUM(F34:F40)</f>
        <v>162660</v>
      </c>
    </row>
    <row r="42" spans="1:6" x14ac:dyDescent="0.2">
      <c r="A42" s="252" t="s">
        <v>13</v>
      </c>
    </row>
    <row r="44" spans="1:6" ht="14.25" x14ac:dyDescent="0.2">
      <c r="A44" s="1025" t="s">
        <v>133</v>
      </c>
      <c r="B44" s="61" t="s">
        <v>188</v>
      </c>
    </row>
    <row r="45" spans="1:6" ht="14.25" x14ac:dyDescent="0.2">
      <c r="A45" s="1025" t="s">
        <v>138</v>
      </c>
      <c r="B45" s="61" t="s">
        <v>189</v>
      </c>
    </row>
    <row r="46" spans="1:6" ht="14.25" x14ac:dyDescent="0.2">
      <c r="A46" s="1025" t="s">
        <v>139</v>
      </c>
      <c r="B46" s="61" t="s">
        <v>186</v>
      </c>
    </row>
    <row r="47" spans="1:6" ht="14.25" x14ac:dyDescent="0.2">
      <c r="A47" s="1025" t="s">
        <v>140</v>
      </c>
      <c r="B47" s="61" t="s">
        <v>187</v>
      </c>
    </row>
  </sheetData>
  <mergeCells count="4">
    <mergeCell ref="A13:B13"/>
    <mergeCell ref="A14:B14"/>
    <mergeCell ref="A9:K9"/>
    <mergeCell ref="A10:K10"/>
  </mergeCells>
  <phoneticPr fontId="17" type="noConversion"/>
  <dataValidations count="2">
    <dataValidation type="list" allowBlank="1" showInputMessage="1" showErrorMessage="1" prompt="Please identify costs as One-time or ongoing by selecting from the drop-down list." sqref="E15:E25">
      <formula1>"One-Time, On-Going"</formula1>
    </dataValidation>
    <dataValidation allowBlank="1" showInputMessage="1" showErrorMessage="1" promptTitle="Date Format" prompt="E.g:  &quot;August 1, 2011&quot;" sqref="K7"/>
  </dataValidations>
  <pageMargins left="0.75" right="0.75" top="1" bottom="1" header="0.5" footer="0.5"/>
  <pageSetup scale="65"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G209"/>
  <sheetViews>
    <sheetView showGridLines="0" zoomScaleNormal="100" workbookViewId="0"/>
  </sheetViews>
  <sheetFormatPr defaultRowHeight="12.75" x14ac:dyDescent="0.2"/>
  <cols>
    <col min="1" max="1" width="20.7109375" style="61" customWidth="1"/>
    <col min="2" max="2" width="30.28515625" style="61" bestFit="1" customWidth="1"/>
    <col min="3" max="3" width="23.85546875" style="61" bestFit="1" customWidth="1"/>
    <col min="4" max="4" width="15.85546875" style="61" customWidth="1"/>
    <col min="5" max="5" width="14.85546875" style="61" customWidth="1"/>
    <col min="6" max="6" width="13.7109375" style="61" customWidth="1"/>
    <col min="7" max="7" width="17.28515625" style="61" customWidth="1"/>
    <col min="8" max="16384" width="9.140625" style="61"/>
  </cols>
  <sheetData>
    <row r="1" spans="1:7" x14ac:dyDescent="0.2">
      <c r="F1" s="715" t="s">
        <v>394</v>
      </c>
      <c r="G1" s="253" t="str">
        <f>EBNUMBER</f>
        <v>EB-2015-0089</v>
      </c>
    </row>
    <row r="2" spans="1:7" x14ac:dyDescent="0.2">
      <c r="F2" s="715" t="s">
        <v>395</v>
      </c>
      <c r="G2" s="254">
        <v>4</v>
      </c>
    </row>
    <row r="3" spans="1:7" x14ac:dyDescent="0.2">
      <c r="F3" s="715" t="s">
        <v>396</v>
      </c>
      <c r="G3" s="254" t="s">
        <v>2456</v>
      </c>
    </row>
    <row r="4" spans="1:7" x14ac:dyDescent="0.2">
      <c r="F4" s="715" t="s">
        <v>397</v>
      </c>
      <c r="G4" s="254" t="s">
        <v>2414</v>
      </c>
    </row>
    <row r="5" spans="1:7" x14ac:dyDescent="0.2">
      <c r="F5" s="715" t="s">
        <v>398</v>
      </c>
      <c r="G5" s="255">
        <v>48</v>
      </c>
    </row>
    <row r="6" spans="1:7" x14ac:dyDescent="0.2">
      <c r="F6" s="715"/>
      <c r="G6" s="253"/>
    </row>
    <row r="7" spans="1:7" x14ac:dyDescent="0.2">
      <c r="F7" s="715" t="s">
        <v>399</v>
      </c>
      <c r="G7" s="1836" t="s">
        <v>2455</v>
      </c>
    </row>
    <row r="9" spans="1:7" ht="18" x14ac:dyDescent="0.25">
      <c r="A9" s="1941" t="s">
        <v>57</v>
      </c>
      <c r="B9" s="1941"/>
      <c r="C9" s="1941"/>
      <c r="D9" s="1941"/>
      <c r="E9" s="1941"/>
      <c r="F9" s="1941"/>
      <c r="G9" s="256"/>
    </row>
    <row r="10" spans="1:7" ht="21" x14ac:dyDescent="0.25">
      <c r="A10" s="1941" t="s">
        <v>1840</v>
      </c>
      <c r="B10" s="1941"/>
      <c r="C10" s="1941"/>
      <c r="D10" s="1941"/>
      <c r="E10" s="1941"/>
      <c r="F10" s="1941"/>
      <c r="G10" s="256"/>
    </row>
    <row r="12" spans="1:7" x14ac:dyDescent="0.2">
      <c r="B12" s="630" t="s">
        <v>50</v>
      </c>
      <c r="C12" s="1026">
        <v>2011</v>
      </c>
    </row>
    <row r="13" spans="1:7" x14ac:dyDescent="0.2">
      <c r="C13" s="630"/>
      <c r="D13" s="1027"/>
    </row>
    <row r="14" spans="1:7" ht="15.75" x14ac:dyDescent="0.25">
      <c r="A14" s="2260" t="s">
        <v>331</v>
      </c>
      <c r="B14" s="2260"/>
      <c r="C14" s="2260"/>
      <c r="D14" s="2260"/>
      <c r="E14" s="2260"/>
      <c r="F14" s="2260"/>
    </row>
    <row r="15" spans="1:7" ht="13.5" thickBot="1" x14ac:dyDescent="0.25"/>
    <row r="16" spans="1:7" ht="13.5" customHeight="1" x14ac:dyDescent="0.2">
      <c r="A16" s="2269" t="s">
        <v>222</v>
      </c>
      <c r="B16" s="2270"/>
      <c r="C16" s="2266" t="s">
        <v>225</v>
      </c>
      <c r="D16" s="2266" t="s">
        <v>789</v>
      </c>
      <c r="E16" s="2271" t="s">
        <v>226</v>
      </c>
      <c r="F16" s="2271" t="s">
        <v>227</v>
      </c>
      <c r="G16" s="2273"/>
    </row>
    <row r="17" spans="1:7" ht="17.25" customHeight="1" x14ac:dyDescent="0.2">
      <c r="A17" s="2262" t="s">
        <v>223</v>
      </c>
      <c r="B17" s="2264" t="s">
        <v>224</v>
      </c>
      <c r="C17" s="2267"/>
      <c r="D17" s="2267"/>
      <c r="E17" s="2272"/>
      <c r="F17" s="2272"/>
      <c r="G17" s="2273"/>
    </row>
    <row r="18" spans="1:7" x14ac:dyDescent="0.2">
      <c r="A18" s="2263"/>
      <c r="B18" s="2265"/>
      <c r="C18" s="2268"/>
      <c r="D18" s="2268"/>
      <c r="E18" s="1028" t="s">
        <v>217</v>
      </c>
      <c r="F18" s="1028" t="s">
        <v>217</v>
      </c>
      <c r="G18" s="1029"/>
    </row>
    <row r="19" spans="1:7" x14ac:dyDescent="0.2">
      <c r="A19" s="1735" t="s">
        <v>449</v>
      </c>
      <c r="B19" s="1684" t="s">
        <v>2298</v>
      </c>
      <c r="C19" s="1684" t="s">
        <v>2299</v>
      </c>
      <c r="D19" s="1684" t="s">
        <v>2300</v>
      </c>
      <c r="E19" s="1532"/>
      <c r="F19" s="1736">
        <v>16116</v>
      </c>
      <c r="G19" s="1030"/>
    </row>
    <row r="20" spans="1:7" x14ac:dyDescent="0.2">
      <c r="A20" s="1735" t="s">
        <v>449</v>
      </c>
      <c r="B20" s="1684" t="s">
        <v>2301</v>
      </c>
      <c r="C20" s="1684" t="s">
        <v>2299</v>
      </c>
      <c r="D20" s="1684" t="s">
        <v>2300</v>
      </c>
      <c r="E20" s="1532"/>
      <c r="F20" s="1736">
        <v>444</v>
      </c>
      <c r="G20" s="1030"/>
    </row>
    <row r="21" spans="1:7" x14ac:dyDescent="0.2">
      <c r="A21" s="1735" t="s">
        <v>449</v>
      </c>
      <c r="B21" s="1684" t="s">
        <v>2301</v>
      </c>
      <c r="C21" s="1684" t="s">
        <v>2302</v>
      </c>
      <c r="D21" s="1684" t="s">
        <v>2300</v>
      </c>
      <c r="E21" s="1532"/>
      <c r="F21" s="1736">
        <v>6579</v>
      </c>
      <c r="G21" s="1030"/>
    </row>
    <row r="22" spans="1:7" x14ac:dyDescent="0.2">
      <c r="A22" s="1735" t="s">
        <v>449</v>
      </c>
      <c r="B22" s="1684" t="s">
        <v>2301</v>
      </c>
      <c r="C22" s="1684" t="s">
        <v>2303</v>
      </c>
      <c r="D22" s="1684" t="s">
        <v>2300</v>
      </c>
      <c r="E22" s="1532"/>
      <c r="F22" s="1736">
        <v>3828</v>
      </c>
      <c r="G22" s="1030"/>
    </row>
    <row r="23" spans="1:7" x14ac:dyDescent="0.2">
      <c r="A23" s="1735" t="s">
        <v>449</v>
      </c>
      <c r="B23" s="1684" t="s">
        <v>2301</v>
      </c>
      <c r="C23" s="1684" t="s">
        <v>2304</v>
      </c>
      <c r="D23" s="1684" t="s">
        <v>2300</v>
      </c>
      <c r="E23" s="1532"/>
      <c r="F23" s="1736">
        <v>180</v>
      </c>
      <c r="G23" s="1030"/>
    </row>
    <row r="24" spans="1:7" x14ac:dyDescent="0.2">
      <c r="A24" s="1735" t="s">
        <v>449</v>
      </c>
      <c r="B24" s="1684" t="s">
        <v>2301</v>
      </c>
      <c r="C24" s="1684" t="s">
        <v>2305</v>
      </c>
      <c r="D24" s="1684" t="s">
        <v>2300</v>
      </c>
      <c r="E24" s="1532"/>
      <c r="F24" s="1736">
        <v>11967</v>
      </c>
      <c r="G24" s="1030"/>
    </row>
    <row r="25" spans="1:7" x14ac:dyDescent="0.2">
      <c r="A25" s="1735" t="s">
        <v>449</v>
      </c>
      <c r="B25" s="1684" t="s">
        <v>2301</v>
      </c>
      <c r="C25" s="1758" t="s">
        <v>2316</v>
      </c>
      <c r="D25" s="1758" t="s">
        <v>2317</v>
      </c>
      <c r="E25" s="736"/>
      <c r="F25" s="1736">
        <v>271911</v>
      </c>
      <c r="G25" s="1030"/>
    </row>
    <row r="26" spans="1:7" ht="13.5" thickBot="1" x14ac:dyDescent="0.25">
      <c r="A26" s="1031"/>
      <c r="B26" s="1032"/>
      <c r="C26" s="1032"/>
      <c r="D26" s="1032"/>
      <c r="E26" s="1032"/>
      <c r="F26" s="1032"/>
      <c r="G26" s="1030"/>
    </row>
    <row r="28" spans="1:7" ht="15.75" x14ac:dyDescent="0.25">
      <c r="A28" s="2260" t="s">
        <v>330</v>
      </c>
      <c r="B28" s="2260"/>
      <c r="C28" s="2260"/>
      <c r="D28" s="2260"/>
      <c r="E28" s="2260"/>
      <c r="F28" s="2260"/>
    </row>
    <row r="29" spans="1:7" ht="13.5" thickBot="1" x14ac:dyDescent="0.25"/>
    <row r="30" spans="1:7" ht="13.5" customHeight="1" x14ac:dyDescent="0.2">
      <c r="A30" s="2269" t="s">
        <v>222</v>
      </c>
      <c r="B30" s="2270"/>
      <c r="C30" s="2274" t="s">
        <v>225</v>
      </c>
      <c r="D30" s="2274" t="s">
        <v>789</v>
      </c>
      <c r="E30" s="2271" t="s">
        <v>329</v>
      </c>
      <c r="F30" s="2277" t="s">
        <v>332</v>
      </c>
    </row>
    <row r="31" spans="1:7" ht="17.25" customHeight="1" x14ac:dyDescent="0.2">
      <c r="A31" s="2279" t="s">
        <v>223</v>
      </c>
      <c r="B31" s="2281" t="s">
        <v>224</v>
      </c>
      <c r="C31" s="2275"/>
      <c r="D31" s="2275"/>
      <c r="E31" s="2272"/>
      <c r="F31" s="2278"/>
    </row>
    <row r="32" spans="1:7" x14ac:dyDescent="0.2">
      <c r="A32" s="2280"/>
      <c r="B32" s="2282"/>
      <c r="C32" s="2276"/>
      <c r="D32" s="2276"/>
      <c r="E32" s="1028" t="s">
        <v>218</v>
      </c>
      <c r="F32" s="1033" t="s">
        <v>217</v>
      </c>
    </row>
    <row r="33" spans="1:7" x14ac:dyDescent="0.2">
      <c r="A33" s="1737" t="s">
        <v>2298</v>
      </c>
      <c r="B33" s="1738" t="s">
        <v>449</v>
      </c>
      <c r="C33" s="1684" t="s">
        <v>2306</v>
      </c>
      <c r="D33" s="1684" t="s">
        <v>2300</v>
      </c>
      <c r="E33" s="1532">
        <v>98</v>
      </c>
      <c r="F33" s="1739">
        <v>45389.39</v>
      </c>
    </row>
    <row r="34" spans="1:7" x14ac:dyDescent="0.2">
      <c r="A34" s="951"/>
      <c r="B34" s="736"/>
      <c r="C34" s="736"/>
      <c r="D34" s="736"/>
      <c r="E34" s="736"/>
      <c r="F34" s="737"/>
    </row>
    <row r="35" spans="1:7" x14ac:dyDescent="0.2">
      <c r="A35" s="951"/>
      <c r="B35" s="736"/>
      <c r="C35" s="736"/>
      <c r="D35" s="736"/>
      <c r="E35" s="736"/>
      <c r="F35" s="737"/>
    </row>
    <row r="36" spans="1:7" x14ac:dyDescent="0.2">
      <c r="A36" s="951"/>
      <c r="B36" s="736"/>
      <c r="C36" s="736"/>
      <c r="D36" s="736"/>
      <c r="E36" s="736"/>
      <c r="F36" s="737"/>
    </row>
    <row r="37" spans="1:7" x14ac:dyDescent="0.2">
      <c r="A37" s="951"/>
      <c r="B37" s="736"/>
      <c r="C37" s="736"/>
      <c r="D37" s="736"/>
      <c r="E37" s="736"/>
      <c r="F37" s="737"/>
    </row>
    <row r="38" spans="1:7" x14ac:dyDescent="0.2">
      <c r="A38" s="951"/>
      <c r="B38" s="736"/>
      <c r="C38" s="736"/>
      <c r="D38" s="736"/>
      <c r="E38" s="736"/>
      <c r="F38" s="737"/>
    </row>
    <row r="39" spans="1:7" x14ac:dyDescent="0.2">
      <c r="A39" s="951"/>
      <c r="B39" s="736"/>
      <c r="C39" s="736"/>
      <c r="D39" s="736"/>
      <c r="E39" s="736"/>
      <c r="F39" s="737"/>
    </row>
    <row r="40" spans="1:7" ht="13.5" thickBot="1" x14ac:dyDescent="0.25">
      <c r="A40" s="1031"/>
      <c r="B40" s="1032"/>
      <c r="C40" s="1032"/>
      <c r="D40" s="1032"/>
      <c r="E40" s="1032"/>
      <c r="F40" s="1034"/>
    </row>
    <row r="42" spans="1:7" x14ac:dyDescent="0.2">
      <c r="B42" s="630" t="s">
        <v>50</v>
      </c>
      <c r="C42" s="1026">
        <v>2012</v>
      </c>
    </row>
    <row r="43" spans="1:7" x14ac:dyDescent="0.2">
      <c r="C43" s="630"/>
      <c r="D43" s="1027"/>
    </row>
    <row r="44" spans="1:7" ht="15.75" x14ac:dyDescent="0.25">
      <c r="A44" s="2260" t="s">
        <v>331</v>
      </c>
      <c r="B44" s="2260"/>
      <c r="C44" s="2260"/>
      <c r="D44" s="2260"/>
      <c r="E44" s="2260"/>
      <c r="F44" s="2260"/>
    </row>
    <row r="45" spans="1:7" ht="13.5" thickBot="1" x14ac:dyDescent="0.25"/>
    <row r="46" spans="1:7" ht="13.5" customHeight="1" x14ac:dyDescent="0.2">
      <c r="A46" s="2269" t="s">
        <v>222</v>
      </c>
      <c r="B46" s="2270"/>
      <c r="C46" s="2266" t="s">
        <v>225</v>
      </c>
      <c r="D46" s="2266" t="s">
        <v>789</v>
      </c>
      <c r="E46" s="2271" t="s">
        <v>226</v>
      </c>
      <c r="F46" s="2271" t="s">
        <v>227</v>
      </c>
      <c r="G46" s="2273"/>
    </row>
    <row r="47" spans="1:7" ht="17.25" customHeight="1" x14ac:dyDescent="0.2">
      <c r="A47" s="2262" t="s">
        <v>223</v>
      </c>
      <c r="B47" s="2264" t="s">
        <v>224</v>
      </c>
      <c r="C47" s="2267"/>
      <c r="D47" s="2267"/>
      <c r="E47" s="2272"/>
      <c r="F47" s="2272"/>
      <c r="G47" s="2273"/>
    </row>
    <row r="48" spans="1:7" x14ac:dyDescent="0.2">
      <c r="A48" s="2263"/>
      <c r="B48" s="2265"/>
      <c r="C48" s="2268"/>
      <c r="D48" s="2268"/>
      <c r="E48" s="1028" t="s">
        <v>217</v>
      </c>
      <c r="F48" s="1028" t="s">
        <v>217</v>
      </c>
      <c r="G48" s="1029"/>
    </row>
    <row r="49" spans="1:7" x14ac:dyDescent="0.2">
      <c r="A49" s="1735" t="s">
        <v>449</v>
      </c>
      <c r="B49" s="1684" t="s">
        <v>2298</v>
      </c>
      <c r="C49" s="1684" t="s">
        <v>2299</v>
      </c>
      <c r="D49" s="1684" t="s">
        <v>2300</v>
      </c>
      <c r="E49" s="1532"/>
      <c r="F49" s="1736">
        <v>16116</v>
      </c>
      <c r="G49" s="1030"/>
    </row>
    <row r="50" spans="1:7" x14ac:dyDescent="0.2">
      <c r="A50" s="1735" t="s">
        <v>449</v>
      </c>
      <c r="B50" s="1684" t="s">
        <v>2301</v>
      </c>
      <c r="C50" s="1684" t="s">
        <v>2299</v>
      </c>
      <c r="D50" s="1684" t="s">
        <v>2300</v>
      </c>
      <c r="E50" s="1532"/>
      <c r="F50" s="1736">
        <v>444</v>
      </c>
      <c r="G50" s="1030"/>
    </row>
    <row r="51" spans="1:7" x14ac:dyDescent="0.2">
      <c r="A51" s="1735" t="s">
        <v>449</v>
      </c>
      <c r="B51" s="1684" t="s">
        <v>2301</v>
      </c>
      <c r="C51" s="1684" t="s">
        <v>2302</v>
      </c>
      <c r="D51" s="1684" t="s">
        <v>2300</v>
      </c>
      <c r="E51" s="1532"/>
      <c r="F51" s="1736">
        <v>10198</v>
      </c>
      <c r="G51" s="1030"/>
    </row>
    <row r="52" spans="1:7" x14ac:dyDescent="0.2">
      <c r="A52" s="1735" t="s">
        <v>449</v>
      </c>
      <c r="B52" s="1684" t="s">
        <v>2298</v>
      </c>
      <c r="C52" s="1684" t="s">
        <v>2302</v>
      </c>
      <c r="D52" s="1684" t="s">
        <v>2300</v>
      </c>
      <c r="E52" s="1532"/>
      <c r="F52" s="1736">
        <v>6292</v>
      </c>
      <c r="G52" s="1030"/>
    </row>
    <row r="53" spans="1:7" x14ac:dyDescent="0.2">
      <c r="A53" s="1735" t="s">
        <v>449</v>
      </c>
      <c r="B53" s="1684" t="s">
        <v>2301</v>
      </c>
      <c r="C53" s="1684" t="s">
        <v>2303</v>
      </c>
      <c r="D53" s="1684" t="s">
        <v>2300</v>
      </c>
      <c r="E53" s="1532"/>
      <c r="F53" s="1736">
        <v>3828</v>
      </c>
      <c r="G53" s="1030"/>
    </row>
    <row r="54" spans="1:7" x14ac:dyDescent="0.2">
      <c r="A54" s="1735" t="s">
        <v>449</v>
      </c>
      <c r="B54" s="1684" t="s">
        <v>2301</v>
      </c>
      <c r="C54" s="1684" t="s">
        <v>2304</v>
      </c>
      <c r="D54" s="1684" t="s">
        <v>2300</v>
      </c>
      <c r="E54" s="1532"/>
      <c r="F54" s="1736">
        <v>180</v>
      </c>
      <c r="G54" s="1030"/>
    </row>
    <row r="55" spans="1:7" x14ac:dyDescent="0.2">
      <c r="A55" s="1735" t="s">
        <v>449</v>
      </c>
      <c r="B55" s="1684" t="s">
        <v>2301</v>
      </c>
      <c r="C55" s="1684" t="s">
        <v>2305</v>
      </c>
      <c r="D55" s="1684" t="s">
        <v>2300</v>
      </c>
      <c r="E55" s="1532"/>
      <c r="F55" s="1736">
        <v>6506</v>
      </c>
      <c r="G55" s="1030"/>
    </row>
    <row r="56" spans="1:7" x14ac:dyDescent="0.2">
      <c r="A56" s="1735" t="s">
        <v>449</v>
      </c>
      <c r="B56" s="1684" t="s">
        <v>2301</v>
      </c>
      <c r="C56" s="1758" t="s">
        <v>2316</v>
      </c>
      <c r="D56" s="1758" t="s">
        <v>2317</v>
      </c>
      <c r="E56" s="736"/>
      <c r="F56" s="1736">
        <v>475448</v>
      </c>
      <c r="G56" s="1030"/>
    </row>
    <row r="57" spans="1:7" ht="13.5" thickBot="1" x14ac:dyDescent="0.25">
      <c r="A57" s="1031"/>
      <c r="B57" s="1032"/>
      <c r="C57" s="1032"/>
      <c r="D57" s="1032"/>
      <c r="E57" s="1032"/>
      <c r="F57" s="1032"/>
      <c r="G57" s="1030"/>
    </row>
    <row r="59" spans="1:7" ht="15.75" x14ac:dyDescent="0.25">
      <c r="A59" s="2260" t="s">
        <v>330</v>
      </c>
      <c r="B59" s="2260"/>
      <c r="C59" s="2260"/>
      <c r="D59" s="2260"/>
      <c r="E59" s="2260"/>
      <c r="F59" s="2260"/>
    </row>
    <row r="60" spans="1:7" ht="13.5" thickBot="1" x14ac:dyDescent="0.25"/>
    <row r="61" spans="1:7" ht="13.5" customHeight="1" x14ac:dyDescent="0.2">
      <c r="A61" s="2269" t="s">
        <v>222</v>
      </c>
      <c r="B61" s="2270"/>
      <c r="C61" s="2274" t="s">
        <v>225</v>
      </c>
      <c r="D61" s="2274" t="s">
        <v>789</v>
      </c>
      <c r="E61" s="2271" t="s">
        <v>329</v>
      </c>
      <c r="F61" s="2277" t="s">
        <v>332</v>
      </c>
    </row>
    <row r="62" spans="1:7" ht="17.25" customHeight="1" x14ac:dyDescent="0.2">
      <c r="A62" s="2279" t="s">
        <v>223</v>
      </c>
      <c r="B62" s="2281" t="s">
        <v>224</v>
      </c>
      <c r="C62" s="2275"/>
      <c r="D62" s="2275"/>
      <c r="E62" s="2272"/>
      <c r="F62" s="2278"/>
    </row>
    <row r="63" spans="1:7" x14ac:dyDescent="0.2">
      <c r="A63" s="2280"/>
      <c r="B63" s="2282"/>
      <c r="C63" s="2276"/>
      <c r="D63" s="2276"/>
      <c r="E63" s="1028" t="s">
        <v>218</v>
      </c>
      <c r="F63" s="1033" t="s">
        <v>217</v>
      </c>
    </row>
    <row r="64" spans="1:7" x14ac:dyDescent="0.2">
      <c r="A64" s="1737" t="s">
        <v>2298</v>
      </c>
      <c r="B64" s="1738" t="s">
        <v>449</v>
      </c>
      <c r="C64" s="1684" t="s">
        <v>2306</v>
      </c>
      <c r="D64" s="1684" t="s">
        <v>2300</v>
      </c>
      <c r="E64" s="1532">
        <v>98</v>
      </c>
      <c r="F64" s="1739">
        <v>21832.19</v>
      </c>
    </row>
    <row r="65" spans="1:7" x14ac:dyDescent="0.2">
      <c r="A65" s="951"/>
      <c r="B65" s="736"/>
      <c r="C65" s="736"/>
      <c r="D65" s="736"/>
      <c r="E65" s="736"/>
      <c r="F65" s="737"/>
    </row>
    <row r="66" spans="1:7" x14ac:dyDescent="0.2">
      <c r="A66" s="951"/>
      <c r="B66" s="736"/>
      <c r="C66" s="736"/>
      <c r="D66" s="736"/>
      <c r="E66" s="736"/>
      <c r="F66" s="737"/>
    </row>
    <row r="67" spans="1:7" x14ac:dyDescent="0.2">
      <c r="A67" s="951"/>
      <c r="B67" s="736"/>
      <c r="C67" s="736"/>
      <c r="D67" s="736"/>
      <c r="E67" s="736"/>
      <c r="F67" s="737"/>
    </row>
    <row r="68" spans="1:7" x14ac:dyDescent="0.2">
      <c r="A68" s="951"/>
      <c r="B68" s="736"/>
      <c r="C68" s="736"/>
      <c r="D68" s="736"/>
      <c r="E68" s="736"/>
      <c r="F68" s="737"/>
    </row>
    <row r="69" spans="1:7" x14ac:dyDescent="0.2">
      <c r="A69" s="951"/>
      <c r="B69" s="736"/>
      <c r="C69" s="736"/>
      <c r="D69" s="736"/>
      <c r="E69" s="736"/>
      <c r="F69" s="737"/>
    </row>
    <row r="70" spans="1:7" x14ac:dyDescent="0.2">
      <c r="A70" s="951"/>
      <c r="B70" s="736"/>
      <c r="C70" s="736"/>
      <c r="D70" s="736"/>
      <c r="E70" s="736"/>
      <c r="F70" s="737"/>
    </row>
    <row r="71" spans="1:7" ht="13.5" thickBot="1" x14ac:dyDescent="0.25">
      <c r="A71" s="1031"/>
      <c r="B71" s="1032"/>
      <c r="C71" s="1032"/>
      <c r="D71" s="1032"/>
      <c r="E71" s="1032"/>
      <c r="F71" s="1034"/>
    </row>
    <row r="73" spans="1:7" x14ac:dyDescent="0.2">
      <c r="B73" s="630" t="s">
        <v>50</v>
      </c>
      <c r="C73" s="1026">
        <v>2013</v>
      </c>
    </row>
    <row r="74" spans="1:7" x14ac:dyDescent="0.2">
      <c r="C74" s="630"/>
      <c r="D74" s="1027"/>
    </row>
    <row r="75" spans="1:7" ht="15.75" x14ac:dyDescent="0.25">
      <c r="A75" s="2260" t="s">
        <v>331</v>
      </c>
      <c r="B75" s="2260"/>
      <c r="C75" s="2260"/>
      <c r="D75" s="2260"/>
      <c r="E75" s="2260"/>
      <c r="F75" s="2260"/>
    </row>
    <row r="76" spans="1:7" ht="13.5" thickBot="1" x14ac:dyDescent="0.25"/>
    <row r="77" spans="1:7" ht="13.5" customHeight="1" x14ac:dyDescent="0.2">
      <c r="A77" s="2269" t="s">
        <v>222</v>
      </c>
      <c r="B77" s="2270"/>
      <c r="C77" s="2266" t="s">
        <v>225</v>
      </c>
      <c r="D77" s="2266" t="s">
        <v>789</v>
      </c>
      <c r="E77" s="2271" t="s">
        <v>226</v>
      </c>
      <c r="F77" s="2271" t="s">
        <v>227</v>
      </c>
      <c r="G77" s="2273"/>
    </row>
    <row r="78" spans="1:7" ht="17.25" customHeight="1" x14ac:dyDescent="0.2">
      <c r="A78" s="2262" t="s">
        <v>223</v>
      </c>
      <c r="B78" s="2264" t="s">
        <v>224</v>
      </c>
      <c r="C78" s="2267"/>
      <c r="D78" s="2267"/>
      <c r="E78" s="2272"/>
      <c r="F78" s="2272"/>
      <c r="G78" s="2273"/>
    </row>
    <row r="79" spans="1:7" x14ac:dyDescent="0.2">
      <c r="A79" s="2263"/>
      <c r="B79" s="2265"/>
      <c r="C79" s="2268"/>
      <c r="D79" s="2268"/>
      <c r="E79" s="1028" t="s">
        <v>217</v>
      </c>
      <c r="F79" s="1028" t="s">
        <v>217</v>
      </c>
      <c r="G79" s="1029"/>
    </row>
    <row r="80" spans="1:7" x14ac:dyDescent="0.2">
      <c r="A80" s="1735" t="s">
        <v>449</v>
      </c>
      <c r="B80" s="1684" t="s">
        <v>2298</v>
      </c>
      <c r="C80" s="1684" t="s">
        <v>2299</v>
      </c>
      <c r="D80" s="1684" t="s">
        <v>2300</v>
      </c>
      <c r="E80" s="1532"/>
      <c r="F80" s="1736">
        <v>16116</v>
      </c>
      <c r="G80" s="1030"/>
    </row>
    <row r="81" spans="1:7" x14ac:dyDescent="0.2">
      <c r="A81" s="1735" t="s">
        <v>449</v>
      </c>
      <c r="B81" s="1684" t="s">
        <v>2301</v>
      </c>
      <c r="C81" s="1684" t="s">
        <v>2299</v>
      </c>
      <c r="D81" s="1684" t="s">
        <v>2300</v>
      </c>
      <c r="E81" s="1532"/>
      <c r="F81" s="1736">
        <v>444</v>
      </c>
      <c r="G81" s="1030"/>
    </row>
    <row r="82" spans="1:7" x14ac:dyDescent="0.2">
      <c r="A82" s="1735" t="s">
        <v>449</v>
      </c>
      <c r="B82" s="1684" t="s">
        <v>2301</v>
      </c>
      <c r="C82" s="1684" t="s">
        <v>2302</v>
      </c>
      <c r="D82" s="1684" t="s">
        <v>2300</v>
      </c>
      <c r="E82" s="1532"/>
      <c r="F82" s="1736">
        <v>6105</v>
      </c>
      <c r="G82" s="1030"/>
    </row>
    <row r="83" spans="1:7" x14ac:dyDescent="0.2">
      <c r="A83" s="1735" t="s">
        <v>449</v>
      </c>
      <c r="B83" s="1684" t="s">
        <v>2298</v>
      </c>
      <c r="C83" s="1684" t="s">
        <v>2302</v>
      </c>
      <c r="D83" s="1684" t="s">
        <v>2300</v>
      </c>
      <c r="E83" s="1532"/>
      <c r="F83" s="1736">
        <v>3839</v>
      </c>
      <c r="G83" s="1030"/>
    </row>
    <row r="84" spans="1:7" x14ac:dyDescent="0.2">
      <c r="A84" s="1735" t="s">
        <v>449</v>
      </c>
      <c r="B84" s="1684" t="s">
        <v>2301</v>
      </c>
      <c r="C84" s="1684" t="s">
        <v>2303</v>
      </c>
      <c r="D84" s="1684" t="s">
        <v>2300</v>
      </c>
      <c r="E84" s="1532"/>
      <c r="F84" s="1736">
        <v>3828</v>
      </c>
      <c r="G84" s="1030"/>
    </row>
    <row r="85" spans="1:7" x14ac:dyDescent="0.2">
      <c r="A85" s="1735" t="s">
        <v>449</v>
      </c>
      <c r="B85" s="1684" t="s">
        <v>2301</v>
      </c>
      <c r="C85" s="1684" t="s">
        <v>2304</v>
      </c>
      <c r="D85" s="1684" t="s">
        <v>2300</v>
      </c>
      <c r="E85" s="1532"/>
      <c r="F85" s="1736">
        <v>180</v>
      </c>
      <c r="G85" s="1030"/>
    </row>
    <row r="86" spans="1:7" x14ac:dyDescent="0.2">
      <c r="A86" s="1735" t="s">
        <v>449</v>
      </c>
      <c r="B86" s="1684" t="s">
        <v>2301</v>
      </c>
      <c r="C86" s="1684" t="s">
        <v>2305</v>
      </c>
      <c r="D86" s="1684" t="s">
        <v>2300</v>
      </c>
      <c r="E86" s="1532"/>
      <c r="F86" s="1736">
        <v>9545</v>
      </c>
      <c r="G86" s="1030"/>
    </row>
    <row r="87" spans="1:7" x14ac:dyDescent="0.2">
      <c r="A87" s="1735" t="s">
        <v>449</v>
      </c>
      <c r="B87" s="1684" t="s">
        <v>2301</v>
      </c>
      <c r="C87" s="1758" t="s">
        <v>2316</v>
      </c>
      <c r="D87" s="1758" t="s">
        <v>2317</v>
      </c>
      <c r="E87" s="736"/>
      <c r="F87" s="1736">
        <v>519884</v>
      </c>
      <c r="G87" s="1030"/>
    </row>
    <row r="88" spans="1:7" ht="13.5" thickBot="1" x14ac:dyDescent="0.25">
      <c r="A88" s="1031"/>
      <c r="B88" s="1032"/>
      <c r="C88" s="1032"/>
      <c r="D88" s="1032"/>
      <c r="E88" s="1032"/>
      <c r="F88" s="1032"/>
      <c r="G88" s="1030"/>
    </row>
    <row r="90" spans="1:7" ht="15.75" x14ac:dyDescent="0.25">
      <c r="A90" s="2260" t="s">
        <v>330</v>
      </c>
      <c r="B90" s="2260"/>
      <c r="C90" s="2260"/>
      <c r="D90" s="2260"/>
      <c r="E90" s="2260"/>
      <c r="F90" s="2260"/>
    </row>
    <row r="91" spans="1:7" ht="13.5" thickBot="1" x14ac:dyDescent="0.25"/>
    <row r="92" spans="1:7" ht="13.5" customHeight="1" x14ac:dyDescent="0.2">
      <c r="A92" s="2269" t="s">
        <v>222</v>
      </c>
      <c r="B92" s="2270"/>
      <c r="C92" s="2274" t="s">
        <v>225</v>
      </c>
      <c r="D92" s="2274" t="s">
        <v>789</v>
      </c>
      <c r="E92" s="2271" t="s">
        <v>329</v>
      </c>
      <c r="F92" s="2277" t="s">
        <v>332</v>
      </c>
    </row>
    <row r="93" spans="1:7" ht="17.25" customHeight="1" x14ac:dyDescent="0.2">
      <c r="A93" s="2279" t="s">
        <v>223</v>
      </c>
      <c r="B93" s="2281" t="s">
        <v>224</v>
      </c>
      <c r="C93" s="2275"/>
      <c r="D93" s="2275"/>
      <c r="E93" s="2272"/>
      <c r="F93" s="2278"/>
    </row>
    <row r="94" spans="1:7" x14ac:dyDescent="0.2">
      <c r="A94" s="2280"/>
      <c r="B94" s="2282"/>
      <c r="C94" s="2276"/>
      <c r="D94" s="2276"/>
      <c r="E94" s="1028" t="s">
        <v>218</v>
      </c>
      <c r="F94" s="1033" t="s">
        <v>217</v>
      </c>
    </row>
    <row r="95" spans="1:7" x14ac:dyDescent="0.2">
      <c r="A95" s="1737" t="s">
        <v>2298</v>
      </c>
      <c r="B95" s="1738" t="s">
        <v>449</v>
      </c>
      <c r="C95" s="1684" t="s">
        <v>2306</v>
      </c>
      <c r="D95" s="1684" t="s">
        <v>2300</v>
      </c>
      <c r="E95" s="1532">
        <v>98</v>
      </c>
      <c r="F95" s="1739">
        <v>29631.18</v>
      </c>
    </row>
    <row r="96" spans="1:7" x14ac:dyDescent="0.2">
      <c r="A96" s="951"/>
      <c r="B96" s="736"/>
      <c r="C96" s="736"/>
      <c r="D96" s="736"/>
      <c r="E96" s="736"/>
      <c r="F96" s="737"/>
    </row>
    <row r="97" spans="1:7" x14ac:dyDescent="0.2">
      <c r="A97" s="951"/>
      <c r="B97" s="736"/>
      <c r="C97" s="736"/>
      <c r="D97" s="736"/>
      <c r="E97" s="736"/>
      <c r="F97" s="737"/>
    </row>
    <row r="98" spans="1:7" x14ac:dyDescent="0.2">
      <c r="A98" s="951"/>
      <c r="B98" s="736"/>
      <c r="C98" s="736"/>
      <c r="D98" s="736"/>
      <c r="E98" s="736"/>
      <c r="F98" s="737"/>
    </row>
    <row r="99" spans="1:7" x14ac:dyDescent="0.2">
      <c r="A99" s="951"/>
      <c r="B99" s="736"/>
      <c r="C99" s="736"/>
      <c r="D99" s="736"/>
      <c r="E99" s="736"/>
      <c r="F99" s="737"/>
    </row>
    <row r="100" spans="1:7" x14ac:dyDescent="0.2">
      <c r="A100" s="951"/>
      <c r="B100" s="736"/>
      <c r="C100" s="736"/>
      <c r="D100" s="736"/>
      <c r="E100" s="736"/>
      <c r="F100" s="737"/>
    </row>
    <row r="101" spans="1:7" x14ac:dyDescent="0.2">
      <c r="A101" s="951"/>
      <c r="B101" s="736"/>
      <c r="C101" s="736"/>
      <c r="D101" s="736"/>
      <c r="E101" s="736"/>
      <c r="F101" s="737"/>
    </row>
    <row r="102" spans="1:7" ht="13.5" thickBot="1" x14ac:dyDescent="0.25">
      <c r="A102" s="1031"/>
      <c r="B102" s="1032"/>
      <c r="C102" s="1032"/>
      <c r="D102" s="1032"/>
      <c r="E102" s="1032"/>
      <c r="F102" s="1034"/>
    </row>
    <row r="104" spans="1:7" x14ac:dyDescent="0.2">
      <c r="B104" s="630" t="s">
        <v>50</v>
      </c>
      <c r="C104" s="1026">
        <v>2014</v>
      </c>
    </row>
    <row r="105" spans="1:7" x14ac:dyDescent="0.2">
      <c r="C105" s="630"/>
      <c r="D105" s="1027"/>
    </row>
    <row r="106" spans="1:7" ht="15.75" x14ac:dyDescent="0.25">
      <c r="A106" s="2260" t="s">
        <v>331</v>
      </c>
      <c r="B106" s="2260"/>
      <c r="C106" s="2260"/>
      <c r="D106" s="2260"/>
      <c r="E106" s="2260"/>
      <c r="F106" s="2260"/>
    </row>
    <row r="107" spans="1:7" ht="13.5" thickBot="1" x14ac:dyDescent="0.25"/>
    <row r="108" spans="1:7" ht="13.5" customHeight="1" x14ac:dyDescent="0.2">
      <c r="A108" s="2269" t="s">
        <v>222</v>
      </c>
      <c r="B108" s="2270"/>
      <c r="C108" s="2266" t="s">
        <v>225</v>
      </c>
      <c r="D108" s="2266" t="s">
        <v>789</v>
      </c>
      <c r="E108" s="2271" t="s">
        <v>226</v>
      </c>
      <c r="F108" s="2271" t="s">
        <v>227</v>
      </c>
      <c r="G108" s="2273"/>
    </row>
    <row r="109" spans="1:7" ht="17.25" customHeight="1" x14ac:dyDescent="0.2">
      <c r="A109" s="2262" t="s">
        <v>223</v>
      </c>
      <c r="B109" s="2264" t="s">
        <v>224</v>
      </c>
      <c r="C109" s="2267"/>
      <c r="D109" s="2267"/>
      <c r="E109" s="2272"/>
      <c r="F109" s="2272"/>
      <c r="G109" s="2273"/>
    </row>
    <row r="110" spans="1:7" x14ac:dyDescent="0.2">
      <c r="A110" s="2263"/>
      <c r="B110" s="2265"/>
      <c r="C110" s="2268"/>
      <c r="D110" s="2268"/>
      <c r="E110" s="1028" t="s">
        <v>217</v>
      </c>
      <c r="F110" s="1028" t="s">
        <v>217</v>
      </c>
      <c r="G110" s="1029"/>
    </row>
    <row r="111" spans="1:7" x14ac:dyDescent="0.2">
      <c r="A111" s="1735" t="s">
        <v>449</v>
      </c>
      <c r="B111" s="1684" t="s">
        <v>2298</v>
      </c>
      <c r="C111" s="1684" t="s">
        <v>2299</v>
      </c>
      <c r="D111" s="1684" t="s">
        <v>2300</v>
      </c>
      <c r="E111" s="1532"/>
      <c r="F111" s="1736">
        <v>16116</v>
      </c>
      <c r="G111" s="1030"/>
    </row>
    <row r="112" spans="1:7" x14ac:dyDescent="0.2">
      <c r="A112" s="1735" t="s">
        <v>449</v>
      </c>
      <c r="B112" s="1684" t="s">
        <v>2301</v>
      </c>
      <c r="C112" s="1684" t="s">
        <v>2299</v>
      </c>
      <c r="D112" s="1684" t="s">
        <v>2300</v>
      </c>
      <c r="E112" s="1532"/>
      <c r="F112" s="1736">
        <v>444</v>
      </c>
      <c r="G112" s="1030"/>
    </row>
    <row r="113" spans="1:7" x14ac:dyDescent="0.2">
      <c r="A113" s="1735" t="s">
        <v>449</v>
      </c>
      <c r="B113" s="1684" t="s">
        <v>2301</v>
      </c>
      <c r="C113" s="1684" t="s">
        <v>2302</v>
      </c>
      <c r="D113" s="1684" t="s">
        <v>2300</v>
      </c>
      <c r="E113" s="1532"/>
      <c r="F113" s="1736">
        <v>15500</v>
      </c>
      <c r="G113" s="1030"/>
    </row>
    <row r="114" spans="1:7" x14ac:dyDescent="0.2">
      <c r="A114" s="1735" t="s">
        <v>449</v>
      </c>
      <c r="B114" s="1684" t="s">
        <v>2298</v>
      </c>
      <c r="C114" s="1684" t="s">
        <v>2302</v>
      </c>
      <c r="D114" s="1684" t="s">
        <v>2300</v>
      </c>
      <c r="E114" s="1532"/>
      <c r="F114" s="1736">
        <v>3632</v>
      </c>
      <c r="G114" s="1030"/>
    </row>
    <row r="115" spans="1:7" x14ac:dyDescent="0.2">
      <c r="A115" s="1735" t="s">
        <v>449</v>
      </c>
      <c r="B115" s="1684" t="s">
        <v>2301</v>
      </c>
      <c r="C115" s="1684" t="s">
        <v>2303</v>
      </c>
      <c r="D115" s="1684" t="s">
        <v>2300</v>
      </c>
      <c r="E115" s="1532"/>
      <c r="F115" s="1736">
        <v>3828</v>
      </c>
      <c r="G115" s="1030"/>
    </row>
    <row r="116" spans="1:7" x14ac:dyDescent="0.2">
      <c r="A116" s="1735" t="s">
        <v>449</v>
      </c>
      <c r="B116" s="1684" t="s">
        <v>2301</v>
      </c>
      <c r="C116" s="1684" t="s">
        <v>2304</v>
      </c>
      <c r="D116" s="1684" t="s">
        <v>2300</v>
      </c>
      <c r="E116" s="1532"/>
      <c r="F116" s="1736">
        <v>180</v>
      </c>
      <c r="G116" s="1030"/>
    </row>
    <row r="117" spans="1:7" x14ac:dyDescent="0.2">
      <c r="A117" s="1735" t="s">
        <v>449</v>
      </c>
      <c r="B117" s="1684" t="s">
        <v>2301</v>
      </c>
      <c r="C117" s="1684" t="s">
        <v>2305</v>
      </c>
      <c r="D117" s="1684" t="s">
        <v>2300</v>
      </c>
      <c r="E117" s="1532"/>
      <c r="F117" s="1736">
        <v>8499</v>
      </c>
      <c r="G117" s="1030"/>
    </row>
    <row r="118" spans="1:7" x14ac:dyDescent="0.2">
      <c r="A118" s="1735" t="s">
        <v>449</v>
      </c>
      <c r="B118" s="1684" t="s">
        <v>2301</v>
      </c>
      <c r="C118" s="1758" t="s">
        <v>2316</v>
      </c>
      <c r="D118" s="1758" t="s">
        <v>2317</v>
      </c>
      <c r="E118" s="736"/>
      <c r="F118" s="1736">
        <v>552475</v>
      </c>
      <c r="G118" s="1030"/>
    </row>
    <row r="119" spans="1:7" ht="13.5" thickBot="1" x14ac:dyDescent="0.25">
      <c r="A119" s="1031"/>
      <c r="B119" s="1032"/>
      <c r="C119" s="1032"/>
      <c r="D119" s="1032"/>
      <c r="E119" s="1032"/>
      <c r="F119" s="1032"/>
      <c r="G119" s="1030"/>
    </row>
    <row r="121" spans="1:7" ht="15.75" x14ac:dyDescent="0.25">
      <c r="A121" s="2260" t="s">
        <v>330</v>
      </c>
      <c r="B121" s="2260"/>
      <c r="C121" s="2260"/>
      <c r="D121" s="2260"/>
      <c r="E121" s="2260"/>
      <c r="F121" s="2260"/>
    </row>
    <row r="122" spans="1:7" ht="13.5" thickBot="1" x14ac:dyDescent="0.25"/>
    <row r="123" spans="1:7" ht="13.5" customHeight="1" x14ac:dyDescent="0.2">
      <c r="A123" s="2269" t="s">
        <v>222</v>
      </c>
      <c r="B123" s="2270"/>
      <c r="C123" s="2274" t="s">
        <v>225</v>
      </c>
      <c r="D123" s="2274" t="s">
        <v>789</v>
      </c>
      <c r="E123" s="2271" t="s">
        <v>329</v>
      </c>
      <c r="F123" s="2277" t="s">
        <v>332</v>
      </c>
    </row>
    <row r="124" spans="1:7" ht="17.25" customHeight="1" x14ac:dyDescent="0.2">
      <c r="A124" s="2279" t="s">
        <v>223</v>
      </c>
      <c r="B124" s="2281" t="s">
        <v>224</v>
      </c>
      <c r="C124" s="2275"/>
      <c r="D124" s="2275"/>
      <c r="E124" s="2272"/>
      <c r="F124" s="2278"/>
    </row>
    <row r="125" spans="1:7" x14ac:dyDescent="0.2">
      <c r="A125" s="2280"/>
      <c r="B125" s="2282"/>
      <c r="C125" s="2276"/>
      <c r="D125" s="2276"/>
      <c r="E125" s="1028" t="s">
        <v>218</v>
      </c>
      <c r="F125" s="1033" t="s">
        <v>217</v>
      </c>
    </row>
    <row r="126" spans="1:7" x14ac:dyDescent="0.2">
      <c r="A126" s="1737" t="s">
        <v>2298</v>
      </c>
      <c r="B126" s="1738" t="s">
        <v>449</v>
      </c>
      <c r="C126" s="1684" t="s">
        <v>2306</v>
      </c>
      <c r="D126" s="1684" t="s">
        <v>2300</v>
      </c>
      <c r="E126" s="1532">
        <v>98</v>
      </c>
      <c r="F126" s="1736">
        <v>20528</v>
      </c>
    </row>
    <row r="127" spans="1:7" x14ac:dyDescent="0.2">
      <c r="A127" s="951"/>
      <c r="B127" s="736"/>
      <c r="C127" s="736"/>
      <c r="D127" s="736"/>
      <c r="E127" s="736"/>
      <c r="F127" s="737"/>
    </row>
    <row r="128" spans="1:7" x14ac:dyDescent="0.2">
      <c r="A128" s="951"/>
      <c r="B128" s="736"/>
      <c r="C128" s="736"/>
      <c r="D128" s="736"/>
      <c r="E128" s="736"/>
      <c r="F128" s="737"/>
    </row>
    <row r="129" spans="1:7" x14ac:dyDescent="0.2">
      <c r="A129" s="951"/>
      <c r="B129" s="736"/>
      <c r="C129" s="736"/>
      <c r="D129" s="736"/>
      <c r="E129" s="736"/>
      <c r="F129" s="737"/>
    </row>
    <row r="130" spans="1:7" x14ac:dyDescent="0.2">
      <c r="A130" s="951"/>
      <c r="B130" s="736"/>
      <c r="C130" s="736"/>
      <c r="D130" s="736"/>
      <c r="E130" s="736"/>
      <c r="F130" s="737"/>
    </row>
    <row r="131" spans="1:7" x14ac:dyDescent="0.2">
      <c r="A131" s="951"/>
      <c r="B131" s="736"/>
      <c r="C131" s="736"/>
      <c r="D131" s="736"/>
      <c r="E131" s="736"/>
      <c r="F131" s="737"/>
    </row>
    <row r="132" spans="1:7" x14ac:dyDescent="0.2">
      <c r="A132" s="951"/>
      <c r="B132" s="736"/>
      <c r="C132" s="736"/>
      <c r="D132" s="736"/>
      <c r="E132" s="736"/>
      <c r="F132" s="737"/>
    </row>
    <row r="133" spans="1:7" ht="13.5" thickBot="1" x14ac:dyDescent="0.25">
      <c r="A133" s="1031"/>
      <c r="B133" s="1032"/>
      <c r="C133" s="1032"/>
      <c r="D133" s="1032"/>
      <c r="E133" s="1032"/>
      <c r="F133" s="1034"/>
    </row>
    <row r="135" spans="1:7" x14ac:dyDescent="0.2">
      <c r="B135" s="630" t="s">
        <v>50</v>
      </c>
      <c r="C135" s="1026">
        <v>2015</v>
      </c>
    </row>
    <row r="136" spans="1:7" x14ac:dyDescent="0.2">
      <c r="C136" s="630"/>
      <c r="D136" s="1027"/>
    </row>
    <row r="137" spans="1:7" ht="15.75" x14ac:dyDescent="0.25">
      <c r="A137" s="2260" t="s">
        <v>331</v>
      </c>
      <c r="B137" s="2260"/>
      <c r="C137" s="2260"/>
      <c r="D137" s="2260"/>
      <c r="E137" s="2260"/>
      <c r="F137" s="2260"/>
    </row>
    <row r="138" spans="1:7" ht="13.5" thickBot="1" x14ac:dyDescent="0.25"/>
    <row r="139" spans="1:7" ht="13.5" customHeight="1" x14ac:dyDescent="0.2">
      <c r="A139" s="2269" t="s">
        <v>222</v>
      </c>
      <c r="B139" s="2270"/>
      <c r="C139" s="2266" t="s">
        <v>225</v>
      </c>
      <c r="D139" s="2266" t="s">
        <v>789</v>
      </c>
      <c r="E139" s="2271" t="s">
        <v>226</v>
      </c>
      <c r="F139" s="2271" t="s">
        <v>227</v>
      </c>
      <c r="G139" s="2273"/>
    </row>
    <row r="140" spans="1:7" ht="17.25" customHeight="1" x14ac:dyDescent="0.2">
      <c r="A140" s="2262" t="s">
        <v>223</v>
      </c>
      <c r="B140" s="2264" t="s">
        <v>224</v>
      </c>
      <c r="C140" s="2267"/>
      <c r="D140" s="2267"/>
      <c r="E140" s="2272"/>
      <c r="F140" s="2272"/>
      <c r="G140" s="2273"/>
    </row>
    <row r="141" spans="1:7" x14ac:dyDescent="0.2">
      <c r="A141" s="2263"/>
      <c r="B141" s="2265"/>
      <c r="C141" s="2268"/>
      <c r="D141" s="2268"/>
      <c r="E141" s="1028" t="s">
        <v>217</v>
      </c>
      <c r="F141" s="1028" t="s">
        <v>217</v>
      </c>
      <c r="G141" s="1029"/>
    </row>
    <row r="142" spans="1:7" x14ac:dyDescent="0.2">
      <c r="A142" s="1735" t="s">
        <v>449</v>
      </c>
      <c r="B142" s="1684" t="s">
        <v>2298</v>
      </c>
      <c r="C142" s="1684" t="s">
        <v>2299</v>
      </c>
      <c r="D142" s="1684" t="s">
        <v>2300</v>
      </c>
      <c r="E142" s="1532"/>
      <c r="F142" s="1736">
        <v>16596</v>
      </c>
      <c r="G142" s="1030"/>
    </row>
    <row r="143" spans="1:7" x14ac:dyDescent="0.2">
      <c r="A143" s="1735" t="s">
        <v>449</v>
      </c>
      <c r="B143" s="1684" t="s">
        <v>2301</v>
      </c>
      <c r="C143" s="1684" t="s">
        <v>2299</v>
      </c>
      <c r="D143" s="1684" t="s">
        <v>2300</v>
      </c>
      <c r="E143" s="1532"/>
      <c r="F143" s="1736">
        <v>444</v>
      </c>
      <c r="G143" s="1030"/>
    </row>
    <row r="144" spans="1:7" x14ac:dyDescent="0.2">
      <c r="A144" s="1735" t="s">
        <v>449</v>
      </c>
      <c r="B144" s="1684" t="s">
        <v>2301</v>
      </c>
      <c r="C144" s="1684" t="s">
        <v>2302</v>
      </c>
      <c r="D144" s="1684" t="s">
        <v>2300</v>
      </c>
      <c r="E144" s="1532"/>
      <c r="F144" s="1736">
        <v>13556</v>
      </c>
      <c r="G144" s="1030"/>
    </row>
    <row r="145" spans="1:7" x14ac:dyDescent="0.2">
      <c r="A145" s="1735" t="s">
        <v>449</v>
      </c>
      <c r="B145" s="1684" t="s">
        <v>2298</v>
      </c>
      <c r="C145" s="1684" t="s">
        <v>2302</v>
      </c>
      <c r="D145" s="1684" t="s">
        <v>2300</v>
      </c>
      <c r="E145" s="1532"/>
      <c r="F145" s="1736">
        <v>3433</v>
      </c>
      <c r="G145" s="1030"/>
    </row>
    <row r="146" spans="1:7" x14ac:dyDescent="0.2">
      <c r="A146" s="1735" t="s">
        <v>449</v>
      </c>
      <c r="B146" s="1684" t="s">
        <v>2301</v>
      </c>
      <c r="C146" s="1684" t="s">
        <v>2303</v>
      </c>
      <c r="D146" s="1684" t="s">
        <v>2300</v>
      </c>
      <c r="E146" s="1532"/>
      <c r="F146" s="1736">
        <v>3828</v>
      </c>
      <c r="G146" s="1030"/>
    </row>
    <row r="147" spans="1:7" x14ac:dyDescent="0.2">
      <c r="A147" s="1735" t="s">
        <v>449</v>
      </c>
      <c r="B147" s="1684" t="s">
        <v>2301</v>
      </c>
      <c r="C147" s="1684" t="s">
        <v>2304</v>
      </c>
      <c r="D147" s="1684" t="s">
        <v>2300</v>
      </c>
      <c r="E147" s="1532"/>
      <c r="F147" s="1736">
        <v>180</v>
      </c>
      <c r="G147" s="1030"/>
    </row>
    <row r="148" spans="1:7" x14ac:dyDescent="0.2">
      <c r="A148" s="1735" t="s">
        <v>449</v>
      </c>
      <c r="B148" s="1684" t="s">
        <v>2301</v>
      </c>
      <c r="C148" s="1684" t="s">
        <v>2305</v>
      </c>
      <c r="D148" s="1684" t="s">
        <v>2300</v>
      </c>
      <c r="E148" s="1532"/>
      <c r="F148" s="1736">
        <v>8198</v>
      </c>
      <c r="G148" s="1030"/>
    </row>
    <row r="149" spans="1:7" x14ac:dyDescent="0.2">
      <c r="A149" s="1735" t="s">
        <v>449</v>
      </c>
      <c r="B149" s="1684" t="s">
        <v>2301</v>
      </c>
      <c r="C149" s="1758" t="s">
        <v>2316</v>
      </c>
      <c r="D149" s="1758" t="s">
        <v>2317</v>
      </c>
      <c r="E149" s="736"/>
      <c r="F149" s="1736">
        <v>588075</v>
      </c>
      <c r="G149" s="1030"/>
    </row>
    <row r="150" spans="1:7" ht="13.5" thickBot="1" x14ac:dyDescent="0.25">
      <c r="A150" s="1031"/>
      <c r="B150" s="1032"/>
      <c r="C150" s="1032"/>
      <c r="D150" s="1032"/>
      <c r="E150" s="1032"/>
      <c r="F150" s="1032"/>
      <c r="G150" s="1030"/>
    </row>
    <row r="152" spans="1:7" ht="15.75" x14ac:dyDescent="0.25">
      <c r="A152" s="2260" t="s">
        <v>330</v>
      </c>
      <c r="B152" s="2260"/>
      <c r="C152" s="2260"/>
      <c r="D152" s="2260"/>
      <c r="E152" s="2260"/>
      <c r="F152" s="2260"/>
    </row>
    <row r="153" spans="1:7" ht="13.5" thickBot="1" x14ac:dyDescent="0.25"/>
    <row r="154" spans="1:7" ht="13.5" customHeight="1" x14ac:dyDescent="0.2">
      <c r="A154" s="2269" t="s">
        <v>222</v>
      </c>
      <c r="B154" s="2270"/>
      <c r="C154" s="2274" t="s">
        <v>225</v>
      </c>
      <c r="D154" s="2274" t="s">
        <v>789</v>
      </c>
      <c r="E154" s="2271" t="s">
        <v>329</v>
      </c>
      <c r="F154" s="2277" t="s">
        <v>332</v>
      </c>
    </row>
    <row r="155" spans="1:7" ht="17.25" customHeight="1" x14ac:dyDescent="0.2">
      <c r="A155" s="2279" t="s">
        <v>223</v>
      </c>
      <c r="B155" s="2281" t="s">
        <v>224</v>
      </c>
      <c r="C155" s="2275"/>
      <c r="D155" s="2275"/>
      <c r="E155" s="2272"/>
      <c r="F155" s="2278"/>
    </row>
    <row r="156" spans="1:7" x14ac:dyDescent="0.2">
      <c r="A156" s="2280"/>
      <c r="B156" s="2282"/>
      <c r="C156" s="2276"/>
      <c r="D156" s="2276"/>
      <c r="E156" s="1028" t="s">
        <v>218</v>
      </c>
      <c r="F156" s="1033" t="s">
        <v>217</v>
      </c>
    </row>
    <row r="157" spans="1:7" x14ac:dyDescent="0.2">
      <c r="A157" s="1737" t="s">
        <v>2298</v>
      </c>
      <c r="B157" s="1738" t="s">
        <v>449</v>
      </c>
      <c r="C157" s="1684" t="s">
        <v>2306</v>
      </c>
      <c r="D157" s="1684" t="s">
        <v>2300</v>
      </c>
      <c r="E157" s="1532">
        <v>98</v>
      </c>
      <c r="F157" s="1736">
        <v>67064</v>
      </c>
    </row>
    <row r="158" spans="1:7" x14ac:dyDescent="0.2">
      <c r="A158" s="951"/>
      <c r="B158" s="736"/>
      <c r="C158" s="736"/>
      <c r="D158" s="736"/>
      <c r="E158" s="736"/>
      <c r="F158" s="737"/>
    </row>
    <row r="159" spans="1:7" x14ac:dyDescent="0.2">
      <c r="A159" s="951"/>
      <c r="B159" s="736"/>
      <c r="C159" s="736"/>
      <c r="D159" s="736"/>
      <c r="E159" s="736"/>
      <c r="F159" s="737"/>
    </row>
    <row r="160" spans="1:7" x14ac:dyDescent="0.2">
      <c r="A160" s="951"/>
      <c r="B160" s="736"/>
      <c r="C160" s="736"/>
      <c r="D160" s="736"/>
      <c r="E160" s="736"/>
      <c r="F160" s="737"/>
    </row>
    <row r="161" spans="1:7" x14ac:dyDescent="0.2">
      <c r="A161" s="951"/>
      <c r="B161" s="736"/>
      <c r="C161" s="736"/>
      <c r="D161" s="736"/>
      <c r="E161" s="736"/>
      <c r="F161" s="737"/>
    </row>
    <row r="162" spans="1:7" x14ac:dyDescent="0.2">
      <c r="A162" s="951"/>
      <c r="B162" s="736"/>
      <c r="C162" s="736"/>
      <c r="D162" s="736"/>
      <c r="E162" s="736"/>
      <c r="F162" s="737"/>
    </row>
    <row r="163" spans="1:7" x14ac:dyDescent="0.2">
      <c r="A163" s="951"/>
      <c r="B163" s="736"/>
      <c r="C163" s="736"/>
      <c r="D163" s="736"/>
      <c r="E163" s="736"/>
      <c r="F163" s="737"/>
    </row>
    <row r="164" spans="1:7" ht="13.5" thickBot="1" x14ac:dyDescent="0.25">
      <c r="A164" s="1031"/>
      <c r="B164" s="1032"/>
      <c r="C164" s="1032"/>
      <c r="D164" s="1032"/>
      <c r="E164" s="1032"/>
      <c r="F164" s="1034"/>
    </row>
    <row r="166" spans="1:7" x14ac:dyDescent="0.2">
      <c r="B166" s="630" t="s">
        <v>50</v>
      </c>
      <c r="C166" s="1026">
        <v>2016</v>
      </c>
    </row>
    <row r="167" spans="1:7" x14ac:dyDescent="0.2">
      <c r="C167" s="630"/>
      <c r="D167" s="1027"/>
    </row>
    <row r="168" spans="1:7" ht="15.75" x14ac:dyDescent="0.25">
      <c r="A168" s="2260" t="s">
        <v>331</v>
      </c>
      <c r="B168" s="2260"/>
      <c r="C168" s="2260"/>
      <c r="D168" s="2260"/>
      <c r="E168" s="2260"/>
      <c r="F168" s="2260"/>
    </row>
    <row r="169" spans="1:7" ht="13.5" thickBot="1" x14ac:dyDescent="0.25"/>
    <row r="170" spans="1:7" ht="13.5" customHeight="1" x14ac:dyDescent="0.2">
      <c r="A170" s="2269" t="s">
        <v>222</v>
      </c>
      <c r="B170" s="2270"/>
      <c r="C170" s="2266" t="s">
        <v>225</v>
      </c>
      <c r="D170" s="2266" t="s">
        <v>789</v>
      </c>
      <c r="E170" s="2271" t="s">
        <v>226</v>
      </c>
      <c r="F170" s="2271" t="s">
        <v>227</v>
      </c>
      <c r="G170" s="2273"/>
    </row>
    <row r="171" spans="1:7" ht="17.25" customHeight="1" x14ac:dyDescent="0.2">
      <c r="A171" s="2262" t="s">
        <v>223</v>
      </c>
      <c r="B171" s="2264" t="s">
        <v>224</v>
      </c>
      <c r="C171" s="2267"/>
      <c r="D171" s="2267"/>
      <c r="E171" s="2272"/>
      <c r="F171" s="2272"/>
      <c r="G171" s="2273"/>
    </row>
    <row r="172" spans="1:7" x14ac:dyDescent="0.2">
      <c r="A172" s="2263"/>
      <c r="B172" s="2265"/>
      <c r="C172" s="2268"/>
      <c r="D172" s="2268"/>
      <c r="E172" s="1028" t="s">
        <v>217</v>
      </c>
      <c r="F172" s="1028" t="s">
        <v>217</v>
      </c>
      <c r="G172" s="1029"/>
    </row>
    <row r="173" spans="1:7" x14ac:dyDescent="0.2">
      <c r="A173" s="1735" t="s">
        <v>449</v>
      </c>
      <c r="B173" s="1684" t="s">
        <v>2298</v>
      </c>
      <c r="C173" s="1684" t="s">
        <v>2299</v>
      </c>
      <c r="D173" s="1684" t="s">
        <v>2300</v>
      </c>
      <c r="E173" s="1532"/>
      <c r="F173" s="1736">
        <v>17100</v>
      </c>
      <c r="G173" s="1030"/>
    </row>
    <row r="174" spans="1:7" x14ac:dyDescent="0.2">
      <c r="A174" s="1735" t="s">
        <v>449</v>
      </c>
      <c r="B174" s="1684" t="s">
        <v>2301</v>
      </c>
      <c r="C174" s="1684" t="s">
        <v>2299</v>
      </c>
      <c r="D174" s="1684" t="s">
        <v>2300</v>
      </c>
      <c r="E174" s="1532"/>
      <c r="F174" s="1736">
        <v>444</v>
      </c>
      <c r="G174" s="1030"/>
    </row>
    <row r="175" spans="1:7" x14ac:dyDescent="0.2">
      <c r="A175" s="1735" t="s">
        <v>449</v>
      </c>
      <c r="B175" s="1684" t="s">
        <v>2301</v>
      </c>
      <c r="C175" s="1684" t="s">
        <v>2302</v>
      </c>
      <c r="D175" s="1684" t="s">
        <v>2300</v>
      </c>
      <c r="E175" s="1532"/>
      <c r="F175" s="1736">
        <v>13556</v>
      </c>
      <c r="G175" s="1030"/>
    </row>
    <row r="176" spans="1:7" x14ac:dyDescent="0.2">
      <c r="A176" s="1735" t="s">
        <v>449</v>
      </c>
      <c r="B176" s="1684" t="s">
        <v>2298</v>
      </c>
      <c r="C176" s="1684" t="s">
        <v>2302</v>
      </c>
      <c r="D176" s="1684" t="s">
        <v>2300</v>
      </c>
      <c r="E176" s="1532"/>
      <c r="F176" s="1736">
        <v>3433</v>
      </c>
      <c r="G176" s="1030"/>
    </row>
    <row r="177" spans="1:7" x14ac:dyDescent="0.2">
      <c r="A177" s="1735" t="s">
        <v>449</v>
      </c>
      <c r="B177" s="1684" t="s">
        <v>2301</v>
      </c>
      <c r="C177" s="1684" t="s">
        <v>2303</v>
      </c>
      <c r="D177" s="1684" t="s">
        <v>2300</v>
      </c>
      <c r="E177" s="1532"/>
      <c r="F177" s="1736">
        <v>3828</v>
      </c>
      <c r="G177" s="1030"/>
    </row>
    <row r="178" spans="1:7" x14ac:dyDescent="0.2">
      <c r="A178" s="1735" t="s">
        <v>449</v>
      </c>
      <c r="B178" s="1684" t="s">
        <v>2301</v>
      </c>
      <c r="C178" s="1684" t="s">
        <v>2304</v>
      </c>
      <c r="D178" s="1684" t="s">
        <v>2300</v>
      </c>
      <c r="E178" s="1532"/>
      <c r="F178" s="1736">
        <v>180</v>
      </c>
      <c r="G178" s="1030"/>
    </row>
    <row r="179" spans="1:7" x14ac:dyDescent="0.2">
      <c r="A179" s="1735" t="s">
        <v>449</v>
      </c>
      <c r="B179" s="1684" t="s">
        <v>2301</v>
      </c>
      <c r="C179" s="1684" t="s">
        <v>2305</v>
      </c>
      <c r="D179" s="1684" t="s">
        <v>2300</v>
      </c>
      <c r="E179" s="1532"/>
      <c r="F179" s="1736">
        <v>8198</v>
      </c>
      <c r="G179" s="1030"/>
    </row>
    <row r="180" spans="1:7" x14ac:dyDescent="0.2">
      <c r="A180" s="1735" t="s">
        <v>449</v>
      </c>
      <c r="B180" s="1684" t="s">
        <v>2301</v>
      </c>
      <c r="C180" s="1758" t="s">
        <v>2316</v>
      </c>
      <c r="D180" s="1758" t="s">
        <v>2317</v>
      </c>
      <c r="E180" s="736"/>
      <c r="F180" s="1736">
        <v>626579</v>
      </c>
      <c r="G180" s="1030"/>
    </row>
    <row r="181" spans="1:7" ht="13.5" thickBot="1" x14ac:dyDescent="0.25">
      <c r="A181" s="1031"/>
      <c r="B181" s="1032"/>
      <c r="C181" s="1032"/>
      <c r="D181" s="1032"/>
      <c r="E181" s="1032"/>
      <c r="F181" s="1032"/>
      <c r="G181" s="1030"/>
    </row>
    <row r="183" spans="1:7" ht="15.75" x14ac:dyDescent="0.25">
      <c r="A183" s="2260" t="s">
        <v>330</v>
      </c>
      <c r="B183" s="2260"/>
      <c r="C183" s="2260"/>
      <c r="D183" s="2260"/>
      <c r="E183" s="2260"/>
      <c r="F183" s="2260"/>
    </row>
    <row r="184" spans="1:7" ht="13.5" thickBot="1" x14ac:dyDescent="0.25"/>
    <row r="185" spans="1:7" ht="13.5" customHeight="1" x14ac:dyDescent="0.2">
      <c r="A185" s="2269" t="s">
        <v>222</v>
      </c>
      <c r="B185" s="2270"/>
      <c r="C185" s="2274" t="s">
        <v>225</v>
      </c>
      <c r="D185" s="2274" t="s">
        <v>789</v>
      </c>
      <c r="E185" s="2271" t="s">
        <v>329</v>
      </c>
      <c r="F185" s="2277" t="s">
        <v>332</v>
      </c>
    </row>
    <row r="186" spans="1:7" ht="17.25" customHeight="1" x14ac:dyDescent="0.2">
      <c r="A186" s="2279" t="s">
        <v>223</v>
      </c>
      <c r="B186" s="2281" t="s">
        <v>224</v>
      </c>
      <c r="C186" s="2275"/>
      <c r="D186" s="2275"/>
      <c r="E186" s="2272"/>
      <c r="F186" s="2278"/>
    </row>
    <row r="187" spans="1:7" x14ac:dyDescent="0.2">
      <c r="A187" s="2280"/>
      <c r="B187" s="2282"/>
      <c r="C187" s="2276"/>
      <c r="D187" s="2276"/>
      <c r="E187" s="1028" t="s">
        <v>218</v>
      </c>
      <c r="F187" s="1033" t="s">
        <v>217</v>
      </c>
    </row>
    <row r="188" spans="1:7" x14ac:dyDescent="0.2">
      <c r="A188" s="1737" t="s">
        <v>2298</v>
      </c>
      <c r="B188" s="1738" t="s">
        <v>449</v>
      </c>
      <c r="C188" s="1684" t="s">
        <v>2306</v>
      </c>
      <c r="D188" s="1684" t="s">
        <v>2300</v>
      </c>
      <c r="E188" s="1532">
        <v>98</v>
      </c>
      <c r="F188" s="1736">
        <v>71724</v>
      </c>
    </row>
    <row r="189" spans="1:7" x14ac:dyDescent="0.2">
      <c r="A189" s="951"/>
      <c r="B189" s="736"/>
      <c r="C189" s="736"/>
      <c r="D189" s="736"/>
      <c r="E189" s="736"/>
      <c r="F189" s="737"/>
    </row>
    <row r="190" spans="1:7" x14ac:dyDescent="0.2">
      <c r="A190" s="951"/>
      <c r="B190" s="736"/>
      <c r="C190" s="736"/>
      <c r="D190" s="736"/>
      <c r="E190" s="736"/>
      <c r="F190" s="737"/>
    </row>
    <row r="191" spans="1:7" x14ac:dyDescent="0.2">
      <c r="A191" s="951"/>
      <c r="B191" s="736"/>
      <c r="C191" s="736"/>
      <c r="D191" s="736"/>
      <c r="E191" s="736"/>
      <c r="F191" s="737"/>
    </row>
    <row r="192" spans="1:7" x14ac:dyDescent="0.2">
      <c r="A192" s="951"/>
      <c r="B192" s="736"/>
      <c r="C192" s="736"/>
      <c r="D192" s="736"/>
      <c r="E192" s="736"/>
      <c r="F192" s="737"/>
    </row>
    <row r="193" spans="1:7" x14ac:dyDescent="0.2">
      <c r="A193" s="951"/>
      <c r="B193" s="736"/>
      <c r="C193" s="736"/>
      <c r="D193" s="736"/>
      <c r="E193" s="736"/>
      <c r="F193" s="737"/>
    </row>
    <row r="194" spans="1:7" x14ac:dyDescent="0.2">
      <c r="A194" s="951"/>
      <c r="B194" s="736"/>
      <c r="C194" s="736"/>
      <c r="D194" s="736"/>
      <c r="E194" s="736"/>
      <c r="F194" s="737"/>
    </row>
    <row r="195" spans="1:7" ht="13.5" thickBot="1" x14ac:dyDescent="0.25">
      <c r="A195" s="1031"/>
      <c r="B195" s="1032"/>
      <c r="C195" s="1032"/>
      <c r="D195" s="1032"/>
      <c r="E195" s="1032"/>
      <c r="F195" s="1034"/>
    </row>
    <row r="197" spans="1:7" ht="18" customHeight="1" x14ac:dyDescent="0.2">
      <c r="A197" s="1035" t="s">
        <v>142</v>
      </c>
      <c r="B197" s="1036"/>
      <c r="C197" s="1036"/>
      <c r="D197" s="1036"/>
      <c r="E197" s="1036"/>
      <c r="F197" s="1036"/>
      <c r="G197" s="1036"/>
    </row>
    <row r="198" spans="1:7" ht="12.75" customHeight="1" x14ac:dyDescent="0.2">
      <c r="A198" s="1035">
        <v>1</v>
      </c>
      <c r="B198" s="2261" t="s">
        <v>810</v>
      </c>
      <c r="C198" s="2261"/>
      <c r="D198" s="2261"/>
      <c r="E198" s="2261"/>
      <c r="F198" s="2261"/>
      <c r="G198" s="1752"/>
    </row>
    <row r="199" spans="1:7" x14ac:dyDescent="0.2">
      <c r="A199" s="1752"/>
      <c r="B199" s="2261"/>
      <c r="C199" s="2261"/>
      <c r="D199" s="2261"/>
      <c r="E199" s="2261"/>
      <c r="F199" s="2261"/>
      <c r="G199" s="1752"/>
    </row>
    <row r="201" spans="1:7" x14ac:dyDescent="0.2">
      <c r="A201" s="1037" t="s">
        <v>807</v>
      </c>
    </row>
    <row r="202" spans="1:7" ht="27" customHeight="1" x14ac:dyDescent="0.2">
      <c r="A202" s="2259" t="s">
        <v>790</v>
      </c>
      <c r="B202" s="2259"/>
      <c r="C202" s="2259"/>
      <c r="D202" s="2259"/>
      <c r="E202" s="2259"/>
      <c r="F202" s="2259"/>
    </row>
    <row r="203" spans="1:7" ht="15" x14ac:dyDescent="0.2">
      <c r="A203" s="1038"/>
    </row>
    <row r="204" spans="1:7" x14ac:dyDescent="0.2">
      <c r="A204" s="1037" t="s">
        <v>808</v>
      </c>
    </row>
    <row r="205" spans="1:7" ht="51.75" customHeight="1" x14ac:dyDescent="0.2">
      <c r="A205" s="2259" t="s">
        <v>791</v>
      </c>
      <c r="B205" s="2259"/>
      <c r="C205" s="2259"/>
      <c r="D205" s="2259"/>
      <c r="E205" s="2259"/>
      <c r="F205" s="2259"/>
    </row>
    <row r="206" spans="1:7" ht="15" x14ac:dyDescent="0.2">
      <c r="A206" s="1038"/>
    </row>
    <row r="207" spans="1:7" x14ac:dyDescent="0.2">
      <c r="A207" s="1037" t="s">
        <v>809</v>
      </c>
    </row>
    <row r="208" spans="1:7" ht="38.25" customHeight="1" x14ac:dyDescent="0.2">
      <c r="A208" s="2259" t="s">
        <v>792</v>
      </c>
      <c r="B208" s="2259"/>
      <c r="C208" s="2259"/>
      <c r="D208" s="2259"/>
      <c r="E208" s="2259"/>
      <c r="F208" s="2259"/>
    </row>
    <row r="209" spans="1:1" ht="15" x14ac:dyDescent="0.2">
      <c r="A209" s="268"/>
    </row>
  </sheetData>
  <mergeCells count="108">
    <mergeCell ref="E154:E155"/>
    <mergeCell ref="F154:F155"/>
    <mergeCell ref="A155:A156"/>
    <mergeCell ref="B155:B156"/>
    <mergeCell ref="A183:F183"/>
    <mergeCell ref="A185:B185"/>
    <mergeCell ref="C185:C187"/>
    <mergeCell ref="D185:D187"/>
    <mergeCell ref="E185:E186"/>
    <mergeCell ref="F185:F186"/>
    <mergeCell ref="A186:A187"/>
    <mergeCell ref="B186:B187"/>
    <mergeCell ref="A168:F168"/>
    <mergeCell ref="A170:B170"/>
    <mergeCell ref="C170:C172"/>
    <mergeCell ref="D170:D172"/>
    <mergeCell ref="E170:E171"/>
    <mergeCell ref="F170:F171"/>
    <mergeCell ref="A121:F121"/>
    <mergeCell ref="A123:B123"/>
    <mergeCell ref="C123:C125"/>
    <mergeCell ref="D123:D125"/>
    <mergeCell ref="E123:E124"/>
    <mergeCell ref="F123:F124"/>
    <mergeCell ref="A124:A125"/>
    <mergeCell ref="B124:B125"/>
    <mergeCell ref="G170:G171"/>
    <mergeCell ref="A171:A172"/>
    <mergeCell ref="B171:B172"/>
    <mergeCell ref="A137:F137"/>
    <mergeCell ref="A139:B139"/>
    <mergeCell ref="C139:C141"/>
    <mergeCell ref="D139:D141"/>
    <mergeCell ref="E139:E140"/>
    <mergeCell ref="F139:F140"/>
    <mergeCell ref="G139:G140"/>
    <mergeCell ref="A140:A141"/>
    <mergeCell ref="B140:B141"/>
    <mergeCell ref="A152:F152"/>
    <mergeCell ref="A154:B154"/>
    <mergeCell ref="C154:C156"/>
    <mergeCell ref="D154:D156"/>
    <mergeCell ref="A106:F106"/>
    <mergeCell ref="A108:B108"/>
    <mergeCell ref="C108:C110"/>
    <mergeCell ref="D108:D110"/>
    <mergeCell ref="E108:E109"/>
    <mergeCell ref="F108:F109"/>
    <mergeCell ref="G77:G78"/>
    <mergeCell ref="A78:A79"/>
    <mergeCell ref="B78:B79"/>
    <mergeCell ref="A90:F90"/>
    <mergeCell ref="A92:B92"/>
    <mergeCell ref="C92:C94"/>
    <mergeCell ref="D92:D94"/>
    <mergeCell ref="E92:E93"/>
    <mergeCell ref="F92:F93"/>
    <mergeCell ref="A93:A94"/>
    <mergeCell ref="B93:B94"/>
    <mergeCell ref="G108:G109"/>
    <mergeCell ref="A109:A110"/>
    <mergeCell ref="B109:B110"/>
    <mergeCell ref="C61:C63"/>
    <mergeCell ref="D61:D63"/>
    <mergeCell ref="E61:E62"/>
    <mergeCell ref="F61:F62"/>
    <mergeCell ref="A62:A63"/>
    <mergeCell ref="B62:B63"/>
    <mergeCell ref="C46:C48"/>
    <mergeCell ref="D46:D48"/>
    <mergeCell ref="E46:E47"/>
    <mergeCell ref="F46:F47"/>
    <mergeCell ref="G46:G47"/>
    <mergeCell ref="G16:G17"/>
    <mergeCell ref="A30:B30"/>
    <mergeCell ref="C30:C32"/>
    <mergeCell ref="D30:D32"/>
    <mergeCell ref="F30:F31"/>
    <mergeCell ref="E30:E31"/>
    <mergeCell ref="A31:A32"/>
    <mergeCell ref="B31:B32"/>
    <mergeCell ref="A28:F28"/>
    <mergeCell ref="A47:A48"/>
    <mergeCell ref="B47:B48"/>
    <mergeCell ref="A202:F202"/>
    <mergeCell ref="A205:F205"/>
    <mergeCell ref="A208:F208"/>
    <mergeCell ref="A14:F14"/>
    <mergeCell ref="A9:F9"/>
    <mergeCell ref="A10:F10"/>
    <mergeCell ref="B198:F199"/>
    <mergeCell ref="A17:A18"/>
    <mergeCell ref="B17:B18"/>
    <mergeCell ref="C16:C18"/>
    <mergeCell ref="D16:D18"/>
    <mergeCell ref="A16:B16"/>
    <mergeCell ref="E16:E17"/>
    <mergeCell ref="F16:F17"/>
    <mergeCell ref="A44:F44"/>
    <mergeCell ref="A46:B46"/>
    <mergeCell ref="A75:F75"/>
    <mergeCell ref="A77:B77"/>
    <mergeCell ref="C77:C79"/>
    <mergeCell ref="D77:D79"/>
    <mergeCell ref="E77:E78"/>
    <mergeCell ref="F77:F78"/>
    <mergeCell ref="A59:F59"/>
    <mergeCell ref="A61:B61"/>
  </mergeCells>
  <phoneticPr fontId="17" type="noConversion"/>
  <dataValidations count="1">
    <dataValidation allowBlank="1" showInputMessage="1" showErrorMessage="1" promptTitle="Date Format" prompt="E.g:  &quot;August 1, 2011&quot;" sqref="G7"/>
  </dataValidations>
  <pageMargins left="0.74803149606299213" right="0.74803149606299213" top="0.98425196850393704" bottom="0.98425196850393704" header="0.51181102362204722" footer="0.51181102362204722"/>
  <pageSetup scale="47" fitToHeight="2"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7"/>
  <dimension ref="A1:N73"/>
  <sheetViews>
    <sheetView showGridLines="0" zoomScaleNormal="100" workbookViewId="0"/>
  </sheetViews>
  <sheetFormatPr defaultRowHeight="12.75" x14ac:dyDescent="0.2"/>
  <cols>
    <col min="1" max="1" width="9.140625" style="61"/>
    <col min="2" max="2" width="9.140625" style="61" customWidth="1"/>
    <col min="3" max="16384" width="9.140625" style="61"/>
  </cols>
  <sheetData>
    <row r="1" spans="1:14" ht="15.75" x14ac:dyDescent="0.2">
      <c r="B1" s="265"/>
    </row>
    <row r="2" spans="1:14" ht="18" x14ac:dyDescent="0.25">
      <c r="B2" s="266"/>
      <c r="C2" s="1462"/>
      <c r="D2" s="1462"/>
      <c r="E2" s="1462"/>
      <c r="F2" s="1462"/>
      <c r="G2" s="1462"/>
      <c r="H2" s="267"/>
      <c r="I2" s="267"/>
      <c r="J2" s="267"/>
      <c r="K2" s="267"/>
      <c r="L2" s="267"/>
      <c r="M2" s="267"/>
      <c r="N2" s="267"/>
    </row>
    <row r="3" spans="1:14" ht="18" x14ac:dyDescent="0.2">
      <c r="B3" s="1941" t="s">
        <v>800</v>
      </c>
      <c r="C3" s="1941"/>
      <c r="D3" s="1941"/>
      <c r="E3" s="1941"/>
      <c r="F3" s="1941"/>
      <c r="G3" s="1941"/>
      <c r="H3" s="1941"/>
      <c r="I3" s="1941"/>
      <c r="J3" s="1941"/>
      <c r="K3" s="1941"/>
      <c r="L3" s="1941"/>
    </row>
    <row r="4" spans="1:14" ht="15" x14ac:dyDescent="0.2">
      <c r="B4" s="268"/>
    </row>
    <row r="5" spans="1:14" ht="52.5" customHeight="1" x14ac:dyDescent="0.2">
      <c r="A5" s="1942" t="s">
        <v>1975</v>
      </c>
      <c r="B5" s="1943"/>
      <c r="C5" s="1943"/>
      <c r="D5" s="1943"/>
      <c r="E5" s="1943"/>
      <c r="F5" s="1943"/>
      <c r="G5" s="1943"/>
      <c r="H5" s="1943"/>
      <c r="I5" s="1943"/>
      <c r="J5" s="1943"/>
      <c r="K5" s="1943"/>
      <c r="L5" s="1943"/>
      <c r="M5" s="267"/>
      <c r="N5" s="267"/>
    </row>
    <row r="6" spans="1:14" ht="15" customHeight="1" x14ac:dyDescent="0.2">
      <c r="A6" s="268"/>
      <c r="C6" s="267"/>
      <c r="D6" s="267"/>
      <c r="E6" s="267"/>
      <c r="F6" s="267"/>
      <c r="G6" s="267"/>
      <c r="H6" s="267"/>
      <c r="I6" s="267"/>
      <c r="J6" s="267"/>
      <c r="K6" s="267"/>
      <c r="L6" s="267"/>
      <c r="M6" s="267"/>
      <c r="N6" s="267"/>
    </row>
    <row r="7" spans="1:14" ht="15" customHeight="1" x14ac:dyDescent="0.2">
      <c r="A7" s="269"/>
      <c r="C7" s="267"/>
      <c r="D7" s="267"/>
      <c r="E7" s="267"/>
      <c r="F7" s="267"/>
      <c r="G7" s="267"/>
      <c r="H7" s="267"/>
      <c r="I7" s="267"/>
      <c r="J7" s="267"/>
      <c r="K7" s="267"/>
      <c r="L7" s="267"/>
      <c r="M7" s="267"/>
      <c r="N7" s="267"/>
    </row>
    <row r="8" spans="1:14" ht="15" x14ac:dyDescent="0.2">
      <c r="A8" s="270"/>
      <c r="B8" s="271"/>
    </row>
    <row r="9" spans="1:14" ht="15" x14ac:dyDescent="0.2">
      <c r="A9" s="270"/>
      <c r="B9" s="271"/>
    </row>
    <row r="10" spans="1:14" ht="15" x14ac:dyDescent="0.2">
      <c r="A10" s="270"/>
      <c r="B10" s="271"/>
    </row>
    <row r="11" spans="1:14" ht="15" x14ac:dyDescent="0.2">
      <c r="A11" s="270"/>
      <c r="B11" s="272"/>
    </row>
    <row r="12" spans="1:14" s="273" customFormat="1" ht="15" x14ac:dyDescent="0.2">
      <c r="A12" s="270"/>
      <c r="B12" s="272"/>
    </row>
    <row r="13" spans="1:14" s="273" customFormat="1" ht="15" x14ac:dyDescent="0.2">
      <c r="A13" s="270"/>
      <c r="B13" s="271"/>
    </row>
    <row r="14" spans="1:14" ht="15" x14ac:dyDescent="0.2">
      <c r="A14" s="270"/>
      <c r="B14" s="272"/>
    </row>
    <row r="15" spans="1:14" s="273" customFormat="1" ht="15" x14ac:dyDescent="0.2">
      <c r="A15" s="270"/>
      <c r="B15" s="272"/>
    </row>
    <row r="16" spans="1:14" s="273" customFormat="1" ht="15" x14ac:dyDescent="0.2">
      <c r="A16" s="270"/>
      <c r="B16" s="272"/>
    </row>
    <row r="17" spans="2:2" s="273" customFormat="1" ht="15" x14ac:dyDescent="0.2">
      <c r="B17" s="268"/>
    </row>
    <row r="18" spans="2:2" ht="15" x14ac:dyDescent="0.2">
      <c r="B18" s="269"/>
    </row>
    <row r="19" spans="2:2" ht="15" x14ac:dyDescent="0.2">
      <c r="B19" s="274"/>
    </row>
    <row r="20" spans="2:2" x14ac:dyDescent="0.2">
      <c r="B20" s="275"/>
    </row>
    <row r="21" spans="2:2" s="273" customFormat="1" ht="15.75" x14ac:dyDescent="0.2">
      <c r="B21" s="276"/>
    </row>
    <row r="22" spans="2:2" s="273" customFormat="1" ht="15" x14ac:dyDescent="0.2">
      <c r="B22" s="275"/>
    </row>
    <row r="23" spans="2:2" s="273" customFormat="1" ht="15" x14ac:dyDescent="0.2">
      <c r="B23" s="269"/>
    </row>
    <row r="24" spans="2:2" s="273" customFormat="1" ht="15" x14ac:dyDescent="0.2">
      <c r="B24" s="274"/>
    </row>
    <row r="25" spans="2:2" x14ac:dyDescent="0.2">
      <c r="B25" s="275"/>
    </row>
    <row r="26" spans="2:2" x14ac:dyDescent="0.2">
      <c r="B26" s="275"/>
    </row>
    <row r="27" spans="2:2" s="273" customFormat="1" ht="15" x14ac:dyDescent="0.2">
      <c r="B27" s="275"/>
    </row>
    <row r="28" spans="2:2" s="273" customFormat="1" ht="15" x14ac:dyDescent="0.2">
      <c r="B28" s="268"/>
    </row>
    <row r="29" spans="2:2" s="273" customFormat="1" ht="15" x14ac:dyDescent="0.2">
      <c r="B29" s="269"/>
    </row>
    <row r="30" spans="2:2" ht="15" x14ac:dyDescent="0.2">
      <c r="B30" s="277"/>
    </row>
    <row r="31" spans="2:2" ht="15" x14ac:dyDescent="0.2">
      <c r="B31" s="268"/>
    </row>
    <row r="32" spans="2:2" ht="15" x14ac:dyDescent="0.2">
      <c r="B32" s="269"/>
    </row>
    <row r="33" spans="2:2" ht="15" x14ac:dyDescent="0.2">
      <c r="B33" s="274"/>
    </row>
    <row r="34" spans="2:2" x14ac:dyDescent="0.2">
      <c r="B34" s="275"/>
    </row>
    <row r="35" spans="2:2" x14ac:dyDescent="0.2">
      <c r="B35" s="275"/>
    </row>
    <row r="36" spans="2:2" x14ac:dyDescent="0.2">
      <c r="B36" s="275"/>
    </row>
    <row r="37" spans="2:2" s="273" customFormat="1" ht="15" x14ac:dyDescent="0.2">
      <c r="B37" s="275"/>
    </row>
    <row r="38" spans="2:2" s="273" customFormat="1" ht="15" x14ac:dyDescent="0.2">
      <c r="B38" s="275"/>
    </row>
    <row r="39" spans="2:2" s="273" customFormat="1" ht="15" x14ac:dyDescent="0.2">
      <c r="B39" s="275"/>
    </row>
    <row r="40" spans="2:2" s="273" customFormat="1" ht="15" x14ac:dyDescent="0.2">
      <c r="B40" s="278"/>
    </row>
    <row r="41" spans="2:2" s="273" customFormat="1" ht="15" x14ac:dyDescent="0.2">
      <c r="B41" s="279"/>
    </row>
    <row r="42" spans="2:2" s="273" customFormat="1" ht="15" x14ac:dyDescent="0.2">
      <c r="B42" s="269"/>
    </row>
    <row r="43" spans="2:2" s="273" customFormat="1" ht="15" x14ac:dyDescent="0.2">
      <c r="B43" s="268"/>
    </row>
    <row r="44" spans="2:2" x14ac:dyDescent="0.2">
      <c r="B44" s="278"/>
    </row>
    <row r="45" spans="2:2" ht="15" x14ac:dyDescent="0.2">
      <c r="B45" s="271"/>
    </row>
    <row r="46" spans="2:2" x14ac:dyDescent="0.2">
      <c r="B46" s="278"/>
    </row>
    <row r="47" spans="2:2" s="273" customFormat="1" ht="15" x14ac:dyDescent="0.2">
      <c r="B47" s="268"/>
    </row>
    <row r="48" spans="2:2" s="273" customFormat="1" ht="15" x14ac:dyDescent="0.2">
      <c r="B48" s="278"/>
    </row>
    <row r="49" spans="2:2" s="273" customFormat="1" ht="15" x14ac:dyDescent="0.2">
      <c r="B49" s="268"/>
    </row>
    <row r="50" spans="2:2" s="273" customFormat="1" ht="15" x14ac:dyDescent="0.2">
      <c r="B50" s="269"/>
    </row>
    <row r="51" spans="2:2" s="273" customFormat="1" ht="15" x14ac:dyDescent="0.2">
      <c r="B51" s="277"/>
    </row>
    <row r="52" spans="2:2" ht="15" x14ac:dyDescent="0.2">
      <c r="B52" s="279"/>
    </row>
    <row r="53" spans="2:2" ht="15" x14ac:dyDescent="0.2">
      <c r="B53" s="269"/>
    </row>
    <row r="54" spans="2:2" ht="15" x14ac:dyDescent="0.2">
      <c r="B54" s="274"/>
    </row>
    <row r="55" spans="2:2" x14ac:dyDescent="0.2">
      <c r="B55" s="275"/>
    </row>
    <row r="56" spans="2:2" x14ac:dyDescent="0.2">
      <c r="B56" s="280"/>
    </row>
    <row r="57" spans="2:2" ht="15.75" x14ac:dyDescent="0.2">
      <c r="B57" s="276"/>
    </row>
    <row r="58" spans="2:2" s="273" customFormat="1" ht="15" x14ac:dyDescent="0.2">
      <c r="B58" s="275"/>
    </row>
    <row r="59" spans="2:2" s="273" customFormat="1" ht="15" x14ac:dyDescent="0.2">
      <c r="B59" s="274"/>
    </row>
    <row r="60" spans="2:2" s="273" customFormat="1" ht="15" x14ac:dyDescent="0.2">
      <c r="B60" s="269"/>
    </row>
    <row r="61" spans="2:2" s="273" customFormat="1" ht="15" x14ac:dyDescent="0.2">
      <c r="B61" s="277"/>
    </row>
    <row r="62" spans="2:2" ht="15" x14ac:dyDescent="0.2">
      <c r="B62" s="268"/>
    </row>
    <row r="63" spans="2:2" ht="15" x14ac:dyDescent="0.2">
      <c r="B63" s="269"/>
    </row>
    <row r="64" spans="2:2" x14ac:dyDescent="0.2">
      <c r="B64" s="278"/>
    </row>
    <row r="65" spans="2:2" ht="15" x14ac:dyDescent="0.2">
      <c r="B65" s="274"/>
    </row>
    <row r="66" spans="2:2" ht="15" x14ac:dyDescent="0.2">
      <c r="B66" s="269"/>
    </row>
    <row r="67" spans="2:2" s="273" customFormat="1" ht="15" x14ac:dyDescent="0.2">
      <c r="B67" s="278"/>
    </row>
    <row r="68" spans="2:2" ht="15" x14ac:dyDescent="0.2">
      <c r="B68" s="274"/>
    </row>
    <row r="69" spans="2:2" ht="15" x14ac:dyDescent="0.2">
      <c r="B69" s="279"/>
    </row>
    <row r="70" spans="2:2" s="273" customFormat="1" ht="15.75" x14ac:dyDescent="0.2">
      <c r="B70" s="266"/>
    </row>
    <row r="71" spans="2:2" ht="15" x14ac:dyDescent="0.2">
      <c r="B71" s="279"/>
    </row>
    <row r="72" spans="2:2" ht="15.75" x14ac:dyDescent="0.2">
      <c r="B72" s="266"/>
    </row>
    <row r="73" spans="2:2" ht="15.75" x14ac:dyDescent="0.2">
      <c r="B73" s="266"/>
    </row>
  </sheetData>
  <mergeCells count="2">
    <mergeCell ref="B3:L3"/>
    <mergeCell ref="A5:L5"/>
  </mergeCells>
  <pageMargins left="0.7" right="0.7" top="0.75" bottom="0.75" header="0.3" footer="0.3"/>
  <pageSetup scale="84" orientation="portrait" r:id="rId1"/>
  <drawing r:id="rId2"/>
  <legacyDrawing r:id="rId3"/>
  <oleObjects>
    <mc:AlternateContent xmlns:mc="http://schemas.openxmlformats.org/markup-compatibility/2006">
      <mc:Choice Requires="x14">
        <oleObject progId="AcroExch.Document.7" dvAspect="DVASPECT_ICON" shapeId="140291" r:id="rId4">
          <objectPr defaultSize="0" autoPict="0" r:id="rId5">
            <anchor moveWithCells="1">
              <from>
                <xdr:col>5</xdr:col>
                <xdr:colOff>209550</xdr:colOff>
                <xdr:row>6</xdr:row>
                <xdr:rowOff>57150</xdr:rowOff>
              </from>
              <to>
                <xdr:col>8</xdr:col>
                <xdr:colOff>123825</xdr:colOff>
                <xdr:row>13</xdr:row>
                <xdr:rowOff>28575</xdr:rowOff>
              </to>
            </anchor>
          </objectPr>
        </oleObject>
      </mc:Choice>
      <mc:Fallback>
        <oleObject progId="AcroExch.Document.7" dvAspect="DVASPECT_ICON" shapeId="140291" r:id="rId4"/>
      </mc:Fallback>
    </mc:AlternateContent>
  </oleObjec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autoPageBreaks="0" fitToPage="1"/>
  </sheetPr>
  <dimension ref="A1:S61"/>
  <sheetViews>
    <sheetView showGridLines="0" zoomScaleNormal="100" workbookViewId="0"/>
  </sheetViews>
  <sheetFormatPr defaultRowHeight="12.75" x14ac:dyDescent="0.2"/>
  <cols>
    <col min="1" max="1" width="6.42578125" style="140" customWidth="1"/>
    <col min="2" max="2" width="5.5703125" style="140" customWidth="1"/>
    <col min="3" max="3" width="16.5703125" style="140" customWidth="1"/>
    <col min="4" max="4" width="3" style="140" customWidth="1"/>
    <col min="5" max="5" width="11.140625" style="140" customWidth="1"/>
    <col min="6" max="6" width="1.42578125" style="140" customWidth="1"/>
    <col min="7" max="7" width="3.42578125" style="140" customWidth="1"/>
    <col min="8" max="8" width="1.42578125" style="140" customWidth="1"/>
    <col min="9" max="9" width="13.7109375" style="140" customWidth="1"/>
    <col min="10" max="10" width="3.28515625" style="140" customWidth="1"/>
    <col min="11" max="11" width="12.85546875" style="140" customWidth="1"/>
    <col min="12" max="12" width="1.42578125" style="140" customWidth="1"/>
    <col min="13" max="13" width="3.5703125" style="140" customWidth="1"/>
    <col min="14" max="14" width="1.7109375" style="140" customWidth="1"/>
    <col min="15" max="15" width="14" style="140" customWidth="1"/>
    <col min="16" max="16" width="2.140625" style="140" customWidth="1"/>
    <col min="17" max="255" width="9.140625" style="140"/>
    <col min="256" max="256" width="2.85546875" style="140" customWidth="1"/>
    <col min="257" max="257" width="6.42578125" style="140" customWidth="1"/>
    <col min="258" max="258" width="3.85546875" style="140" customWidth="1"/>
    <col min="259" max="259" width="16.5703125" style="140" customWidth="1"/>
    <col min="260" max="260" width="3" style="140" customWidth="1"/>
    <col min="261" max="261" width="11.140625" style="140" customWidth="1"/>
    <col min="262" max="262" width="1.42578125" style="140" customWidth="1"/>
    <col min="263" max="263" width="3.42578125" style="140" customWidth="1"/>
    <col min="264" max="264" width="1.42578125" style="140" customWidth="1"/>
    <col min="265" max="265" width="12.5703125" style="140" customWidth="1"/>
    <col min="266" max="266" width="3.28515625" style="140" customWidth="1"/>
    <col min="267" max="267" width="12.85546875" style="140" customWidth="1"/>
    <col min="268" max="268" width="1.42578125" style="140" customWidth="1"/>
    <col min="269" max="269" width="3.5703125" style="140" customWidth="1"/>
    <col min="270" max="270" width="1.7109375" style="140" customWidth="1"/>
    <col min="271" max="271" width="14" style="140" customWidth="1"/>
    <col min="272" max="272" width="2.140625" style="140" customWidth="1"/>
    <col min="273" max="511" width="9.140625" style="140"/>
    <col min="512" max="512" width="2.85546875" style="140" customWidth="1"/>
    <col min="513" max="513" width="6.42578125" style="140" customWidth="1"/>
    <col min="514" max="514" width="3.85546875" style="140" customWidth="1"/>
    <col min="515" max="515" width="16.5703125" style="140" customWidth="1"/>
    <col min="516" max="516" width="3" style="140" customWidth="1"/>
    <col min="517" max="517" width="11.140625" style="140" customWidth="1"/>
    <col min="518" max="518" width="1.42578125" style="140" customWidth="1"/>
    <col min="519" max="519" width="3.42578125" style="140" customWidth="1"/>
    <col min="520" max="520" width="1.42578125" style="140" customWidth="1"/>
    <col min="521" max="521" width="12.5703125" style="140" customWidth="1"/>
    <col min="522" max="522" width="3.28515625" style="140" customWidth="1"/>
    <col min="523" max="523" width="12.85546875" style="140" customWidth="1"/>
    <col min="524" max="524" width="1.42578125" style="140" customWidth="1"/>
    <col min="525" max="525" width="3.5703125" style="140" customWidth="1"/>
    <col min="526" max="526" width="1.7109375" style="140" customWidth="1"/>
    <col min="527" max="527" width="14" style="140" customWidth="1"/>
    <col min="528" max="528" width="2.140625" style="140" customWidth="1"/>
    <col min="529" max="767" width="9.140625" style="140"/>
    <col min="768" max="768" width="2.85546875" style="140" customWidth="1"/>
    <col min="769" max="769" width="6.42578125" style="140" customWidth="1"/>
    <col min="770" max="770" width="3.85546875" style="140" customWidth="1"/>
    <col min="771" max="771" width="16.5703125" style="140" customWidth="1"/>
    <col min="772" max="772" width="3" style="140" customWidth="1"/>
    <col min="773" max="773" width="11.140625" style="140" customWidth="1"/>
    <col min="774" max="774" width="1.42578125" style="140" customWidth="1"/>
    <col min="775" max="775" width="3.42578125" style="140" customWidth="1"/>
    <col min="776" max="776" width="1.42578125" style="140" customWidth="1"/>
    <col min="777" max="777" width="12.5703125" style="140" customWidth="1"/>
    <col min="778" max="778" width="3.28515625" style="140" customWidth="1"/>
    <col min="779" max="779" width="12.85546875" style="140" customWidth="1"/>
    <col min="780" max="780" width="1.42578125" style="140" customWidth="1"/>
    <col min="781" max="781" width="3.5703125" style="140" customWidth="1"/>
    <col min="782" max="782" width="1.7109375" style="140" customWidth="1"/>
    <col min="783" max="783" width="14" style="140" customWidth="1"/>
    <col min="784" max="784" width="2.140625" style="140" customWidth="1"/>
    <col min="785" max="1023" width="9.140625" style="140"/>
    <col min="1024" max="1024" width="2.85546875" style="140" customWidth="1"/>
    <col min="1025" max="1025" width="6.42578125" style="140" customWidth="1"/>
    <col min="1026" max="1026" width="3.85546875" style="140" customWidth="1"/>
    <col min="1027" max="1027" width="16.5703125" style="140" customWidth="1"/>
    <col min="1028" max="1028" width="3" style="140" customWidth="1"/>
    <col min="1029" max="1029" width="11.140625" style="140" customWidth="1"/>
    <col min="1030" max="1030" width="1.42578125" style="140" customWidth="1"/>
    <col min="1031" max="1031" width="3.42578125" style="140" customWidth="1"/>
    <col min="1032" max="1032" width="1.42578125" style="140" customWidth="1"/>
    <col min="1033" max="1033" width="12.5703125" style="140" customWidth="1"/>
    <col min="1034" max="1034" width="3.28515625" style="140" customWidth="1"/>
    <col min="1035" max="1035" width="12.85546875" style="140" customWidth="1"/>
    <col min="1036" max="1036" width="1.42578125" style="140" customWidth="1"/>
    <col min="1037" max="1037" width="3.5703125" style="140" customWidth="1"/>
    <col min="1038" max="1038" width="1.7109375" style="140" customWidth="1"/>
    <col min="1039" max="1039" width="14" style="140" customWidth="1"/>
    <col min="1040" max="1040" width="2.140625" style="140" customWidth="1"/>
    <col min="1041" max="1279" width="9.140625" style="140"/>
    <col min="1280" max="1280" width="2.85546875" style="140" customWidth="1"/>
    <col min="1281" max="1281" width="6.42578125" style="140" customWidth="1"/>
    <col min="1282" max="1282" width="3.85546875" style="140" customWidth="1"/>
    <col min="1283" max="1283" width="16.5703125" style="140" customWidth="1"/>
    <col min="1284" max="1284" width="3" style="140" customWidth="1"/>
    <col min="1285" max="1285" width="11.140625" style="140" customWidth="1"/>
    <col min="1286" max="1286" width="1.42578125" style="140" customWidth="1"/>
    <col min="1287" max="1287" width="3.42578125" style="140" customWidth="1"/>
    <col min="1288" max="1288" width="1.42578125" style="140" customWidth="1"/>
    <col min="1289" max="1289" width="12.5703125" style="140" customWidth="1"/>
    <col min="1290" max="1290" width="3.28515625" style="140" customWidth="1"/>
    <col min="1291" max="1291" width="12.85546875" style="140" customWidth="1"/>
    <col min="1292" max="1292" width="1.42578125" style="140" customWidth="1"/>
    <col min="1293" max="1293" width="3.5703125" style="140" customWidth="1"/>
    <col min="1294" max="1294" width="1.7109375" style="140" customWidth="1"/>
    <col min="1295" max="1295" width="14" style="140" customWidth="1"/>
    <col min="1296" max="1296" width="2.140625" style="140" customWidth="1"/>
    <col min="1297" max="1535" width="9.140625" style="140"/>
    <col min="1536" max="1536" width="2.85546875" style="140" customWidth="1"/>
    <col min="1537" max="1537" width="6.42578125" style="140" customWidth="1"/>
    <col min="1538" max="1538" width="3.85546875" style="140" customWidth="1"/>
    <col min="1539" max="1539" width="16.5703125" style="140" customWidth="1"/>
    <col min="1540" max="1540" width="3" style="140" customWidth="1"/>
    <col min="1541" max="1541" width="11.140625" style="140" customWidth="1"/>
    <col min="1542" max="1542" width="1.42578125" style="140" customWidth="1"/>
    <col min="1543" max="1543" width="3.42578125" style="140" customWidth="1"/>
    <col min="1544" max="1544" width="1.42578125" style="140" customWidth="1"/>
    <col min="1545" max="1545" width="12.5703125" style="140" customWidth="1"/>
    <col min="1546" max="1546" width="3.28515625" style="140" customWidth="1"/>
    <col min="1547" max="1547" width="12.85546875" style="140" customWidth="1"/>
    <col min="1548" max="1548" width="1.42578125" style="140" customWidth="1"/>
    <col min="1549" max="1549" width="3.5703125" style="140" customWidth="1"/>
    <col min="1550" max="1550" width="1.7109375" style="140" customWidth="1"/>
    <col min="1551" max="1551" width="14" style="140" customWidth="1"/>
    <col min="1552" max="1552" width="2.140625" style="140" customWidth="1"/>
    <col min="1553" max="1791" width="9.140625" style="140"/>
    <col min="1792" max="1792" width="2.85546875" style="140" customWidth="1"/>
    <col min="1793" max="1793" width="6.42578125" style="140" customWidth="1"/>
    <col min="1794" max="1794" width="3.85546875" style="140" customWidth="1"/>
    <col min="1795" max="1795" width="16.5703125" style="140" customWidth="1"/>
    <col min="1796" max="1796" width="3" style="140" customWidth="1"/>
    <col min="1797" max="1797" width="11.140625" style="140" customWidth="1"/>
    <col min="1798" max="1798" width="1.42578125" style="140" customWidth="1"/>
    <col min="1799" max="1799" width="3.42578125" style="140" customWidth="1"/>
    <col min="1800" max="1800" width="1.42578125" style="140" customWidth="1"/>
    <col min="1801" max="1801" width="12.5703125" style="140" customWidth="1"/>
    <col min="1802" max="1802" width="3.28515625" style="140" customWidth="1"/>
    <col min="1803" max="1803" width="12.85546875" style="140" customWidth="1"/>
    <col min="1804" max="1804" width="1.42578125" style="140" customWidth="1"/>
    <col min="1805" max="1805" width="3.5703125" style="140" customWidth="1"/>
    <col min="1806" max="1806" width="1.7109375" style="140" customWidth="1"/>
    <col min="1807" max="1807" width="14" style="140" customWidth="1"/>
    <col min="1808" max="1808" width="2.140625" style="140" customWidth="1"/>
    <col min="1809" max="2047" width="9.140625" style="140"/>
    <col min="2048" max="2048" width="2.85546875" style="140" customWidth="1"/>
    <col min="2049" max="2049" width="6.42578125" style="140" customWidth="1"/>
    <col min="2050" max="2050" width="3.85546875" style="140" customWidth="1"/>
    <col min="2051" max="2051" width="16.5703125" style="140" customWidth="1"/>
    <col min="2052" max="2052" width="3" style="140" customWidth="1"/>
    <col min="2053" max="2053" width="11.140625" style="140" customWidth="1"/>
    <col min="2054" max="2054" width="1.42578125" style="140" customWidth="1"/>
    <col min="2055" max="2055" width="3.42578125" style="140" customWidth="1"/>
    <col min="2056" max="2056" width="1.42578125" style="140" customWidth="1"/>
    <col min="2057" max="2057" width="12.5703125" style="140" customWidth="1"/>
    <col min="2058" max="2058" width="3.28515625" style="140" customWidth="1"/>
    <col min="2059" max="2059" width="12.85546875" style="140" customWidth="1"/>
    <col min="2060" max="2060" width="1.42578125" style="140" customWidth="1"/>
    <col min="2061" max="2061" width="3.5703125" style="140" customWidth="1"/>
    <col min="2062" max="2062" width="1.7109375" style="140" customWidth="1"/>
    <col min="2063" max="2063" width="14" style="140" customWidth="1"/>
    <col min="2064" max="2064" width="2.140625" style="140" customWidth="1"/>
    <col min="2065" max="2303" width="9.140625" style="140"/>
    <col min="2304" max="2304" width="2.85546875" style="140" customWidth="1"/>
    <col min="2305" max="2305" width="6.42578125" style="140" customWidth="1"/>
    <col min="2306" max="2306" width="3.85546875" style="140" customWidth="1"/>
    <col min="2307" max="2307" width="16.5703125" style="140" customWidth="1"/>
    <col min="2308" max="2308" width="3" style="140" customWidth="1"/>
    <col min="2309" max="2309" width="11.140625" style="140" customWidth="1"/>
    <col min="2310" max="2310" width="1.42578125" style="140" customWidth="1"/>
    <col min="2311" max="2311" width="3.42578125" style="140" customWidth="1"/>
    <col min="2312" max="2312" width="1.42578125" style="140" customWidth="1"/>
    <col min="2313" max="2313" width="12.5703125" style="140" customWidth="1"/>
    <col min="2314" max="2314" width="3.28515625" style="140" customWidth="1"/>
    <col min="2315" max="2315" width="12.85546875" style="140" customWidth="1"/>
    <col min="2316" max="2316" width="1.42578125" style="140" customWidth="1"/>
    <col min="2317" max="2317" width="3.5703125" style="140" customWidth="1"/>
    <col min="2318" max="2318" width="1.7109375" style="140" customWidth="1"/>
    <col min="2319" max="2319" width="14" style="140" customWidth="1"/>
    <col min="2320" max="2320" width="2.140625" style="140" customWidth="1"/>
    <col min="2321" max="2559" width="9.140625" style="140"/>
    <col min="2560" max="2560" width="2.85546875" style="140" customWidth="1"/>
    <col min="2561" max="2561" width="6.42578125" style="140" customWidth="1"/>
    <col min="2562" max="2562" width="3.85546875" style="140" customWidth="1"/>
    <col min="2563" max="2563" width="16.5703125" style="140" customWidth="1"/>
    <col min="2564" max="2564" width="3" style="140" customWidth="1"/>
    <col min="2565" max="2565" width="11.140625" style="140" customWidth="1"/>
    <col min="2566" max="2566" width="1.42578125" style="140" customWidth="1"/>
    <col min="2567" max="2567" width="3.42578125" style="140" customWidth="1"/>
    <col min="2568" max="2568" width="1.42578125" style="140" customWidth="1"/>
    <col min="2569" max="2569" width="12.5703125" style="140" customWidth="1"/>
    <col min="2570" max="2570" width="3.28515625" style="140" customWidth="1"/>
    <col min="2571" max="2571" width="12.85546875" style="140" customWidth="1"/>
    <col min="2572" max="2572" width="1.42578125" style="140" customWidth="1"/>
    <col min="2573" max="2573" width="3.5703125" style="140" customWidth="1"/>
    <col min="2574" max="2574" width="1.7109375" style="140" customWidth="1"/>
    <col min="2575" max="2575" width="14" style="140" customWidth="1"/>
    <col min="2576" max="2576" width="2.140625" style="140" customWidth="1"/>
    <col min="2577" max="2815" width="9.140625" style="140"/>
    <col min="2816" max="2816" width="2.85546875" style="140" customWidth="1"/>
    <col min="2817" max="2817" width="6.42578125" style="140" customWidth="1"/>
    <col min="2818" max="2818" width="3.85546875" style="140" customWidth="1"/>
    <col min="2819" max="2819" width="16.5703125" style="140" customWidth="1"/>
    <col min="2820" max="2820" width="3" style="140" customWidth="1"/>
    <col min="2821" max="2821" width="11.140625" style="140" customWidth="1"/>
    <col min="2822" max="2822" width="1.42578125" style="140" customWidth="1"/>
    <col min="2823" max="2823" width="3.42578125" style="140" customWidth="1"/>
    <col min="2824" max="2824" width="1.42578125" style="140" customWidth="1"/>
    <col min="2825" max="2825" width="12.5703125" style="140" customWidth="1"/>
    <col min="2826" max="2826" width="3.28515625" style="140" customWidth="1"/>
    <col min="2827" max="2827" width="12.85546875" style="140" customWidth="1"/>
    <col min="2828" max="2828" width="1.42578125" style="140" customWidth="1"/>
    <col min="2829" max="2829" width="3.5703125" style="140" customWidth="1"/>
    <col min="2830" max="2830" width="1.7109375" style="140" customWidth="1"/>
    <col min="2831" max="2831" width="14" style="140" customWidth="1"/>
    <col min="2832" max="2832" width="2.140625" style="140" customWidth="1"/>
    <col min="2833" max="3071" width="9.140625" style="140"/>
    <col min="3072" max="3072" width="2.85546875" style="140" customWidth="1"/>
    <col min="3073" max="3073" width="6.42578125" style="140" customWidth="1"/>
    <col min="3074" max="3074" width="3.85546875" style="140" customWidth="1"/>
    <col min="3075" max="3075" width="16.5703125" style="140" customWidth="1"/>
    <col min="3076" max="3076" width="3" style="140" customWidth="1"/>
    <col min="3077" max="3077" width="11.140625" style="140" customWidth="1"/>
    <col min="3078" max="3078" width="1.42578125" style="140" customWidth="1"/>
    <col min="3079" max="3079" width="3.42578125" style="140" customWidth="1"/>
    <col min="3080" max="3080" width="1.42578125" style="140" customWidth="1"/>
    <col min="3081" max="3081" width="12.5703125" style="140" customWidth="1"/>
    <col min="3082" max="3082" width="3.28515625" style="140" customWidth="1"/>
    <col min="3083" max="3083" width="12.85546875" style="140" customWidth="1"/>
    <col min="3084" max="3084" width="1.42578125" style="140" customWidth="1"/>
    <col min="3085" max="3085" width="3.5703125" style="140" customWidth="1"/>
    <col min="3086" max="3086" width="1.7109375" style="140" customWidth="1"/>
    <col min="3087" max="3087" width="14" style="140" customWidth="1"/>
    <col min="3088" max="3088" width="2.140625" style="140" customWidth="1"/>
    <col min="3089" max="3327" width="9.140625" style="140"/>
    <col min="3328" max="3328" width="2.85546875" style="140" customWidth="1"/>
    <col min="3329" max="3329" width="6.42578125" style="140" customWidth="1"/>
    <col min="3330" max="3330" width="3.85546875" style="140" customWidth="1"/>
    <col min="3331" max="3331" width="16.5703125" style="140" customWidth="1"/>
    <col min="3332" max="3332" width="3" style="140" customWidth="1"/>
    <col min="3333" max="3333" width="11.140625" style="140" customWidth="1"/>
    <col min="3334" max="3334" width="1.42578125" style="140" customWidth="1"/>
    <col min="3335" max="3335" width="3.42578125" style="140" customWidth="1"/>
    <col min="3336" max="3336" width="1.42578125" style="140" customWidth="1"/>
    <col min="3337" max="3337" width="12.5703125" style="140" customWidth="1"/>
    <col min="3338" max="3338" width="3.28515625" style="140" customWidth="1"/>
    <col min="3339" max="3339" width="12.85546875" style="140" customWidth="1"/>
    <col min="3340" max="3340" width="1.42578125" style="140" customWidth="1"/>
    <col min="3341" max="3341" width="3.5703125" style="140" customWidth="1"/>
    <col min="3342" max="3342" width="1.7109375" style="140" customWidth="1"/>
    <col min="3343" max="3343" width="14" style="140" customWidth="1"/>
    <col min="3344" max="3344" width="2.140625" style="140" customWidth="1"/>
    <col min="3345" max="3583" width="9.140625" style="140"/>
    <col min="3584" max="3584" width="2.85546875" style="140" customWidth="1"/>
    <col min="3585" max="3585" width="6.42578125" style="140" customWidth="1"/>
    <col min="3586" max="3586" width="3.85546875" style="140" customWidth="1"/>
    <col min="3587" max="3587" width="16.5703125" style="140" customWidth="1"/>
    <col min="3588" max="3588" width="3" style="140" customWidth="1"/>
    <col min="3589" max="3589" width="11.140625" style="140" customWidth="1"/>
    <col min="3590" max="3590" width="1.42578125" style="140" customWidth="1"/>
    <col min="3591" max="3591" width="3.42578125" style="140" customWidth="1"/>
    <col min="3592" max="3592" width="1.42578125" style="140" customWidth="1"/>
    <col min="3593" max="3593" width="12.5703125" style="140" customWidth="1"/>
    <col min="3594" max="3594" width="3.28515625" style="140" customWidth="1"/>
    <col min="3595" max="3595" width="12.85546875" style="140" customWidth="1"/>
    <col min="3596" max="3596" width="1.42578125" style="140" customWidth="1"/>
    <col min="3597" max="3597" width="3.5703125" style="140" customWidth="1"/>
    <col min="3598" max="3598" width="1.7109375" style="140" customWidth="1"/>
    <col min="3599" max="3599" width="14" style="140" customWidth="1"/>
    <col min="3600" max="3600" width="2.140625" style="140" customWidth="1"/>
    <col min="3601" max="3839" width="9.140625" style="140"/>
    <col min="3840" max="3840" width="2.85546875" style="140" customWidth="1"/>
    <col min="3841" max="3841" width="6.42578125" style="140" customWidth="1"/>
    <col min="3842" max="3842" width="3.85546875" style="140" customWidth="1"/>
    <col min="3843" max="3843" width="16.5703125" style="140" customWidth="1"/>
    <col min="3844" max="3844" width="3" style="140" customWidth="1"/>
    <col min="3845" max="3845" width="11.140625" style="140" customWidth="1"/>
    <col min="3846" max="3846" width="1.42578125" style="140" customWidth="1"/>
    <col min="3847" max="3847" width="3.42578125" style="140" customWidth="1"/>
    <col min="3848" max="3848" width="1.42578125" style="140" customWidth="1"/>
    <col min="3849" max="3849" width="12.5703125" style="140" customWidth="1"/>
    <col min="3850" max="3850" width="3.28515625" style="140" customWidth="1"/>
    <col min="3851" max="3851" width="12.85546875" style="140" customWidth="1"/>
    <col min="3852" max="3852" width="1.42578125" style="140" customWidth="1"/>
    <col min="3853" max="3853" width="3.5703125" style="140" customWidth="1"/>
    <col min="3854" max="3854" width="1.7109375" style="140" customWidth="1"/>
    <col min="3855" max="3855" width="14" style="140" customWidth="1"/>
    <col min="3856" max="3856" width="2.140625" style="140" customWidth="1"/>
    <col min="3857" max="4095" width="9.140625" style="140"/>
    <col min="4096" max="4096" width="2.85546875" style="140" customWidth="1"/>
    <col min="4097" max="4097" width="6.42578125" style="140" customWidth="1"/>
    <col min="4098" max="4098" width="3.85546875" style="140" customWidth="1"/>
    <col min="4099" max="4099" width="16.5703125" style="140" customWidth="1"/>
    <col min="4100" max="4100" width="3" style="140" customWidth="1"/>
    <col min="4101" max="4101" width="11.140625" style="140" customWidth="1"/>
    <col min="4102" max="4102" width="1.42578125" style="140" customWidth="1"/>
    <col min="4103" max="4103" width="3.42578125" style="140" customWidth="1"/>
    <col min="4104" max="4104" width="1.42578125" style="140" customWidth="1"/>
    <col min="4105" max="4105" width="12.5703125" style="140" customWidth="1"/>
    <col min="4106" max="4106" width="3.28515625" style="140" customWidth="1"/>
    <col min="4107" max="4107" width="12.85546875" style="140" customWidth="1"/>
    <col min="4108" max="4108" width="1.42578125" style="140" customWidth="1"/>
    <col min="4109" max="4109" width="3.5703125" style="140" customWidth="1"/>
    <col min="4110" max="4110" width="1.7109375" style="140" customWidth="1"/>
    <col min="4111" max="4111" width="14" style="140" customWidth="1"/>
    <col min="4112" max="4112" width="2.140625" style="140" customWidth="1"/>
    <col min="4113" max="4351" width="9.140625" style="140"/>
    <col min="4352" max="4352" width="2.85546875" style="140" customWidth="1"/>
    <col min="4353" max="4353" width="6.42578125" style="140" customWidth="1"/>
    <col min="4354" max="4354" width="3.85546875" style="140" customWidth="1"/>
    <col min="4355" max="4355" width="16.5703125" style="140" customWidth="1"/>
    <col min="4356" max="4356" width="3" style="140" customWidth="1"/>
    <col min="4357" max="4357" width="11.140625" style="140" customWidth="1"/>
    <col min="4358" max="4358" width="1.42578125" style="140" customWidth="1"/>
    <col min="4359" max="4359" width="3.42578125" style="140" customWidth="1"/>
    <col min="4360" max="4360" width="1.42578125" style="140" customWidth="1"/>
    <col min="4361" max="4361" width="12.5703125" style="140" customWidth="1"/>
    <col min="4362" max="4362" width="3.28515625" style="140" customWidth="1"/>
    <col min="4363" max="4363" width="12.85546875" style="140" customWidth="1"/>
    <col min="4364" max="4364" width="1.42578125" style="140" customWidth="1"/>
    <col min="4365" max="4365" width="3.5703125" style="140" customWidth="1"/>
    <col min="4366" max="4366" width="1.7109375" style="140" customWidth="1"/>
    <col min="4367" max="4367" width="14" style="140" customWidth="1"/>
    <col min="4368" max="4368" width="2.140625" style="140" customWidth="1"/>
    <col min="4369" max="4607" width="9.140625" style="140"/>
    <col min="4608" max="4608" width="2.85546875" style="140" customWidth="1"/>
    <col min="4609" max="4609" width="6.42578125" style="140" customWidth="1"/>
    <col min="4610" max="4610" width="3.85546875" style="140" customWidth="1"/>
    <col min="4611" max="4611" width="16.5703125" style="140" customWidth="1"/>
    <col min="4612" max="4612" width="3" style="140" customWidth="1"/>
    <col min="4613" max="4613" width="11.140625" style="140" customWidth="1"/>
    <col min="4614" max="4614" width="1.42578125" style="140" customWidth="1"/>
    <col min="4615" max="4615" width="3.42578125" style="140" customWidth="1"/>
    <col min="4616" max="4616" width="1.42578125" style="140" customWidth="1"/>
    <col min="4617" max="4617" width="12.5703125" style="140" customWidth="1"/>
    <col min="4618" max="4618" width="3.28515625" style="140" customWidth="1"/>
    <col min="4619" max="4619" width="12.85546875" style="140" customWidth="1"/>
    <col min="4620" max="4620" width="1.42578125" style="140" customWidth="1"/>
    <col min="4621" max="4621" width="3.5703125" style="140" customWidth="1"/>
    <col min="4622" max="4622" width="1.7109375" style="140" customWidth="1"/>
    <col min="4623" max="4623" width="14" style="140" customWidth="1"/>
    <col min="4624" max="4624" width="2.140625" style="140" customWidth="1"/>
    <col min="4625" max="4863" width="9.140625" style="140"/>
    <col min="4864" max="4864" width="2.85546875" style="140" customWidth="1"/>
    <col min="4865" max="4865" width="6.42578125" style="140" customWidth="1"/>
    <col min="4866" max="4866" width="3.85546875" style="140" customWidth="1"/>
    <col min="4867" max="4867" width="16.5703125" style="140" customWidth="1"/>
    <col min="4868" max="4868" width="3" style="140" customWidth="1"/>
    <col min="4869" max="4869" width="11.140625" style="140" customWidth="1"/>
    <col min="4870" max="4870" width="1.42578125" style="140" customWidth="1"/>
    <col min="4871" max="4871" width="3.42578125" style="140" customWidth="1"/>
    <col min="4872" max="4872" width="1.42578125" style="140" customWidth="1"/>
    <col min="4873" max="4873" width="12.5703125" style="140" customWidth="1"/>
    <col min="4874" max="4874" width="3.28515625" style="140" customWidth="1"/>
    <col min="4875" max="4875" width="12.85546875" style="140" customWidth="1"/>
    <col min="4876" max="4876" width="1.42578125" style="140" customWidth="1"/>
    <col min="4877" max="4877" width="3.5703125" style="140" customWidth="1"/>
    <col min="4878" max="4878" width="1.7109375" style="140" customWidth="1"/>
    <col min="4879" max="4879" width="14" style="140" customWidth="1"/>
    <col min="4880" max="4880" width="2.140625" style="140" customWidth="1"/>
    <col min="4881" max="5119" width="9.140625" style="140"/>
    <col min="5120" max="5120" width="2.85546875" style="140" customWidth="1"/>
    <col min="5121" max="5121" width="6.42578125" style="140" customWidth="1"/>
    <col min="5122" max="5122" width="3.85546875" style="140" customWidth="1"/>
    <col min="5123" max="5123" width="16.5703125" style="140" customWidth="1"/>
    <col min="5124" max="5124" width="3" style="140" customWidth="1"/>
    <col min="5125" max="5125" width="11.140625" style="140" customWidth="1"/>
    <col min="5126" max="5126" width="1.42578125" style="140" customWidth="1"/>
    <col min="5127" max="5127" width="3.42578125" style="140" customWidth="1"/>
    <col min="5128" max="5128" width="1.42578125" style="140" customWidth="1"/>
    <col min="5129" max="5129" width="12.5703125" style="140" customWidth="1"/>
    <col min="5130" max="5130" width="3.28515625" style="140" customWidth="1"/>
    <col min="5131" max="5131" width="12.85546875" style="140" customWidth="1"/>
    <col min="5132" max="5132" width="1.42578125" style="140" customWidth="1"/>
    <col min="5133" max="5133" width="3.5703125" style="140" customWidth="1"/>
    <col min="5134" max="5134" width="1.7109375" style="140" customWidth="1"/>
    <col min="5135" max="5135" width="14" style="140" customWidth="1"/>
    <col min="5136" max="5136" width="2.140625" style="140" customWidth="1"/>
    <col min="5137" max="5375" width="9.140625" style="140"/>
    <col min="5376" max="5376" width="2.85546875" style="140" customWidth="1"/>
    <col min="5377" max="5377" width="6.42578125" style="140" customWidth="1"/>
    <col min="5378" max="5378" width="3.85546875" style="140" customWidth="1"/>
    <col min="5379" max="5379" width="16.5703125" style="140" customWidth="1"/>
    <col min="5380" max="5380" width="3" style="140" customWidth="1"/>
    <col min="5381" max="5381" width="11.140625" style="140" customWidth="1"/>
    <col min="5382" max="5382" width="1.42578125" style="140" customWidth="1"/>
    <col min="5383" max="5383" width="3.42578125" style="140" customWidth="1"/>
    <col min="5384" max="5384" width="1.42578125" style="140" customWidth="1"/>
    <col min="5385" max="5385" width="12.5703125" style="140" customWidth="1"/>
    <col min="5386" max="5386" width="3.28515625" style="140" customWidth="1"/>
    <col min="5387" max="5387" width="12.85546875" style="140" customWidth="1"/>
    <col min="5388" max="5388" width="1.42578125" style="140" customWidth="1"/>
    <col min="5389" max="5389" width="3.5703125" style="140" customWidth="1"/>
    <col min="5390" max="5390" width="1.7109375" style="140" customWidth="1"/>
    <col min="5391" max="5391" width="14" style="140" customWidth="1"/>
    <col min="5392" max="5392" width="2.140625" style="140" customWidth="1"/>
    <col min="5393" max="5631" width="9.140625" style="140"/>
    <col min="5632" max="5632" width="2.85546875" style="140" customWidth="1"/>
    <col min="5633" max="5633" width="6.42578125" style="140" customWidth="1"/>
    <col min="5634" max="5634" width="3.85546875" style="140" customWidth="1"/>
    <col min="5635" max="5635" width="16.5703125" style="140" customWidth="1"/>
    <col min="5636" max="5636" width="3" style="140" customWidth="1"/>
    <col min="5637" max="5637" width="11.140625" style="140" customWidth="1"/>
    <col min="5638" max="5638" width="1.42578125" style="140" customWidth="1"/>
    <col min="5639" max="5639" width="3.42578125" style="140" customWidth="1"/>
    <col min="5640" max="5640" width="1.42578125" style="140" customWidth="1"/>
    <col min="5641" max="5641" width="12.5703125" style="140" customWidth="1"/>
    <col min="5642" max="5642" width="3.28515625" style="140" customWidth="1"/>
    <col min="5643" max="5643" width="12.85546875" style="140" customWidth="1"/>
    <col min="5644" max="5644" width="1.42578125" style="140" customWidth="1"/>
    <col min="5645" max="5645" width="3.5703125" style="140" customWidth="1"/>
    <col min="5646" max="5646" width="1.7109375" style="140" customWidth="1"/>
    <col min="5647" max="5647" width="14" style="140" customWidth="1"/>
    <col min="5648" max="5648" width="2.140625" style="140" customWidth="1"/>
    <col min="5649" max="5887" width="9.140625" style="140"/>
    <col min="5888" max="5888" width="2.85546875" style="140" customWidth="1"/>
    <col min="5889" max="5889" width="6.42578125" style="140" customWidth="1"/>
    <col min="5890" max="5890" width="3.85546875" style="140" customWidth="1"/>
    <col min="5891" max="5891" width="16.5703125" style="140" customWidth="1"/>
    <col min="5892" max="5892" width="3" style="140" customWidth="1"/>
    <col min="5893" max="5893" width="11.140625" style="140" customWidth="1"/>
    <col min="5894" max="5894" width="1.42578125" style="140" customWidth="1"/>
    <col min="5895" max="5895" width="3.42578125" style="140" customWidth="1"/>
    <col min="5896" max="5896" width="1.42578125" style="140" customWidth="1"/>
    <col min="5897" max="5897" width="12.5703125" style="140" customWidth="1"/>
    <col min="5898" max="5898" width="3.28515625" style="140" customWidth="1"/>
    <col min="5899" max="5899" width="12.85546875" style="140" customWidth="1"/>
    <col min="5900" max="5900" width="1.42578125" style="140" customWidth="1"/>
    <col min="5901" max="5901" width="3.5703125" style="140" customWidth="1"/>
    <col min="5902" max="5902" width="1.7109375" style="140" customWidth="1"/>
    <col min="5903" max="5903" width="14" style="140" customWidth="1"/>
    <col min="5904" max="5904" width="2.140625" style="140" customWidth="1"/>
    <col min="5905" max="6143" width="9.140625" style="140"/>
    <col min="6144" max="6144" width="2.85546875" style="140" customWidth="1"/>
    <col min="6145" max="6145" width="6.42578125" style="140" customWidth="1"/>
    <col min="6146" max="6146" width="3.85546875" style="140" customWidth="1"/>
    <col min="6147" max="6147" width="16.5703125" style="140" customWidth="1"/>
    <col min="6148" max="6148" width="3" style="140" customWidth="1"/>
    <col min="6149" max="6149" width="11.140625" style="140" customWidth="1"/>
    <col min="6150" max="6150" width="1.42578125" style="140" customWidth="1"/>
    <col min="6151" max="6151" width="3.42578125" style="140" customWidth="1"/>
    <col min="6152" max="6152" width="1.42578125" style="140" customWidth="1"/>
    <col min="6153" max="6153" width="12.5703125" style="140" customWidth="1"/>
    <col min="6154" max="6154" width="3.28515625" style="140" customWidth="1"/>
    <col min="6155" max="6155" width="12.85546875" style="140" customWidth="1"/>
    <col min="6156" max="6156" width="1.42578125" style="140" customWidth="1"/>
    <col min="6157" max="6157" width="3.5703125" style="140" customWidth="1"/>
    <col min="6158" max="6158" width="1.7109375" style="140" customWidth="1"/>
    <col min="6159" max="6159" width="14" style="140" customWidth="1"/>
    <col min="6160" max="6160" width="2.140625" style="140" customWidth="1"/>
    <col min="6161" max="6399" width="9.140625" style="140"/>
    <col min="6400" max="6400" width="2.85546875" style="140" customWidth="1"/>
    <col min="6401" max="6401" width="6.42578125" style="140" customWidth="1"/>
    <col min="6402" max="6402" width="3.85546875" style="140" customWidth="1"/>
    <col min="6403" max="6403" width="16.5703125" style="140" customWidth="1"/>
    <col min="6404" max="6404" width="3" style="140" customWidth="1"/>
    <col min="6405" max="6405" width="11.140625" style="140" customWidth="1"/>
    <col min="6406" max="6406" width="1.42578125" style="140" customWidth="1"/>
    <col min="6407" max="6407" width="3.42578125" style="140" customWidth="1"/>
    <col min="6408" max="6408" width="1.42578125" style="140" customWidth="1"/>
    <col min="6409" max="6409" width="12.5703125" style="140" customWidth="1"/>
    <col min="6410" max="6410" width="3.28515625" style="140" customWidth="1"/>
    <col min="6411" max="6411" width="12.85546875" style="140" customWidth="1"/>
    <col min="6412" max="6412" width="1.42578125" style="140" customWidth="1"/>
    <col min="6413" max="6413" width="3.5703125" style="140" customWidth="1"/>
    <col min="6414" max="6414" width="1.7109375" style="140" customWidth="1"/>
    <col min="6415" max="6415" width="14" style="140" customWidth="1"/>
    <col min="6416" max="6416" width="2.140625" style="140" customWidth="1"/>
    <col min="6417" max="6655" width="9.140625" style="140"/>
    <col min="6656" max="6656" width="2.85546875" style="140" customWidth="1"/>
    <col min="6657" max="6657" width="6.42578125" style="140" customWidth="1"/>
    <col min="6658" max="6658" width="3.85546875" style="140" customWidth="1"/>
    <col min="6659" max="6659" width="16.5703125" style="140" customWidth="1"/>
    <col min="6660" max="6660" width="3" style="140" customWidth="1"/>
    <col min="6661" max="6661" width="11.140625" style="140" customWidth="1"/>
    <col min="6662" max="6662" width="1.42578125" style="140" customWidth="1"/>
    <col min="6663" max="6663" width="3.42578125" style="140" customWidth="1"/>
    <col min="6664" max="6664" width="1.42578125" style="140" customWidth="1"/>
    <col min="6665" max="6665" width="12.5703125" style="140" customWidth="1"/>
    <col min="6666" max="6666" width="3.28515625" style="140" customWidth="1"/>
    <col min="6667" max="6667" width="12.85546875" style="140" customWidth="1"/>
    <col min="6668" max="6668" width="1.42578125" style="140" customWidth="1"/>
    <col min="6669" max="6669" width="3.5703125" style="140" customWidth="1"/>
    <col min="6670" max="6670" width="1.7109375" style="140" customWidth="1"/>
    <col min="6671" max="6671" width="14" style="140" customWidth="1"/>
    <col min="6672" max="6672" width="2.140625" style="140" customWidth="1"/>
    <col min="6673" max="6911" width="9.140625" style="140"/>
    <col min="6912" max="6912" width="2.85546875" style="140" customWidth="1"/>
    <col min="6913" max="6913" width="6.42578125" style="140" customWidth="1"/>
    <col min="6914" max="6914" width="3.85546875" style="140" customWidth="1"/>
    <col min="6915" max="6915" width="16.5703125" style="140" customWidth="1"/>
    <col min="6916" max="6916" width="3" style="140" customWidth="1"/>
    <col min="6917" max="6917" width="11.140625" style="140" customWidth="1"/>
    <col min="6918" max="6918" width="1.42578125" style="140" customWidth="1"/>
    <col min="6919" max="6919" width="3.42578125" style="140" customWidth="1"/>
    <col min="6920" max="6920" width="1.42578125" style="140" customWidth="1"/>
    <col min="6921" max="6921" width="12.5703125" style="140" customWidth="1"/>
    <col min="6922" max="6922" width="3.28515625" style="140" customWidth="1"/>
    <col min="6923" max="6923" width="12.85546875" style="140" customWidth="1"/>
    <col min="6924" max="6924" width="1.42578125" style="140" customWidth="1"/>
    <col min="6925" max="6925" width="3.5703125" style="140" customWidth="1"/>
    <col min="6926" max="6926" width="1.7109375" style="140" customWidth="1"/>
    <col min="6927" max="6927" width="14" style="140" customWidth="1"/>
    <col min="6928" max="6928" width="2.140625" style="140" customWidth="1"/>
    <col min="6929" max="7167" width="9.140625" style="140"/>
    <col min="7168" max="7168" width="2.85546875" style="140" customWidth="1"/>
    <col min="7169" max="7169" width="6.42578125" style="140" customWidth="1"/>
    <col min="7170" max="7170" width="3.85546875" style="140" customWidth="1"/>
    <col min="7171" max="7171" width="16.5703125" style="140" customWidth="1"/>
    <col min="7172" max="7172" width="3" style="140" customWidth="1"/>
    <col min="7173" max="7173" width="11.140625" style="140" customWidth="1"/>
    <col min="7174" max="7174" width="1.42578125" style="140" customWidth="1"/>
    <col min="7175" max="7175" width="3.42578125" style="140" customWidth="1"/>
    <col min="7176" max="7176" width="1.42578125" style="140" customWidth="1"/>
    <col min="7177" max="7177" width="12.5703125" style="140" customWidth="1"/>
    <col min="7178" max="7178" width="3.28515625" style="140" customWidth="1"/>
    <col min="7179" max="7179" width="12.85546875" style="140" customWidth="1"/>
    <col min="7180" max="7180" width="1.42578125" style="140" customWidth="1"/>
    <col min="7181" max="7181" width="3.5703125" style="140" customWidth="1"/>
    <col min="7182" max="7182" width="1.7109375" style="140" customWidth="1"/>
    <col min="7183" max="7183" width="14" style="140" customWidth="1"/>
    <col min="7184" max="7184" width="2.140625" style="140" customWidth="1"/>
    <col min="7185" max="7423" width="9.140625" style="140"/>
    <col min="7424" max="7424" width="2.85546875" style="140" customWidth="1"/>
    <col min="7425" max="7425" width="6.42578125" style="140" customWidth="1"/>
    <col min="7426" max="7426" width="3.85546875" style="140" customWidth="1"/>
    <col min="7427" max="7427" width="16.5703125" style="140" customWidth="1"/>
    <col min="7428" max="7428" width="3" style="140" customWidth="1"/>
    <col min="7429" max="7429" width="11.140625" style="140" customWidth="1"/>
    <col min="7430" max="7430" width="1.42578125" style="140" customWidth="1"/>
    <col min="7431" max="7431" width="3.42578125" style="140" customWidth="1"/>
    <col min="7432" max="7432" width="1.42578125" style="140" customWidth="1"/>
    <col min="7433" max="7433" width="12.5703125" style="140" customWidth="1"/>
    <col min="7434" max="7434" width="3.28515625" style="140" customWidth="1"/>
    <col min="7435" max="7435" width="12.85546875" style="140" customWidth="1"/>
    <col min="7436" max="7436" width="1.42578125" style="140" customWidth="1"/>
    <col min="7437" max="7437" width="3.5703125" style="140" customWidth="1"/>
    <col min="7438" max="7438" width="1.7109375" style="140" customWidth="1"/>
    <col min="7439" max="7439" width="14" style="140" customWidth="1"/>
    <col min="7440" max="7440" width="2.140625" style="140" customWidth="1"/>
    <col min="7441" max="7679" width="9.140625" style="140"/>
    <col min="7680" max="7680" width="2.85546875" style="140" customWidth="1"/>
    <col min="7681" max="7681" width="6.42578125" style="140" customWidth="1"/>
    <col min="7682" max="7682" width="3.85546875" style="140" customWidth="1"/>
    <col min="7683" max="7683" width="16.5703125" style="140" customWidth="1"/>
    <col min="7684" max="7684" width="3" style="140" customWidth="1"/>
    <col min="7685" max="7685" width="11.140625" style="140" customWidth="1"/>
    <col min="7686" max="7686" width="1.42578125" style="140" customWidth="1"/>
    <col min="7687" max="7687" width="3.42578125" style="140" customWidth="1"/>
    <col min="7688" max="7688" width="1.42578125" style="140" customWidth="1"/>
    <col min="7689" max="7689" width="12.5703125" style="140" customWidth="1"/>
    <col min="7690" max="7690" width="3.28515625" style="140" customWidth="1"/>
    <col min="7691" max="7691" width="12.85546875" style="140" customWidth="1"/>
    <col min="7692" max="7692" width="1.42578125" style="140" customWidth="1"/>
    <col min="7693" max="7693" width="3.5703125" style="140" customWidth="1"/>
    <col min="7694" max="7694" width="1.7109375" style="140" customWidth="1"/>
    <col min="7695" max="7695" width="14" style="140" customWidth="1"/>
    <col min="7696" max="7696" width="2.140625" style="140" customWidth="1"/>
    <col min="7697" max="7935" width="9.140625" style="140"/>
    <col min="7936" max="7936" width="2.85546875" style="140" customWidth="1"/>
    <col min="7937" max="7937" width="6.42578125" style="140" customWidth="1"/>
    <col min="7938" max="7938" width="3.85546875" style="140" customWidth="1"/>
    <col min="7939" max="7939" width="16.5703125" style="140" customWidth="1"/>
    <col min="7940" max="7940" width="3" style="140" customWidth="1"/>
    <col min="7941" max="7941" width="11.140625" style="140" customWidth="1"/>
    <col min="7942" max="7942" width="1.42578125" style="140" customWidth="1"/>
    <col min="7943" max="7943" width="3.42578125" style="140" customWidth="1"/>
    <col min="7944" max="7944" width="1.42578125" style="140" customWidth="1"/>
    <col min="7945" max="7945" width="12.5703125" style="140" customWidth="1"/>
    <col min="7946" max="7946" width="3.28515625" style="140" customWidth="1"/>
    <col min="7947" max="7947" width="12.85546875" style="140" customWidth="1"/>
    <col min="7948" max="7948" width="1.42578125" style="140" customWidth="1"/>
    <col min="7949" max="7949" width="3.5703125" style="140" customWidth="1"/>
    <col min="7950" max="7950" width="1.7109375" style="140" customWidth="1"/>
    <col min="7951" max="7951" width="14" style="140" customWidth="1"/>
    <col min="7952" max="7952" width="2.140625" style="140" customWidth="1"/>
    <col min="7953" max="8191" width="9.140625" style="140"/>
    <col min="8192" max="8192" width="2.85546875" style="140" customWidth="1"/>
    <col min="8193" max="8193" width="6.42578125" style="140" customWidth="1"/>
    <col min="8194" max="8194" width="3.85546875" style="140" customWidth="1"/>
    <col min="8195" max="8195" width="16.5703125" style="140" customWidth="1"/>
    <col min="8196" max="8196" width="3" style="140" customWidth="1"/>
    <col min="8197" max="8197" width="11.140625" style="140" customWidth="1"/>
    <col min="8198" max="8198" width="1.42578125" style="140" customWidth="1"/>
    <col min="8199" max="8199" width="3.42578125" style="140" customWidth="1"/>
    <col min="8200" max="8200" width="1.42578125" style="140" customWidth="1"/>
    <col min="8201" max="8201" width="12.5703125" style="140" customWidth="1"/>
    <col min="8202" max="8202" width="3.28515625" style="140" customWidth="1"/>
    <col min="8203" max="8203" width="12.85546875" style="140" customWidth="1"/>
    <col min="8204" max="8204" width="1.42578125" style="140" customWidth="1"/>
    <col min="8205" max="8205" width="3.5703125" style="140" customWidth="1"/>
    <col min="8206" max="8206" width="1.7109375" style="140" customWidth="1"/>
    <col min="8207" max="8207" width="14" style="140" customWidth="1"/>
    <col min="8208" max="8208" width="2.140625" style="140" customWidth="1"/>
    <col min="8209" max="8447" width="9.140625" style="140"/>
    <col min="8448" max="8448" width="2.85546875" style="140" customWidth="1"/>
    <col min="8449" max="8449" width="6.42578125" style="140" customWidth="1"/>
    <col min="8450" max="8450" width="3.85546875" style="140" customWidth="1"/>
    <col min="8451" max="8451" width="16.5703125" style="140" customWidth="1"/>
    <col min="8452" max="8452" width="3" style="140" customWidth="1"/>
    <col min="8453" max="8453" width="11.140625" style="140" customWidth="1"/>
    <col min="8454" max="8454" width="1.42578125" style="140" customWidth="1"/>
    <col min="8455" max="8455" width="3.42578125" style="140" customWidth="1"/>
    <col min="8456" max="8456" width="1.42578125" style="140" customWidth="1"/>
    <col min="8457" max="8457" width="12.5703125" style="140" customWidth="1"/>
    <col min="8458" max="8458" width="3.28515625" style="140" customWidth="1"/>
    <col min="8459" max="8459" width="12.85546875" style="140" customWidth="1"/>
    <col min="8460" max="8460" width="1.42578125" style="140" customWidth="1"/>
    <col min="8461" max="8461" width="3.5703125" style="140" customWidth="1"/>
    <col min="8462" max="8462" width="1.7109375" style="140" customWidth="1"/>
    <col min="8463" max="8463" width="14" style="140" customWidth="1"/>
    <col min="8464" max="8464" width="2.140625" style="140" customWidth="1"/>
    <col min="8465" max="8703" width="9.140625" style="140"/>
    <col min="8704" max="8704" width="2.85546875" style="140" customWidth="1"/>
    <col min="8705" max="8705" width="6.42578125" style="140" customWidth="1"/>
    <col min="8706" max="8706" width="3.85546875" style="140" customWidth="1"/>
    <col min="8707" max="8707" width="16.5703125" style="140" customWidth="1"/>
    <col min="8708" max="8708" width="3" style="140" customWidth="1"/>
    <col min="8709" max="8709" width="11.140625" style="140" customWidth="1"/>
    <col min="8710" max="8710" width="1.42578125" style="140" customWidth="1"/>
    <col min="8711" max="8711" width="3.42578125" style="140" customWidth="1"/>
    <col min="8712" max="8712" width="1.42578125" style="140" customWidth="1"/>
    <col min="8713" max="8713" width="12.5703125" style="140" customWidth="1"/>
    <col min="8714" max="8714" width="3.28515625" style="140" customWidth="1"/>
    <col min="8715" max="8715" width="12.85546875" style="140" customWidth="1"/>
    <col min="8716" max="8716" width="1.42578125" style="140" customWidth="1"/>
    <col min="8717" max="8717" width="3.5703125" style="140" customWidth="1"/>
    <col min="8718" max="8718" width="1.7109375" style="140" customWidth="1"/>
    <col min="8719" max="8719" width="14" style="140" customWidth="1"/>
    <col min="8720" max="8720" width="2.140625" style="140" customWidth="1"/>
    <col min="8721" max="8959" width="9.140625" style="140"/>
    <col min="8960" max="8960" width="2.85546875" style="140" customWidth="1"/>
    <col min="8961" max="8961" width="6.42578125" style="140" customWidth="1"/>
    <col min="8962" max="8962" width="3.85546875" style="140" customWidth="1"/>
    <col min="8963" max="8963" width="16.5703125" style="140" customWidth="1"/>
    <col min="8964" max="8964" width="3" style="140" customWidth="1"/>
    <col min="8965" max="8965" width="11.140625" style="140" customWidth="1"/>
    <col min="8966" max="8966" width="1.42578125" style="140" customWidth="1"/>
    <col min="8967" max="8967" width="3.42578125" style="140" customWidth="1"/>
    <col min="8968" max="8968" width="1.42578125" style="140" customWidth="1"/>
    <col min="8969" max="8969" width="12.5703125" style="140" customWidth="1"/>
    <col min="8970" max="8970" width="3.28515625" style="140" customWidth="1"/>
    <col min="8971" max="8971" width="12.85546875" style="140" customWidth="1"/>
    <col min="8972" max="8972" width="1.42578125" style="140" customWidth="1"/>
    <col min="8973" max="8973" width="3.5703125" style="140" customWidth="1"/>
    <col min="8974" max="8974" width="1.7109375" style="140" customWidth="1"/>
    <col min="8975" max="8975" width="14" style="140" customWidth="1"/>
    <col min="8976" max="8976" width="2.140625" style="140" customWidth="1"/>
    <col min="8977" max="9215" width="9.140625" style="140"/>
    <col min="9216" max="9216" width="2.85546875" style="140" customWidth="1"/>
    <col min="9217" max="9217" width="6.42578125" style="140" customWidth="1"/>
    <col min="9218" max="9218" width="3.85546875" style="140" customWidth="1"/>
    <col min="9219" max="9219" width="16.5703125" style="140" customWidth="1"/>
    <col min="9220" max="9220" width="3" style="140" customWidth="1"/>
    <col min="9221" max="9221" width="11.140625" style="140" customWidth="1"/>
    <col min="9222" max="9222" width="1.42578125" style="140" customWidth="1"/>
    <col min="9223" max="9223" width="3.42578125" style="140" customWidth="1"/>
    <col min="9224" max="9224" width="1.42578125" style="140" customWidth="1"/>
    <col min="9225" max="9225" width="12.5703125" style="140" customWidth="1"/>
    <col min="9226" max="9226" width="3.28515625" style="140" customWidth="1"/>
    <col min="9227" max="9227" width="12.85546875" style="140" customWidth="1"/>
    <col min="9228" max="9228" width="1.42578125" style="140" customWidth="1"/>
    <col min="9229" max="9229" width="3.5703125" style="140" customWidth="1"/>
    <col min="9230" max="9230" width="1.7109375" style="140" customWidth="1"/>
    <col min="9231" max="9231" width="14" style="140" customWidth="1"/>
    <col min="9232" max="9232" width="2.140625" style="140" customWidth="1"/>
    <col min="9233" max="9471" width="9.140625" style="140"/>
    <col min="9472" max="9472" width="2.85546875" style="140" customWidth="1"/>
    <col min="9473" max="9473" width="6.42578125" style="140" customWidth="1"/>
    <col min="9474" max="9474" width="3.85546875" style="140" customWidth="1"/>
    <col min="9475" max="9475" width="16.5703125" style="140" customWidth="1"/>
    <col min="9476" max="9476" width="3" style="140" customWidth="1"/>
    <col min="9477" max="9477" width="11.140625" style="140" customWidth="1"/>
    <col min="9478" max="9478" width="1.42578125" style="140" customWidth="1"/>
    <col min="9479" max="9479" width="3.42578125" style="140" customWidth="1"/>
    <col min="9480" max="9480" width="1.42578125" style="140" customWidth="1"/>
    <col min="9481" max="9481" width="12.5703125" style="140" customWidth="1"/>
    <col min="9482" max="9482" width="3.28515625" style="140" customWidth="1"/>
    <col min="9483" max="9483" width="12.85546875" style="140" customWidth="1"/>
    <col min="9484" max="9484" width="1.42578125" style="140" customWidth="1"/>
    <col min="9485" max="9485" width="3.5703125" style="140" customWidth="1"/>
    <col min="9486" max="9486" width="1.7109375" style="140" customWidth="1"/>
    <col min="9487" max="9487" width="14" style="140" customWidth="1"/>
    <col min="9488" max="9488" width="2.140625" style="140" customWidth="1"/>
    <col min="9489" max="9727" width="9.140625" style="140"/>
    <col min="9728" max="9728" width="2.85546875" style="140" customWidth="1"/>
    <col min="9729" max="9729" width="6.42578125" style="140" customWidth="1"/>
    <col min="9730" max="9730" width="3.85546875" style="140" customWidth="1"/>
    <col min="9731" max="9731" width="16.5703125" style="140" customWidth="1"/>
    <col min="9732" max="9732" width="3" style="140" customWidth="1"/>
    <col min="9733" max="9733" width="11.140625" style="140" customWidth="1"/>
    <col min="9734" max="9734" width="1.42578125" style="140" customWidth="1"/>
    <col min="9735" max="9735" width="3.42578125" style="140" customWidth="1"/>
    <col min="9736" max="9736" width="1.42578125" style="140" customWidth="1"/>
    <col min="9737" max="9737" width="12.5703125" style="140" customWidth="1"/>
    <col min="9738" max="9738" width="3.28515625" style="140" customWidth="1"/>
    <col min="9739" max="9739" width="12.85546875" style="140" customWidth="1"/>
    <col min="9740" max="9740" width="1.42578125" style="140" customWidth="1"/>
    <col min="9741" max="9741" width="3.5703125" style="140" customWidth="1"/>
    <col min="9742" max="9742" width="1.7109375" style="140" customWidth="1"/>
    <col min="9743" max="9743" width="14" style="140" customWidth="1"/>
    <col min="9744" max="9744" width="2.140625" style="140" customWidth="1"/>
    <col min="9745" max="9983" width="9.140625" style="140"/>
    <col min="9984" max="9984" width="2.85546875" style="140" customWidth="1"/>
    <col min="9985" max="9985" width="6.42578125" style="140" customWidth="1"/>
    <col min="9986" max="9986" width="3.85546875" style="140" customWidth="1"/>
    <col min="9987" max="9987" width="16.5703125" style="140" customWidth="1"/>
    <col min="9988" max="9988" width="3" style="140" customWidth="1"/>
    <col min="9989" max="9989" width="11.140625" style="140" customWidth="1"/>
    <col min="9990" max="9990" width="1.42578125" style="140" customWidth="1"/>
    <col min="9991" max="9991" width="3.42578125" style="140" customWidth="1"/>
    <col min="9992" max="9992" width="1.42578125" style="140" customWidth="1"/>
    <col min="9993" max="9993" width="12.5703125" style="140" customWidth="1"/>
    <col min="9994" max="9994" width="3.28515625" style="140" customWidth="1"/>
    <col min="9995" max="9995" width="12.85546875" style="140" customWidth="1"/>
    <col min="9996" max="9996" width="1.42578125" style="140" customWidth="1"/>
    <col min="9997" max="9997" width="3.5703125" style="140" customWidth="1"/>
    <col min="9998" max="9998" width="1.7109375" style="140" customWidth="1"/>
    <col min="9999" max="9999" width="14" style="140" customWidth="1"/>
    <col min="10000" max="10000" width="2.140625" style="140" customWidth="1"/>
    <col min="10001" max="10239" width="9.140625" style="140"/>
    <col min="10240" max="10240" width="2.85546875" style="140" customWidth="1"/>
    <col min="10241" max="10241" width="6.42578125" style="140" customWidth="1"/>
    <col min="10242" max="10242" width="3.85546875" style="140" customWidth="1"/>
    <col min="10243" max="10243" width="16.5703125" style="140" customWidth="1"/>
    <col min="10244" max="10244" width="3" style="140" customWidth="1"/>
    <col min="10245" max="10245" width="11.140625" style="140" customWidth="1"/>
    <col min="10246" max="10246" width="1.42578125" style="140" customWidth="1"/>
    <col min="10247" max="10247" width="3.42578125" style="140" customWidth="1"/>
    <col min="10248" max="10248" width="1.42578125" style="140" customWidth="1"/>
    <col min="10249" max="10249" width="12.5703125" style="140" customWidth="1"/>
    <col min="10250" max="10250" width="3.28515625" style="140" customWidth="1"/>
    <col min="10251" max="10251" width="12.85546875" style="140" customWidth="1"/>
    <col min="10252" max="10252" width="1.42578125" style="140" customWidth="1"/>
    <col min="10253" max="10253" width="3.5703125" style="140" customWidth="1"/>
    <col min="10254" max="10254" width="1.7109375" style="140" customWidth="1"/>
    <col min="10255" max="10255" width="14" style="140" customWidth="1"/>
    <col min="10256" max="10256" width="2.140625" style="140" customWidth="1"/>
    <col min="10257" max="10495" width="9.140625" style="140"/>
    <col min="10496" max="10496" width="2.85546875" style="140" customWidth="1"/>
    <col min="10497" max="10497" width="6.42578125" style="140" customWidth="1"/>
    <col min="10498" max="10498" width="3.85546875" style="140" customWidth="1"/>
    <col min="10499" max="10499" width="16.5703125" style="140" customWidth="1"/>
    <col min="10500" max="10500" width="3" style="140" customWidth="1"/>
    <col min="10501" max="10501" width="11.140625" style="140" customWidth="1"/>
    <col min="10502" max="10502" width="1.42578125" style="140" customWidth="1"/>
    <col min="10503" max="10503" width="3.42578125" style="140" customWidth="1"/>
    <col min="10504" max="10504" width="1.42578125" style="140" customWidth="1"/>
    <col min="10505" max="10505" width="12.5703125" style="140" customWidth="1"/>
    <col min="10506" max="10506" width="3.28515625" style="140" customWidth="1"/>
    <col min="10507" max="10507" width="12.85546875" style="140" customWidth="1"/>
    <col min="10508" max="10508" width="1.42578125" style="140" customWidth="1"/>
    <col min="10509" max="10509" width="3.5703125" style="140" customWidth="1"/>
    <col min="10510" max="10510" width="1.7109375" style="140" customWidth="1"/>
    <col min="10511" max="10511" width="14" style="140" customWidth="1"/>
    <col min="10512" max="10512" width="2.140625" style="140" customWidth="1"/>
    <col min="10513" max="10751" width="9.140625" style="140"/>
    <col min="10752" max="10752" width="2.85546875" style="140" customWidth="1"/>
    <col min="10753" max="10753" width="6.42578125" style="140" customWidth="1"/>
    <col min="10754" max="10754" width="3.85546875" style="140" customWidth="1"/>
    <col min="10755" max="10755" width="16.5703125" style="140" customWidth="1"/>
    <col min="10756" max="10756" width="3" style="140" customWidth="1"/>
    <col min="10757" max="10757" width="11.140625" style="140" customWidth="1"/>
    <col min="10758" max="10758" width="1.42578125" style="140" customWidth="1"/>
    <col min="10759" max="10759" width="3.42578125" style="140" customWidth="1"/>
    <col min="10760" max="10760" width="1.42578125" style="140" customWidth="1"/>
    <col min="10761" max="10761" width="12.5703125" style="140" customWidth="1"/>
    <col min="10762" max="10762" width="3.28515625" style="140" customWidth="1"/>
    <col min="10763" max="10763" width="12.85546875" style="140" customWidth="1"/>
    <col min="10764" max="10764" width="1.42578125" style="140" customWidth="1"/>
    <col min="10765" max="10765" width="3.5703125" style="140" customWidth="1"/>
    <col min="10766" max="10766" width="1.7109375" style="140" customWidth="1"/>
    <col min="10767" max="10767" width="14" style="140" customWidth="1"/>
    <col min="10768" max="10768" width="2.140625" style="140" customWidth="1"/>
    <col min="10769" max="11007" width="9.140625" style="140"/>
    <col min="11008" max="11008" width="2.85546875" style="140" customWidth="1"/>
    <col min="11009" max="11009" width="6.42578125" style="140" customWidth="1"/>
    <col min="11010" max="11010" width="3.85546875" style="140" customWidth="1"/>
    <col min="11011" max="11011" width="16.5703125" style="140" customWidth="1"/>
    <col min="11012" max="11012" width="3" style="140" customWidth="1"/>
    <col min="11013" max="11013" width="11.140625" style="140" customWidth="1"/>
    <col min="11014" max="11014" width="1.42578125" style="140" customWidth="1"/>
    <col min="11015" max="11015" width="3.42578125" style="140" customWidth="1"/>
    <col min="11016" max="11016" width="1.42578125" style="140" customWidth="1"/>
    <col min="11017" max="11017" width="12.5703125" style="140" customWidth="1"/>
    <col min="11018" max="11018" width="3.28515625" style="140" customWidth="1"/>
    <col min="11019" max="11019" width="12.85546875" style="140" customWidth="1"/>
    <col min="11020" max="11020" width="1.42578125" style="140" customWidth="1"/>
    <col min="11021" max="11021" width="3.5703125" style="140" customWidth="1"/>
    <col min="11022" max="11022" width="1.7109375" style="140" customWidth="1"/>
    <col min="11023" max="11023" width="14" style="140" customWidth="1"/>
    <col min="11024" max="11024" width="2.140625" style="140" customWidth="1"/>
    <col min="11025" max="11263" width="9.140625" style="140"/>
    <col min="11264" max="11264" width="2.85546875" style="140" customWidth="1"/>
    <col min="11265" max="11265" width="6.42578125" style="140" customWidth="1"/>
    <col min="11266" max="11266" width="3.85546875" style="140" customWidth="1"/>
    <col min="11267" max="11267" width="16.5703125" style="140" customWidth="1"/>
    <col min="11268" max="11268" width="3" style="140" customWidth="1"/>
    <col min="11269" max="11269" width="11.140625" style="140" customWidth="1"/>
    <col min="11270" max="11270" width="1.42578125" style="140" customWidth="1"/>
    <col min="11271" max="11271" width="3.42578125" style="140" customWidth="1"/>
    <col min="11272" max="11272" width="1.42578125" style="140" customWidth="1"/>
    <col min="11273" max="11273" width="12.5703125" style="140" customWidth="1"/>
    <col min="11274" max="11274" width="3.28515625" style="140" customWidth="1"/>
    <col min="11275" max="11275" width="12.85546875" style="140" customWidth="1"/>
    <col min="11276" max="11276" width="1.42578125" style="140" customWidth="1"/>
    <col min="11277" max="11277" width="3.5703125" style="140" customWidth="1"/>
    <col min="11278" max="11278" width="1.7109375" style="140" customWidth="1"/>
    <col min="11279" max="11279" width="14" style="140" customWidth="1"/>
    <col min="11280" max="11280" width="2.140625" style="140" customWidth="1"/>
    <col min="11281" max="11519" width="9.140625" style="140"/>
    <col min="11520" max="11520" width="2.85546875" style="140" customWidth="1"/>
    <col min="11521" max="11521" width="6.42578125" style="140" customWidth="1"/>
    <col min="11522" max="11522" width="3.85546875" style="140" customWidth="1"/>
    <col min="11523" max="11523" width="16.5703125" style="140" customWidth="1"/>
    <col min="11524" max="11524" width="3" style="140" customWidth="1"/>
    <col min="11525" max="11525" width="11.140625" style="140" customWidth="1"/>
    <col min="11526" max="11526" width="1.42578125" style="140" customWidth="1"/>
    <col min="11527" max="11527" width="3.42578125" style="140" customWidth="1"/>
    <col min="11528" max="11528" width="1.42578125" style="140" customWidth="1"/>
    <col min="11529" max="11529" width="12.5703125" style="140" customWidth="1"/>
    <col min="11530" max="11530" width="3.28515625" style="140" customWidth="1"/>
    <col min="11531" max="11531" width="12.85546875" style="140" customWidth="1"/>
    <col min="11532" max="11532" width="1.42578125" style="140" customWidth="1"/>
    <col min="11533" max="11533" width="3.5703125" style="140" customWidth="1"/>
    <col min="11534" max="11534" width="1.7109375" style="140" customWidth="1"/>
    <col min="11535" max="11535" width="14" style="140" customWidth="1"/>
    <col min="11536" max="11536" width="2.140625" style="140" customWidth="1"/>
    <col min="11537" max="11775" width="9.140625" style="140"/>
    <col min="11776" max="11776" width="2.85546875" style="140" customWidth="1"/>
    <col min="11777" max="11777" width="6.42578125" style="140" customWidth="1"/>
    <col min="11778" max="11778" width="3.85546875" style="140" customWidth="1"/>
    <col min="11779" max="11779" width="16.5703125" style="140" customWidth="1"/>
    <col min="11780" max="11780" width="3" style="140" customWidth="1"/>
    <col min="11781" max="11781" width="11.140625" style="140" customWidth="1"/>
    <col min="11782" max="11782" width="1.42578125" style="140" customWidth="1"/>
    <col min="11783" max="11783" width="3.42578125" style="140" customWidth="1"/>
    <col min="11784" max="11784" width="1.42578125" style="140" customWidth="1"/>
    <col min="11785" max="11785" width="12.5703125" style="140" customWidth="1"/>
    <col min="11786" max="11786" width="3.28515625" style="140" customWidth="1"/>
    <col min="11787" max="11787" width="12.85546875" style="140" customWidth="1"/>
    <col min="11788" max="11788" width="1.42578125" style="140" customWidth="1"/>
    <col min="11789" max="11789" width="3.5703125" style="140" customWidth="1"/>
    <col min="11790" max="11790" width="1.7109375" style="140" customWidth="1"/>
    <col min="11791" max="11791" width="14" style="140" customWidth="1"/>
    <col min="11792" max="11792" width="2.140625" style="140" customWidth="1"/>
    <col min="11793" max="12031" width="9.140625" style="140"/>
    <col min="12032" max="12032" width="2.85546875" style="140" customWidth="1"/>
    <col min="12033" max="12033" width="6.42578125" style="140" customWidth="1"/>
    <col min="12034" max="12034" width="3.85546875" style="140" customWidth="1"/>
    <col min="12035" max="12035" width="16.5703125" style="140" customWidth="1"/>
    <col min="12036" max="12036" width="3" style="140" customWidth="1"/>
    <col min="12037" max="12037" width="11.140625" style="140" customWidth="1"/>
    <col min="12038" max="12038" width="1.42578125" style="140" customWidth="1"/>
    <col min="12039" max="12039" width="3.42578125" style="140" customWidth="1"/>
    <col min="12040" max="12040" width="1.42578125" style="140" customWidth="1"/>
    <col min="12041" max="12041" width="12.5703125" style="140" customWidth="1"/>
    <col min="12042" max="12042" width="3.28515625" style="140" customWidth="1"/>
    <col min="12043" max="12043" width="12.85546875" style="140" customWidth="1"/>
    <col min="12044" max="12044" width="1.42578125" style="140" customWidth="1"/>
    <col min="12045" max="12045" width="3.5703125" style="140" customWidth="1"/>
    <col min="12046" max="12046" width="1.7109375" style="140" customWidth="1"/>
    <col min="12047" max="12047" width="14" style="140" customWidth="1"/>
    <col min="12048" max="12048" width="2.140625" style="140" customWidth="1"/>
    <col min="12049" max="12287" width="9.140625" style="140"/>
    <col min="12288" max="12288" width="2.85546875" style="140" customWidth="1"/>
    <col min="12289" max="12289" width="6.42578125" style="140" customWidth="1"/>
    <col min="12290" max="12290" width="3.85546875" style="140" customWidth="1"/>
    <col min="12291" max="12291" width="16.5703125" style="140" customWidth="1"/>
    <col min="12292" max="12292" width="3" style="140" customWidth="1"/>
    <col min="12293" max="12293" width="11.140625" style="140" customWidth="1"/>
    <col min="12294" max="12294" width="1.42578125" style="140" customWidth="1"/>
    <col min="12295" max="12295" width="3.42578125" style="140" customWidth="1"/>
    <col min="12296" max="12296" width="1.42578125" style="140" customWidth="1"/>
    <col min="12297" max="12297" width="12.5703125" style="140" customWidth="1"/>
    <col min="12298" max="12298" width="3.28515625" style="140" customWidth="1"/>
    <col min="12299" max="12299" width="12.85546875" style="140" customWidth="1"/>
    <col min="12300" max="12300" width="1.42578125" style="140" customWidth="1"/>
    <col min="12301" max="12301" width="3.5703125" style="140" customWidth="1"/>
    <col min="12302" max="12302" width="1.7109375" style="140" customWidth="1"/>
    <col min="12303" max="12303" width="14" style="140" customWidth="1"/>
    <col min="12304" max="12304" width="2.140625" style="140" customWidth="1"/>
    <col min="12305" max="12543" width="9.140625" style="140"/>
    <col min="12544" max="12544" width="2.85546875" style="140" customWidth="1"/>
    <col min="12545" max="12545" width="6.42578125" style="140" customWidth="1"/>
    <col min="12546" max="12546" width="3.85546875" style="140" customWidth="1"/>
    <col min="12547" max="12547" width="16.5703125" style="140" customWidth="1"/>
    <col min="12548" max="12548" width="3" style="140" customWidth="1"/>
    <col min="12549" max="12549" width="11.140625" style="140" customWidth="1"/>
    <col min="12550" max="12550" width="1.42578125" style="140" customWidth="1"/>
    <col min="12551" max="12551" width="3.42578125" style="140" customWidth="1"/>
    <col min="12552" max="12552" width="1.42578125" style="140" customWidth="1"/>
    <col min="12553" max="12553" width="12.5703125" style="140" customWidth="1"/>
    <col min="12554" max="12554" width="3.28515625" style="140" customWidth="1"/>
    <col min="12555" max="12555" width="12.85546875" style="140" customWidth="1"/>
    <col min="12556" max="12556" width="1.42578125" style="140" customWidth="1"/>
    <col min="12557" max="12557" width="3.5703125" style="140" customWidth="1"/>
    <col min="12558" max="12558" width="1.7109375" style="140" customWidth="1"/>
    <col min="12559" max="12559" width="14" style="140" customWidth="1"/>
    <col min="12560" max="12560" width="2.140625" style="140" customWidth="1"/>
    <col min="12561" max="12799" width="9.140625" style="140"/>
    <col min="12800" max="12800" width="2.85546875" style="140" customWidth="1"/>
    <col min="12801" max="12801" width="6.42578125" style="140" customWidth="1"/>
    <col min="12802" max="12802" width="3.85546875" style="140" customWidth="1"/>
    <col min="12803" max="12803" width="16.5703125" style="140" customWidth="1"/>
    <col min="12804" max="12804" width="3" style="140" customWidth="1"/>
    <col min="12805" max="12805" width="11.140625" style="140" customWidth="1"/>
    <col min="12806" max="12806" width="1.42578125" style="140" customWidth="1"/>
    <col min="12807" max="12807" width="3.42578125" style="140" customWidth="1"/>
    <col min="12808" max="12808" width="1.42578125" style="140" customWidth="1"/>
    <col min="12809" max="12809" width="12.5703125" style="140" customWidth="1"/>
    <col min="12810" max="12810" width="3.28515625" style="140" customWidth="1"/>
    <col min="12811" max="12811" width="12.85546875" style="140" customWidth="1"/>
    <col min="12812" max="12812" width="1.42578125" style="140" customWidth="1"/>
    <col min="12813" max="12813" width="3.5703125" style="140" customWidth="1"/>
    <col min="12814" max="12814" width="1.7109375" style="140" customWidth="1"/>
    <col min="12815" max="12815" width="14" style="140" customWidth="1"/>
    <col min="12816" max="12816" width="2.140625" style="140" customWidth="1"/>
    <col min="12817" max="13055" width="9.140625" style="140"/>
    <col min="13056" max="13056" width="2.85546875" style="140" customWidth="1"/>
    <col min="13057" max="13057" width="6.42578125" style="140" customWidth="1"/>
    <col min="13058" max="13058" width="3.85546875" style="140" customWidth="1"/>
    <col min="13059" max="13059" width="16.5703125" style="140" customWidth="1"/>
    <col min="13060" max="13060" width="3" style="140" customWidth="1"/>
    <col min="13061" max="13061" width="11.140625" style="140" customWidth="1"/>
    <col min="13062" max="13062" width="1.42578125" style="140" customWidth="1"/>
    <col min="13063" max="13063" width="3.42578125" style="140" customWidth="1"/>
    <col min="13064" max="13064" width="1.42578125" style="140" customWidth="1"/>
    <col min="13065" max="13065" width="12.5703125" style="140" customWidth="1"/>
    <col min="13066" max="13066" width="3.28515625" style="140" customWidth="1"/>
    <col min="13067" max="13067" width="12.85546875" style="140" customWidth="1"/>
    <col min="13068" max="13068" width="1.42578125" style="140" customWidth="1"/>
    <col min="13069" max="13069" width="3.5703125" style="140" customWidth="1"/>
    <col min="13070" max="13070" width="1.7109375" style="140" customWidth="1"/>
    <col min="13071" max="13071" width="14" style="140" customWidth="1"/>
    <col min="13072" max="13072" width="2.140625" style="140" customWidth="1"/>
    <col min="13073" max="13311" width="9.140625" style="140"/>
    <col min="13312" max="13312" width="2.85546875" style="140" customWidth="1"/>
    <col min="13313" max="13313" width="6.42578125" style="140" customWidth="1"/>
    <col min="13314" max="13314" width="3.85546875" style="140" customWidth="1"/>
    <col min="13315" max="13315" width="16.5703125" style="140" customWidth="1"/>
    <col min="13316" max="13316" width="3" style="140" customWidth="1"/>
    <col min="13317" max="13317" width="11.140625" style="140" customWidth="1"/>
    <col min="13318" max="13318" width="1.42578125" style="140" customWidth="1"/>
    <col min="13319" max="13319" width="3.42578125" style="140" customWidth="1"/>
    <col min="13320" max="13320" width="1.42578125" style="140" customWidth="1"/>
    <col min="13321" max="13321" width="12.5703125" style="140" customWidth="1"/>
    <col min="13322" max="13322" width="3.28515625" style="140" customWidth="1"/>
    <col min="13323" max="13323" width="12.85546875" style="140" customWidth="1"/>
    <col min="13324" max="13324" width="1.42578125" style="140" customWidth="1"/>
    <col min="13325" max="13325" width="3.5703125" style="140" customWidth="1"/>
    <col min="13326" max="13326" width="1.7109375" style="140" customWidth="1"/>
    <col min="13327" max="13327" width="14" style="140" customWidth="1"/>
    <col min="13328" max="13328" width="2.140625" style="140" customWidth="1"/>
    <col min="13329" max="13567" width="9.140625" style="140"/>
    <col min="13568" max="13568" width="2.85546875" style="140" customWidth="1"/>
    <col min="13569" max="13569" width="6.42578125" style="140" customWidth="1"/>
    <col min="13570" max="13570" width="3.85546875" style="140" customWidth="1"/>
    <col min="13571" max="13571" width="16.5703125" style="140" customWidth="1"/>
    <col min="13572" max="13572" width="3" style="140" customWidth="1"/>
    <col min="13573" max="13573" width="11.140625" style="140" customWidth="1"/>
    <col min="13574" max="13574" width="1.42578125" style="140" customWidth="1"/>
    <col min="13575" max="13575" width="3.42578125" style="140" customWidth="1"/>
    <col min="13576" max="13576" width="1.42578125" style="140" customWidth="1"/>
    <col min="13577" max="13577" width="12.5703125" style="140" customWidth="1"/>
    <col min="13578" max="13578" width="3.28515625" style="140" customWidth="1"/>
    <col min="13579" max="13579" width="12.85546875" style="140" customWidth="1"/>
    <col min="13580" max="13580" width="1.42578125" style="140" customWidth="1"/>
    <col min="13581" max="13581" width="3.5703125" style="140" customWidth="1"/>
    <col min="13582" max="13582" width="1.7109375" style="140" customWidth="1"/>
    <col min="13583" max="13583" width="14" style="140" customWidth="1"/>
    <col min="13584" max="13584" width="2.140625" style="140" customWidth="1"/>
    <col min="13585" max="13823" width="9.140625" style="140"/>
    <col min="13824" max="13824" width="2.85546875" style="140" customWidth="1"/>
    <col min="13825" max="13825" width="6.42578125" style="140" customWidth="1"/>
    <col min="13826" max="13826" width="3.85546875" style="140" customWidth="1"/>
    <col min="13827" max="13827" width="16.5703125" style="140" customWidth="1"/>
    <col min="13828" max="13828" width="3" style="140" customWidth="1"/>
    <col min="13829" max="13829" width="11.140625" style="140" customWidth="1"/>
    <col min="13830" max="13830" width="1.42578125" style="140" customWidth="1"/>
    <col min="13831" max="13831" width="3.42578125" style="140" customWidth="1"/>
    <col min="13832" max="13832" width="1.42578125" style="140" customWidth="1"/>
    <col min="13833" max="13833" width="12.5703125" style="140" customWidth="1"/>
    <col min="13834" max="13834" width="3.28515625" style="140" customWidth="1"/>
    <col min="13835" max="13835" width="12.85546875" style="140" customWidth="1"/>
    <col min="13836" max="13836" width="1.42578125" style="140" customWidth="1"/>
    <col min="13837" max="13837" width="3.5703125" style="140" customWidth="1"/>
    <col min="13838" max="13838" width="1.7109375" style="140" customWidth="1"/>
    <col min="13839" max="13839" width="14" style="140" customWidth="1"/>
    <col min="13840" max="13840" width="2.140625" style="140" customWidth="1"/>
    <col min="13841" max="14079" width="9.140625" style="140"/>
    <col min="14080" max="14080" width="2.85546875" style="140" customWidth="1"/>
    <col min="14081" max="14081" width="6.42578125" style="140" customWidth="1"/>
    <col min="14082" max="14082" width="3.85546875" style="140" customWidth="1"/>
    <col min="14083" max="14083" width="16.5703125" style="140" customWidth="1"/>
    <col min="14084" max="14084" width="3" style="140" customWidth="1"/>
    <col min="14085" max="14085" width="11.140625" style="140" customWidth="1"/>
    <col min="14086" max="14086" width="1.42578125" style="140" customWidth="1"/>
    <col min="14087" max="14087" width="3.42578125" style="140" customWidth="1"/>
    <col min="14088" max="14088" width="1.42578125" style="140" customWidth="1"/>
    <col min="14089" max="14089" width="12.5703125" style="140" customWidth="1"/>
    <col min="14090" max="14090" width="3.28515625" style="140" customWidth="1"/>
    <col min="14091" max="14091" width="12.85546875" style="140" customWidth="1"/>
    <col min="14092" max="14092" width="1.42578125" style="140" customWidth="1"/>
    <col min="14093" max="14093" width="3.5703125" style="140" customWidth="1"/>
    <col min="14094" max="14094" width="1.7109375" style="140" customWidth="1"/>
    <col min="14095" max="14095" width="14" style="140" customWidth="1"/>
    <col min="14096" max="14096" width="2.140625" style="140" customWidth="1"/>
    <col min="14097" max="14335" width="9.140625" style="140"/>
    <col min="14336" max="14336" width="2.85546875" style="140" customWidth="1"/>
    <col min="14337" max="14337" width="6.42578125" style="140" customWidth="1"/>
    <col min="14338" max="14338" width="3.85546875" style="140" customWidth="1"/>
    <col min="14339" max="14339" width="16.5703125" style="140" customWidth="1"/>
    <col min="14340" max="14340" width="3" style="140" customWidth="1"/>
    <col min="14341" max="14341" width="11.140625" style="140" customWidth="1"/>
    <col min="14342" max="14342" width="1.42578125" style="140" customWidth="1"/>
    <col min="14343" max="14343" width="3.42578125" style="140" customWidth="1"/>
    <col min="14344" max="14344" width="1.42578125" style="140" customWidth="1"/>
    <col min="14345" max="14345" width="12.5703125" style="140" customWidth="1"/>
    <col min="14346" max="14346" width="3.28515625" style="140" customWidth="1"/>
    <col min="14347" max="14347" width="12.85546875" style="140" customWidth="1"/>
    <col min="14348" max="14348" width="1.42578125" style="140" customWidth="1"/>
    <col min="14349" max="14349" width="3.5703125" style="140" customWidth="1"/>
    <col min="14350" max="14350" width="1.7109375" style="140" customWidth="1"/>
    <col min="14351" max="14351" width="14" style="140" customWidth="1"/>
    <col min="14352" max="14352" width="2.140625" style="140" customWidth="1"/>
    <col min="14353" max="14591" width="9.140625" style="140"/>
    <col min="14592" max="14592" width="2.85546875" style="140" customWidth="1"/>
    <col min="14593" max="14593" width="6.42578125" style="140" customWidth="1"/>
    <col min="14594" max="14594" width="3.85546875" style="140" customWidth="1"/>
    <col min="14595" max="14595" width="16.5703125" style="140" customWidth="1"/>
    <col min="14596" max="14596" width="3" style="140" customWidth="1"/>
    <col min="14597" max="14597" width="11.140625" style="140" customWidth="1"/>
    <col min="14598" max="14598" width="1.42578125" style="140" customWidth="1"/>
    <col min="14599" max="14599" width="3.42578125" style="140" customWidth="1"/>
    <col min="14600" max="14600" width="1.42578125" style="140" customWidth="1"/>
    <col min="14601" max="14601" width="12.5703125" style="140" customWidth="1"/>
    <col min="14602" max="14602" width="3.28515625" style="140" customWidth="1"/>
    <col min="14603" max="14603" width="12.85546875" style="140" customWidth="1"/>
    <col min="14604" max="14604" width="1.42578125" style="140" customWidth="1"/>
    <col min="14605" max="14605" width="3.5703125" style="140" customWidth="1"/>
    <col min="14606" max="14606" width="1.7109375" style="140" customWidth="1"/>
    <col min="14607" max="14607" width="14" style="140" customWidth="1"/>
    <col min="14608" max="14608" width="2.140625" style="140" customWidth="1"/>
    <col min="14609" max="14847" width="9.140625" style="140"/>
    <col min="14848" max="14848" width="2.85546875" style="140" customWidth="1"/>
    <col min="14849" max="14849" width="6.42578125" style="140" customWidth="1"/>
    <col min="14850" max="14850" width="3.85546875" style="140" customWidth="1"/>
    <col min="14851" max="14851" width="16.5703125" style="140" customWidth="1"/>
    <col min="14852" max="14852" width="3" style="140" customWidth="1"/>
    <col min="14853" max="14853" width="11.140625" style="140" customWidth="1"/>
    <col min="14854" max="14854" width="1.42578125" style="140" customWidth="1"/>
    <col min="14855" max="14855" width="3.42578125" style="140" customWidth="1"/>
    <col min="14856" max="14856" width="1.42578125" style="140" customWidth="1"/>
    <col min="14857" max="14857" width="12.5703125" style="140" customWidth="1"/>
    <col min="14858" max="14858" width="3.28515625" style="140" customWidth="1"/>
    <col min="14859" max="14859" width="12.85546875" style="140" customWidth="1"/>
    <col min="14860" max="14860" width="1.42578125" style="140" customWidth="1"/>
    <col min="14861" max="14861" width="3.5703125" style="140" customWidth="1"/>
    <col min="14862" max="14862" width="1.7109375" style="140" customWidth="1"/>
    <col min="14863" max="14863" width="14" style="140" customWidth="1"/>
    <col min="14864" max="14864" width="2.140625" style="140" customWidth="1"/>
    <col min="14865" max="15103" width="9.140625" style="140"/>
    <col min="15104" max="15104" width="2.85546875" style="140" customWidth="1"/>
    <col min="15105" max="15105" width="6.42578125" style="140" customWidth="1"/>
    <col min="15106" max="15106" width="3.85546875" style="140" customWidth="1"/>
    <col min="15107" max="15107" width="16.5703125" style="140" customWidth="1"/>
    <col min="15108" max="15108" width="3" style="140" customWidth="1"/>
    <col min="15109" max="15109" width="11.140625" style="140" customWidth="1"/>
    <col min="15110" max="15110" width="1.42578125" style="140" customWidth="1"/>
    <col min="15111" max="15111" width="3.42578125" style="140" customWidth="1"/>
    <col min="15112" max="15112" width="1.42578125" style="140" customWidth="1"/>
    <col min="15113" max="15113" width="12.5703125" style="140" customWidth="1"/>
    <col min="15114" max="15114" width="3.28515625" style="140" customWidth="1"/>
    <col min="15115" max="15115" width="12.85546875" style="140" customWidth="1"/>
    <col min="15116" max="15116" width="1.42578125" style="140" customWidth="1"/>
    <col min="15117" max="15117" width="3.5703125" style="140" customWidth="1"/>
    <col min="15118" max="15118" width="1.7109375" style="140" customWidth="1"/>
    <col min="15119" max="15119" width="14" style="140" customWidth="1"/>
    <col min="15120" max="15120" width="2.140625" style="140" customWidth="1"/>
    <col min="15121" max="15359" width="9.140625" style="140"/>
    <col min="15360" max="15360" width="2.85546875" style="140" customWidth="1"/>
    <col min="15361" max="15361" width="6.42578125" style="140" customWidth="1"/>
    <col min="15362" max="15362" width="3.85546875" style="140" customWidth="1"/>
    <col min="15363" max="15363" width="16.5703125" style="140" customWidth="1"/>
    <col min="15364" max="15364" width="3" style="140" customWidth="1"/>
    <col min="15365" max="15365" width="11.140625" style="140" customWidth="1"/>
    <col min="15366" max="15366" width="1.42578125" style="140" customWidth="1"/>
    <col min="15367" max="15367" width="3.42578125" style="140" customWidth="1"/>
    <col min="15368" max="15368" width="1.42578125" style="140" customWidth="1"/>
    <col min="15369" max="15369" width="12.5703125" style="140" customWidth="1"/>
    <col min="15370" max="15370" width="3.28515625" style="140" customWidth="1"/>
    <col min="15371" max="15371" width="12.85546875" style="140" customWidth="1"/>
    <col min="15372" max="15372" width="1.42578125" style="140" customWidth="1"/>
    <col min="15373" max="15373" width="3.5703125" style="140" customWidth="1"/>
    <col min="15374" max="15374" width="1.7109375" style="140" customWidth="1"/>
    <col min="15375" max="15375" width="14" style="140" customWidth="1"/>
    <col min="15376" max="15376" width="2.140625" style="140" customWidth="1"/>
    <col min="15377" max="15615" width="9.140625" style="140"/>
    <col min="15616" max="15616" width="2.85546875" style="140" customWidth="1"/>
    <col min="15617" max="15617" width="6.42578125" style="140" customWidth="1"/>
    <col min="15618" max="15618" width="3.85546875" style="140" customWidth="1"/>
    <col min="15619" max="15619" width="16.5703125" style="140" customWidth="1"/>
    <col min="15620" max="15620" width="3" style="140" customWidth="1"/>
    <col min="15621" max="15621" width="11.140625" style="140" customWidth="1"/>
    <col min="15622" max="15622" width="1.42578125" style="140" customWidth="1"/>
    <col min="15623" max="15623" width="3.42578125" style="140" customWidth="1"/>
    <col min="15624" max="15624" width="1.42578125" style="140" customWidth="1"/>
    <col min="15625" max="15625" width="12.5703125" style="140" customWidth="1"/>
    <col min="15626" max="15626" width="3.28515625" style="140" customWidth="1"/>
    <col min="15627" max="15627" width="12.85546875" style="140" customWidth="1"/>
    <col min="15628" max="15628" width="1.42578125" style="140" customWidth="1"/>
    <col min="15629" max="15629" width="3.5703125" style="140" customWidth="1"/>
    <col min="15630" max="15630" width="1.7109375" style="140" customWidth="1"/>
    <col min="15631" max="15631" width="14" style="140" customWidth="1"/>
    <col min="15632" max="15632" width="2.140625" style="140" customWidth="1"/>
    <col min="15633" max="15871" width="9.140625" style="140"/>
    <col min="15872" max="15872" width="2.85546875" style="140" customWidth="1"/>
    <col min="15873" max="15873" width="6.42578125" style="140" customWidth="1"/>
    <col min="15874" max="15874" width="3.85546875" style="140" customWidth="1"/>
    <col min="15875" max="15875" width="16.5703125" style="140" customWidth="1"/>
    <col min="15876" max="15876" width="3" style="140" customWidth="1"/>
    <col min="15877" max="15877" width="11.140625" style="140" customWidth="1"/>
    <col min="15878" max="15878" width="1.42578125" style="140" customWidth="1"/>
    <col min="15879" max="15879" width="3.42578125" style="140" customWidth="1"/>
    <col min="15880" max="15880" width="1.42578125" style="140" customWidth="1"/>
    <col min="15881" max="15881" width="12.5703125" style="140" customWidth="1"/>
    <col min="15882" max="15882" width="3.28515625" style="140" customWidth="1"/>
    <col min="15883" max="15883" width="12.85546875" style="140" customWidth="1"/>
    <col min="15884" max="15884" width="1.42578125" style="140" customWidth="1"/>
    <col min="15885" max="15885" width="3.5703125" style="140" customWidth="1"/>
    <col min="15886" max="15886" width="1.7109375" style="140" customWidth="1"/>
    <col min="15887" max="15887" width="14" style="140" customWidth="1"/>
    <col min="15888" max="15888" width="2.140625" style="140" customWidth="1"/>
    <col min="15889" max="16127" width="9.140625" style="140"/>
    <col min="16128" max="16128" width="2.85546875" style="140" customWidth="1"/>
    <col min="16129" max="16129" width="6.42578125" style="140" customWidth="1"/>
    <col min="16130" max="16130" width="3.85546875" style="140" customWidth="1"/>
    <col min="16131" max="16131" width="16.5703125" style="140" customWidth="1"/>
    <col min="16132" max="16132" width="3" style="140" customWidth="1"/>
    <col min="16133" max="16133" width="11.140625" style="140" customWidth="1"/>
    <col min="16134" max="16134" width="1.42578125" style="140" customWidth="1"/>
    <col min="16135" max="16135" width="3.42578125" style="140" customWidth="1"/>
    <col min="16136" max="16136" width="1.42578125" style="140" customWidth="1"/>
    <col min="16137" max="16137" width="12.5703125" style="140" customWidth="1"/>
    <col min="16138" max="16138" width="3.28515625" style="140" customWidth="1"/>
    <col min="16139" max="16139" width="12.85546875" style="140" customWidth="1"/>
    <col min="16140" max="16140" width="1.42578125" style="140" customWidth="1"/>
    <col min="16141" max="16141" width="3.5703125" style="140" customWidth="1"/>
    <col min="16142" max="16142" width="1.7109375" style="140" customWidth="1"/>
    <col min="16143" max="16143" width="14" style="140" customWidth="1"/>
    <col min="16144" max="16144" width="2.140625" style="140" customWidth="1"/>
    <col min="16145" max="16384" width="9.140625" style="140"/>
  </cols>
  <sheetData>
    <row r="1" spans="1:15" x14ac:dyDescent="0.2">
      <c r="K1" s="715" t="s">
        <v>394</v>
      </c>
      <c r="O1" s="253" t="str">
        <f>EBNUMBER</f>
        <v>EB-2015-0089</v>
      </c>
    </row>
    <row r="2" spans="1:15" x14ac:dyDescent="0.2">
      <c r="K2" s="715" t="s">
        <v>395</v>
      </c>
      <c r="O2" s="254">
        <v>5</v>
      </c>
    </row>
    <row r="3" spans="1:15" x14ac:dyDescent="0.2">
      <c r="K3" s="715" t="s">
        <v>396</v>
      </c>
      <c r="O3" s="254" t="s">
        <v>2456</v>
      </c>
    </row>
    <row r="4" spans="1:15" x14ac:dyDescent="0.2">
      <c r="K4" s="715" t="s">
        <v>397</v>
      </c>
      <c r="O4" s="254" t="s">
        <v>2430</v>
      </c>
    </row>
    <row r="5" spans="1:15" x14ac:dyDescent="0.2">
      <c r="K5" s="715" t="s">
        <v>398</v>
      </c>
      <c r="O5" s="1841" t="s">
        <v>2431</v>
      </c>
    </row>
    <row r="6" spans="1:15" x14ac:dyDescent="0.2">
      <c r="K6" s="715"/>
      <c r="O6" s="253"/>
    </row>
    <row r="7" spans="1:15" x14ac:dyDescent="0.2">
      <c r="K7" s="715" t="s">
        <v>399</v>
      </c>
      <c r="O7" s="1836" t="s">
        <v>2455</v>
      </c>
    </row>
    <row r="10" spans="1:15" ht="18" x14ac:dyDescent="0.25">
      <c r="C10" s="1979" t="s">
        <v>603</v>
      </c>
      <c r="D10" s="1979"/>
      <c r="E10" s="1979"/>
      <c r="F10" s="1979"/>
      <c r="G10" s="1979"/>
      <c r="H10" s="1979"/>
      <c r="I10" s="1979"/>
      <c r="J10" s="1979"/>
      <c r="K10" s="1979"/>
      <c r="L10" s="1979"/>
      <c r="M10" s="1979"/>
      <c r="N10" s="1979"/>
      <c r="O10" s="1979"/>
    </row>
    <row r="11" spans="1:15" ht="18" x14ac:dyDescent="0.2">
      <c r="C11" s="2283" t="s">
        <v>2451</v>
      </c>
      <c r="D11" s="2283"/>
      <c r="E11" s="2283"/>
      <c r="F11" s="2283"/>
      <c r="G11" s="2283"/>
      <c r="H11" s="2283"/>
      <c r="I11" s="2283"/>
      <c r="J11" s="2283"/>
      <c r="K11" s="2283"/>
      <c r="L11" s="2283"/>
      <c r="M11" s="2283"/>
      <c r="N11" s="2283"/>
      <c r="O11" s="2283"/>
    </row>
    <row r="13" spans="1:15" x14ac:dyDescent="0.2">
      <c r="A13" s="2118" t="s">
        <v>795</v>
      </c>
      <c r="B13" s="2118"/>
      <c r="C13" s="2118"/>
      <c r="D13" s="2118"/>
      <c r="E13" s="2118"/>
      <c r="F13" s="2118"/>
      <c r="G13" s="2118"/>
      <c r="H13" s="2118"/>
      <c r="I13" s="2118"/>
      <c r="J13" s="2118"/>
      <c r="K13" s="2118"/>
      <c r="L13" s="2118"/>
      <c r="M13" s="2118"/>
      <c r="N13" s="2118"/>
      <c r="O13" s="2118"/>
    </row>
    <row r="14" spans="1:15" x14ac:dyDescent="0.2">
      <c r="A14" s="1500"/>
      <c r="B14" s="1500"/>
      <c r="C14" s="1500"/>
      <c r="D14" s="1500"/>
      <c r="E14" s="1500"/>
      <c r="F14" s="1500"/>
      <c r="G14" s="1500"/>
      <c r="H14" s="1500"/>
      <c r="I14" s="1500"/>
      <c r="J14" s="1500"/>
      <c r="K14" s="1500"/>
      <c r="L14" s="1500"/>
      <c r="M14" s="1500"/>
      <c r="N14" s="1500"/>
      <c r="O14" s="1500"/>
    </row>
    <row r="15" spans="1:15" s="61" customFormat="1" x14ac:dyDescent="0.2">
      <c r="B15" s="140"/>
      <c r="C15" s="140"/>
      <c r="G15" s="630" t="s">
        <v>50</v>
      </c>
      <c r="H15" s="2287" t="s">
        <v>2307</v>
      </c>
      <c r="I15" s="2287"/>
      <c r="J15" s="2287"/>
    </row>
    <row r="17" spans="1:16" x14ac:dyDescent="0.2">
      <c r="A17" s="2284" t="s">
        <v>589</v>
      </c>
      <c r="B17" s="342"/>
      <c r="C17" s="342"/>
      <c r="D17" s="342"/>
      <c r="E17" s="342"/>
      <c r="F17" s="342"/>
      <c r="G17" s="342"/>
      <c r="H17" s="342"/>
      <c r="I17" s="342"/>
      <c r="J17" s="342"/>
      <c r="K17" s="342"/>
      <c r="L17" s="342"/>
      <c r="M17" s="342"/>
      <c r="N17" s="342"/>
      <c r="O17" s="342"/>
    </row>
    <row r="18" spans="1:16" x14ac:dyDescent="0.2">
      <c r="A18" s="2285"/>
      <c r="B18" s="342"/>
      <c r="C18" s="1501" t="s">
        <v>590</v>
      </c>
      <c r="D18" s="342"/>
      <c r="E18" s="2286" t="s">
        <v>591</v>
      </c>
      <c r="F18" s="2286"/>
      <c r="G18" s="2286"/>
      <c r="H18" s="2286"/>
      <c r="I18" s="2286"/>
      <c r="J18" s="1039"/>
      <c r="K18" s="1501" t="s">
        <v>400</v>
      </c>
      <c r="L18" s="1040"/>
      <c r="M18" s="342"/>
      <c r="N18" s="342"/>
      <c r="O18" s="1501" t="s">
        <v>592</v>
      </c>
    </row>
    <row r="19" spans="1:16" x14ac:dyDescent="0.2">
      <c r="A19" s="334"/>
      <c r="B19" s="342"/>
      <c r="C19" s="342"/>
      <c r="D19" s="342"/>
      <c r="E19" s="342"/>
      <c r="F19" s="342"/>
      <c r="G19" s="342"/>
      <c r="H19" s="342"/>
      <c r="I19" s="1041"/>
      <c r="J19" s="1041"/>
      <c r="K19" s="342"/>
      <c r="L19" s="342"/>
      <c r="M19" s="342"/>
      <c r="N19" s="342"/>
      <c r="O19" s="342"/>
    </row>
    <row r="20" spans="1:16" x14ac:dyDescent="0.2">
      <c r="A20" s="451"/>
      <c r="B20" s="342"/>
      <c r="C20" s="342"/>
      <c r="D20" s="342"/>
      <c r="E20" s="1042" t="s">
        <v>401</v>
      </c>
      <c r="F20" s="1043"/>
      <c r="G20" s="1043"/>
      <c r="H20" s="1043"/>
      <c r="I20" s="1042" t="s">
        <v>402</v>
      </c>
      <c r="J20" s="342"/>
      <c r="K20" s="1042" t="s">
        <v>401</v>
      </c>
      <c r="L20" s="1043"/>
      <c r="M20" s="342"/>
      <c r="N20" s="342"/>
      <c r="O20" s="1041" t="s">
        <v>402</v>
      </c>
      <c r="P20" s="342"/>
    </row>
    <row r="21" spans="1:16" x14ac:dyDescent="0.2">
      <c r="A21" s="451"/>
      <c r="B21" s="342"/>
      <c r="C21" s="1044" t="s">
        <v>593</v>
      </c>
      <c r="D21" s="342"/>
      <c r="E21" s="342"/>
      <c r="F21" s="342"/>
      <c r="G21" s="342"/>
      <c r="H21" s="342"/>
      <c r="I21" s="342"/>
      <c r="J21" s="342"/>
      <c r="K21" s="342"/>
      <c r="L21" s="342"/>
      <c r="M21" s="342"/>
      <c r="N21" s="342"/>
      <c r="O21" s="342"/>
      <c r="P21" s="342"/>
    </row>
    <row r="22" spans="1:16" x14ac:dyDescent="0.2">
      <c r="A22" s="451">
        <v>1</v>
      </c>
      <c r="B22" s="342"/>
      <c r="C22" s="1045" t="s">
        <v>594</v>
      </c>
      <c r="D22" s="342"/>
      <c r="E22" s="1046">
        <v>0.56000000000000005</v>
      </c>
      <c r="F22" s="1047"/>
      <c r="G22" s="35"/>
      <c r="H22" s="33"/>
      <c r="I22" s="1048">
        <f>$I$31*E22</f>
        <v>33481162.400000002</v>
      </c>
      <c r="J22" s="342"/>
      <c r="K22" s="1744">
        <v>4.8546600000000002E-2</v>
      </c>
      <c r="L22" s="1047"/>
      <c r="M22" s="35"/>
      <c r="N22" s="33"/>
      <c r="O22" s="1048">
        <f>K22*I22</f>
        <v>1625396.5985678402</v>
      </c>
      <c r="P22" s="342"/>
    </row>
    <row r="23" spans="1:16" x14ac:dyDescent="0.2">
      <c r="A23" s="451">
        <v>2</v>
      </c>
      <c r="B23" s="342"/>
      <c r="C23" s="1045" t="s">
        <v>595</v>
      </c>
      <c r="D23" s="342"/>
      <c r="E23" s="1049">
        <v>0.04</v>
      </c>
      <c r="F23" s="1047"/>
      <c r="G23" s="34" t="s">
        <v>403</v>
      </c>
      <c r="H23" s="34"/>
      <c r="I23" s="1050">
        <f>$I$31*E23</f>
        <v>2391511.6</v>
      </c>
      <c r="J23" s="342"/>
      <c r="K23" s="1745">
        <v>2.46E-2</v>
      </c>
      <c r="L23" s="1047"/>
      <c r="M23" s="35"/>
      <c r="N23" s="33"/>
      <c r="O23" s="1050">
        <f>K23*I23</f>
        <v>58831.185360000003</v>
      </c>
      <c r="P23" s="342"/>
    </row>
    <row r="24" spans="1:16" ht="13.5" thickBot="1" x14ac:dyDescent="0.25">
      <c r="A24" s="451">
        <v>3</v>
      </c>
      <c r="B24" s="342"/>
      <c r="C24" s="451" t="s">
        <v>596</v>
      </c>
      <c r="D24" s="342"/>
      <c r="E24" s="1051">
        <f>SUM(E22:E23)</f>
        <v>0.60000000000000009</v>
      </c>
      <c r="F24" s="1052"/>
      <c r="G24" s="1051"/>
      <c r="H24" s="1052"/>
      <c r="I24" s="1053">
        <f>SUM(I22:I23)</f>
        <v>35872674</v>
      </c>
      <c r="J24" s="342"/>
      <c r="K24" s="1054">
        <f>IF(E24=0,0,SUMPRODUCT(E22:E23,K22:K23)/E24)</f>
        <v>4.6950159999999998E-2</v>
      </c>
      <c r="L24" s="1047"/>
      <c r="M24" s="1055"/>
      <c r="N24" s="377"/>
      <c r="O24" s="1053">
        <f>SUM(O22:O23)</f>
        <v>1684227.7839278402</v>
      </c>
      <c r="P24" s="342"/>
    </row>
    <row r="25" spans="1:16" ht="13.5" thickTop="1" x14ac:dyDescent="0.2">
      <c r="A25" s="451"/>
      <c r="B25" s="342"/>
      <c r="C25" s="342"/>
      <c r="D25" s="342"/>
      <c r="E25" s="1056"/>
      <c r="F25" s="1057"/>
      <c r="G25" s="1056"/>
      <c r="H25" s="1057"/>
      <c r="I25" s="1058"/>
      <c r="J25" s="342"/>
      <c r="K25" s="1059"/>
      <c r="L25" s="1047"/>
      <c r="M25" s="377"/>
      <c r="N25" s="377"/>
      <c r="O25" s="1058"/>
      <c r="P25" s="342"/>
    </row>
    <row r="26" spans="1:16" x14ac:dyDescent="0.2">
      <c r="A26" s="451"/>
      <c r="B26" s="342"/>
      <c r="C26" s="1044" t="s">
        <v>597</v>
      </c>
      <c r="D26" s="342"/>
      <c r="E26" s="1056"/>
      <c r="F26" s="1057"/>
      <c r="G26" s="1056"/>
      <c r="H26" s="1057"/>
      <c r="I26" s="1058"/>
      <c r="J26" s="342"/>
      <c r="K26" s="1059"/>
      <c r="L26" s="1047"/>
      <c r="M26" s="377"/>
      <c r="N26" s="377"/>
      <c r="O26" s="1058"/>
      <c r="P26" s="342"/>
    </row>
    <row r="27" spans="1:16" x14ac:dyDescent="0.2">
      <c r="A27" s="1060">
        <v>4</v>
      </c>
      <c r="B27" s="1061"/>
      <c r="C27" s="1062" t="s">
        <v>598</v>
      </c>
      <c r="D27" s="1061"/>
      <c r="E27" s="1063">
        <v>0.4</v>
      </c>
      <c r="F27" s="1064"/>
      <c r="G27" s="35"/>
      <c r="H27" s="33"/>
      <c r="I27" s="1065">
        <f>$I$31*E27</f>
        <v>23915116</v>
      </c>
      <c r="J27" s="1061"/>
      <c r="K27" s="1063">
        <v>9.5799999999999996E-2</v>
      </c>
      <c r="L27" s="1064"/>
      <c r="M27" s="35"/>
      <c r="N27" s="33"/>
      <c r="O27" s="1065">
        <f>K27*I27</f>
        <v>2291068.1127999998</v>
      </c>
      <c r="P27" s="342"/>
    </row>
    <row r="28" spans="1:16" x14ac:dyDescent="0.2">
      <c r="A28" s="1060">
        <v>5</v>
      </c>
      <c r="B28" s="1061"/>
      <c r="C28" s="1062" t="s">
        <v>599</v>
      </c>
      <c r="D28" s="1061"/>
      <c r="E28" s="1066"/>
      <c r="F28" s="1064"/>
      <c r="G28" s="35"/>
      <c r="H28" s="33"/>
      <c r="I28" s="1067">
        <f>$I$31*E28</f>
        <v>0</v>
      </c>
      <c r="J28" s="1061"/>
      <c r="K28" s="1066"/>
      <c r="L28" s="1064"/>
      <c r="M28" s="35"/>
      <c r="N28" s="33"/>
      <c r="O28" s="1067">
        <f>K28*I28</f>
        <v>0</v>
      </c>
      <c r="P28" s="342"/>
    </row>
    <row r="29" spans="1:16" ht="13.5" thickBot="1" x14ac:dyDescent="0.25">
      <c r="A29" s="451">
        <v>6</v>
      </c>
      <c r="B29" s="342"/>
      <c r="C29" s="451" t="s">
        <v>600</v>
      </c>
      <c r="D29" s="342"/>
      <c r="E29" s="1051">
        <f>SUM(E27:E28)</f>
        <v>0.4</v>
      </c>
      <c r="F29" s="1051"/>
      <c r="G29" s="1051"/>
      <c r="H29" s="1052"/>
      <c r="I29" s="1053">
        <f>SUM(I27:I28)</f>
        <v>23915116</v>
      </c>
      <c r="J29" s="342"/>
      <c r="K29" s="1054">
        <f>IF(E29=0,0,SUMPRODUCT(E27:E28,K27:K28)/E29)</f>
        <v>9.5799999999999996E-2</v>
      </c>
      <c r="L29" s="1047"/>
      <c r="M29" s="377"/>
      <c r="N29" s="377"/>
      <c r="O29" s="1053">
        <f>SUM(O27:O28)</f>
        <v>2291068.1127999998</v>
      </c>
      <c r="P29" s="342"/>
    </row>
    <row r="30" spans="1:16" ht="13.5" thickTop="1" x14ac:dyDescent="0.2">
      <c r="A30" s="451"/>
      <c r="B30" s="342"/>
      <c r="C30" s="342"/>
      <c r="D30" s="342"/>
      <c r="E30" s="342"/>
      <c r="F30" s="342"/>
      <c r="G30" s="342"/>
      <c r="H30" s="342"/>
      <c r="I30" s="1058"/>
      <c r="J30" s="342"/>
      <c r="K30" s="1059"/>
      <c r="L30" s="1059"/>
      <c r="M30" s="377"/>
      <c r="N30" s="377"/>
      <c r="O30" s="1058"/>
      <c r="P30" s="342"/>
    </row>
    <row r="31" spans="1:16" ht="13.5" thickBot="1" x14ac:dyDescent="0.25">
      <c r="A31" s="451">
        <v>7</v>
      </c>
      <c r="B31" s="342"/>
      <c r="C31" s="1044" t="s">
        <v>388</v>
      </c>
      <c r="D31" s="342"/>
      <c r="E31" s="1068">
        <v>1</v>
      </c>
      <c r="F31" s="1068"/>
      <c r="G31" s="1069"/>
      <c r="H31" s="1069"/>
      <c r="I31" s="1070">
        <v>59787790</v>
      </c>
      <c r="J31" s="342"/>
      <c r="K31" s="1071">
        <f>(K24*E24)+(K29*E29)</f>
        <v>6.6490095999999999E-2</v>
      </c>
      <c r="L31" s="1059"/>
      <c r="M31" s="342"/>
      <c r="N31" s="342"/>
      <c r="O31" s="1072">
        <f>O24+O29</f>
        <v>3975295.89672784</v>
      </c>
      <c r="P31" s="342"/>
    </row>
    <row r="32" spans="1:16" ht="13.5" thickTop="1" x14ac:dyDescent="0.2">
      <c r="A32" s="451"/>
      <c r="B32" s="342"/>
      <c r="C32" s="342"/>
      <c r="D32" s="342"/>
      <c r="E32" s="342"/>
      <c r="F32" s="342"/>
      <c r="G32" s="342"/>
      <c r="H32" s="342"/>
      <c r="I32" s="342"/>
      <c r="J32" s="342"/>
      <c r="K32" s="342"/>
      <c r="L32" s="342"/>
      <c r="M32" s="342"/>
      <c r="N32" s="342"/>
      <c r="O32" s="342"/>
      <c r="P32" s="342"/>
    </row>
    <row r="33" spans="1:19" s="61" customFormat="1" x14ac:dyDescent="0.2">
      <c r="B33" s="140"/>
      <c r="C33" s="140"/>
      <c r="G33" s="630" t="s">
        <v>50</v>
      </c>
      <c r="H33" s="2287" t="s">
        <v>1930</v>
      </c>
      <c r="I33" s="2287"/>
      <c r="J33" s="2287"/>
      <c r="R33"/>
      <c r="S33"/>
    </row>
    <row r="35" spans="1:19" x14ac:dyDescent="0.2">
      <c r="A35" s="2284" t="s">
        <v>589</v>
      </c>
      <c r="B35" s="342"/>
      <c r="C35" s="342"/>
      <c r="D35" s="342"/>
      <c r="E35" s="342"/>
      <c r="F35" s="342"/>
      <c r="G35" s="342"/>
      <c r="H35" s="342"/>
      <c r="I35" s="342"/>
      <c r="J35" s="342"/>
      <c r="K35" s="342"/>
      <c r="L35" s="342"/>
      <c r="M35" s="342"/>
      <c r="N35" s="342"/>
      <c r="O35" s="342"/>
    </row>
    <row r="36" spans="1:19" x14ac:dyDescent="0.2">
      <c r="A36" s="2285"/>
      <c r="B36" s="342"/>
      <c r="C36" s="1522" t="s">
        <v>590</v>
      </c>
      <c r="D36" s="342"/>
      <c r="E36" s="2286" t="s">
        <v>591</v>
      </c>
      <c r="F36" s="2286"/>
      <c r="G36" s="2286"/>
      <c r="H36" s="2286"/>
      <c r="I36" s="2286"/>
      <c r="J36" s="1039"/>
      <c r="K36" s="1522" t="s">
        <v>400</v>
      </c>
      <c r="L36" s="1040"/>
      <c r="M36" s="342"/>
      <c r="N36" s="342"/>
      <c r="O36" s="1522" t="s">
        <v>592</v>
      </c>
    </row>
    <row r="37" spans="1:19" x14ac:dyDescent="0.2">
      <c r="A37" s="334"/>
      <c r="B37" s="342"/>
      <c r="C37" s="342"/>
      <c r="D37" s="342"/>
      <c r="E37" s="342"/>
      <c r="F37" s="342"/>
      <c r="G37" s="342"/>
      <c r="H37" s="342"/>
      <c r="I37" s="1041"/>
      <c r="J37" s="1041"/>
      <c r="K37" s="342"/>
      <c r="L37" s="342"/>
      <c r="M37" s="342"/>
      <c r="N37" s="342"/>
      <c r="O37" s="342"/>
    </row>
    <row r="38" spans="1:19" x14ac:dyDescent="0.2">
      <c r="A38" s="451"/>
      <c r="B38" s="342"/>
      <c r="C38" s="342"/>
      <c r="D38" s="342"/>
      <c r="E38" s="1042" t="s">
        <v>401</v>
      </c>
      <c r="F38" s="1043"/>
      <c r="G38" s="1043"/>
      <c r="H38" s="1043"/>
      <c r="I38" s="1042" t="s">
        <v>402</v>
      </c>
      <c r="J38" s="342"/>
      <c r="K38" s="1042" t="s">
        <v>401</v>
      </c>
      <c r="L38" s="1043"/>
      <c r="M38" s="342"/>
      <c r="N38" s="342"/>
      <c r="O38" s="1041" t="s">
        <v>402</v>
      </c>
      <c r="P38" s="342"/>
    </row>
    <row r="39" spans="1:19" x14ac:dyDescent="0.2">
      <c r="A39" s="451"/>
      <c r="B39" s="342"/>
      <c r="C39" s="1044" t="s">
        <v>593</v>
      </c>
      <c r="D39" s="342"/>
      <c r="E39" s="342"/>
      <c r="F39" s="342"/>
      <c r="G39" s="342"/>
      <c r="H39" s="342"/>
      <c r="I39" s="342"/>
      <c r="J39" s="342"/>
      <c r="K39" s="342"/>
      <c r="L39" s="342"/>
      <c r="M39" s="342"/>
      <c r="N39" s="342"/>
      <c r="O39" s="342"/>
      <c r="P39" s="342"/>
    </row>
    <row r="40" spans="1:19" x14ac:dyDescent="0.2">
      <c r="A40" s="451">
        <v>1</v>
      </c>
      <c r="B40" s="342"/>
      <c r="C40" s="1045" t="s">
        <v>594</v>
      </c>
      <c r="D40" s="342"/>
      <c r="E40" s="1046">
        <v>0.56000000000000005</v>
      </c>
      <c r="F40" s="1047"/>
      <c r="G40" s="35"/>
      <c r="H40" s="33"/>
      <c r="I40" s="1740">
        <f>$I$49*E40</f>
        <v>50604731.112650782</v>
      </c>
      <c r="J40" s="342"/>
      <c r="K40" s="1046">
        <f>+'[18]3. Data_Input_Sheet'!$E$62</f>
        <v>4.1013059004787029E-2</v>
      </c>
      <c r="L40" s="1047"/>
      <c r="M40" s="35"/>
      <c r="N40" s="33"/>
      <c r="O40" s="1048">
        <f>K40*I40</f>
        <v>2075454.8230445285</v>
      </c>
      <c r="P40" s="342"/>
    </row>
    <row r="41" spans="1:19" x14ac:dyDescent="0.2">
      <c r="A41" s="451">
        <v>2</v>
      </c>
      <c r="B41" s="342"/>
      <c r="C41" s="1045" t="s">
        <v>595</v>
      </c>
      <c r="D41" s="342"/>
      <c r="E41" s="1049">
        <v>0.04</v>
      </c>
      <c r="F41" s="1047"/>
      <c r="G41" s="34" t="s">
        <v>403</v>
      </c>
      <c r="H41" s="34"/>
      <c r="I41" s="1741">
        <f>$I$49*E41</f>
        <v>3614623.6509036268</v>
      </c>
      <c r="J41" s="342"/>
      <c r="K41" s="1049">
        <f>+'[18]3. Data_Input_Sheet'!$E$63</f>
        <v>1.6500000000000001E-2</v>
      </c>
      <c r="L41" s="1047"/>
      <c r="M41" s="35"/>
      <c r="N41" s="33"/>
      <c r="O41" s="1050">
        <f>K41*I41</f>
        <v>59641.290239909846</v>
      </c>
      <c r="P41" s="342"/>
    </row>
    <row r="42" spans="1:19" ht="13.5" thickBot="1" x14ac:dyDescent="0.25">
      <c r="A42" s="451">
        <v>3</v>
      </c>
      <c r="B42" s="342"/>
      <c r="C42" s="451" t="s">
        <v>596</v>
      </c>
      <c r="D42" s="342"/>
      <c r="E42" s="1051">
        <f>SUM(E40:E41)</f>
        <v>0.60000000000000009</v>
      </c>
      <c r="F42" s="1052"/>
      <c r="G42" s="1051"/>
      <c r="H42" s="1052"/>
      <c r="I42" s="1053">
        <f>SUM(I40:I41)</f>
        <v>54219354.763554409</v>
      </c>
      <c r="J42" s="342"/>
      <c r="K42" s="1054">
        <f>IF(E42=0,0,SUMPRODUCT(E40:E41,K40:K41)/E42)</f>
        <v>3.9378855071134554E-2</v>
      </c>
      <c r="L42" s="1047"/>
      <c r="M42" s="1055"/>
      <c r="N42" s="377"/>
      <c r="O42" s="1053">
        <f>SUM(O40:O41)</f>
        <v>2135096.1132844384</v>
      </c>
      <c r="P42" s="342"/>
    </row>
    <row r="43" spans="1:19" ht="13.5" thickTop="1" x14ac:dyDescent="0.2">
      <c r="A43" s="451"/>
      <c r="B43" s="342"/>
      <c r="C43" s="342"/>
      <c r="D43" s="342"/>
      <c r="E43" s="1056"/>
      <c r="F43" s="1057"/>
      <c r="G43" s="1056"/>
      <c r="H43" s="1057"/>
      <c r="I43" s="1058"/>
      <c r="J43" s="342"/>
      <c r="K43" s="1059"/>
      <c r="L43" s="1047"/>
      <c r="M43" s="377"/>
      <c r="N43" s="377"/>
      <c r="O43" s="1058"/>
      <c r="P43" s="342"/>
    </row>
    <row r="44" spans="1:19" x14ac:dyDescent="0.2">
      <c r="A44" s="451"/>
      <c r="B44" s="342"/>
      <c r="C44" s="1044" t="s">
        <v>597</v>
      </c>
      <c r="D44" s="342"/>
      <c r="E44" s="1056"/>
      <c r="F44" s="1057"/>
      <c r="G44" s="1056"/>
      <c r="H44" s="1057"/>
      <c r="I44" s="1058"/>
      <c r="J44" s="342"/>
      <c r="K44" s="1059"/>
      <c r="L44" s="1047"/>
      <c r="M44" s="377"/>
      <c r="N44" s="377"/>
      <c r="O44" s="1058"/>
      <c r="P44" s="342"/>
    </row>
    <row r="45" spans="1:19" x14ac:dyDescent="0.2">
      <c r="A45" s="1060">
        <v>4</v>
      </c>
      <c r="B45" s="1061"/>
      <c r="C45" s="1062" t="s">
        <v>598</v>
      </c>
      <c r="D45" s="1061"/>
      <c r="E45" s="1063">
        <v>0.4</v>
      </c>
      <c r="F45" s="1064"/>
      <c r="G45" s="35"/>
      <c r="H45" s="33"/>
      <c r="I45" s="1742">
        <f>$I$49*E45</f>
        <v>36146236.509036265</v>
      </c>
      <c r="J45" s="1061"/>
      <c r="K45" s="1063">
        <f>+'[18]3. Data_Input_Sheet'!$E$64</f>
        <v>9.1899999999999996E-2</v>
      </c>
      <c r="L45" s="1064"/>
      <c r="M45" s="35"/>
      <c r="N45" s="33"/>
      <c r="O45" s="1065">
        <f>K45*I45</f>
        <v>3321839.1351804328</v>
      </c>
      <c r="P45" s="342"/>
    </row>
    <row r="46" spans="1:19" x14ac:dyDescent="0.2">
      <c r="A46" s="1060">
        <v>5</v>
      </c>
      <c r="B46" s="1061"/>
      <c r="C46" s="1062" t="s">
        <v>599</v>
      </c>
      <c r="D46" s="1061"/>
      <c r="E46" s="1066"/>
      <c r="F46" s="1064"/>
      <c r="G46" s="35"/>
      <c r="H46" s="33"/>
      <c r="I46" s="1743">
        <f>$I$49*E46</f>
        <v>0</v>
      </c>
      <c r="J46" s="1061"/>
      <c r="K46" s="1066"/>
      <c r="L46" s="1064"/>
      <c r="M46" s="35"/>
      <c r="N46" s="33"/>
      <c r="O46" s="1067">
        <f>K46*I46</f>
        <v>0</v>
      </c>
      <c r="P46" s="342"/>
    </row>
    <row r="47" spans="1:19" ht="13.5" thickBot="1" x14ac:dyDescent="0.25">
      <c r="A47" s="451">
        <v>6</v>
      </c>
      <c r="B47" s="342"/>
      <c r="C47" s="451" t="s">
        <v>600</v>
      </c>
      <c r="D47" s="342"/>
      <c r="E47" s="1051">
        <f>SUM(E45:E46)</f>
        <v>0.4</v>
      </c>
      <c r="F47" s="1051"/>
      <c r="G47" s="1051"/>
      <c r="H47" s="1052"/>
      <c r="I47" s="1053">
        <f>SUM(I45:I46)</f>
        <v>36146236.509036265</v>
      </c>
      <c r="J47" s="342"/>
      <c r="K47" s="1054">
        <f>IF(E47=0,0,SUMPRODUCT(E45:E46,K45:K46)/E47)</f>
        <v>9.1899999999999996E-2</v>
      </c>
      <c r="L47" s="1047"/>
      <c r="M47" s="377"/>
      <c r="N47" s="377"/>
      <c r="O47" s="1053">
        <f>SUM(O45:O46)</f>
        <v>3321839.1351804328</v>
      </c>
      <c r="P47" s="342"/>
    </row>
    <row r="48" spans="1:19" ht="13.5" thickTop="1" x14ac:dyDescent="0.2">
      <c r="A48" s="451"/>
      <c r="B48" s="342"/>
      <c r="C48" s="342"/>
      <c r="D48" s="342"/>
      <c r="E48" s="342"/>
      <c r="F48" s="342"/>
      <c r="G48" s="342"/>
      <c r="H48" s="342"/>
      <c r="I48" s="1058"/>
      <c r="J48" s="342"/>
      <c r="K48" s="1059"/>
      <c r="L48" s="1059"/>
      <c r="M48" s="377"/>
      <c r="N48" s="377"/>
      <c r="O48" s="1058"/>
      <c r="P48" s="342"/>
    </row>
    <row r="49" spans="1:16" ht="13.5" thickBot="1" x14ac:dyDescent="0.25">
      <c r="A49" s="451">
        <v>7</v>
      </c>
      <c r="B49" s="342"/>
      <c r="C49" s="1044" t="s">
        <v>388</v>
      </c>
      <c r="D49" s="342"/>
      <c r="E49" s="1068">
        <v>1</v>
      </c>
      <c r="F49" s="1068"/>
      <c r="G49" s="1069"/>
      <c r="H49" s="1069"/>
      <c r="I49" s="1070">
        <f>+'[19]Return on Capital'!$BX$38</f>
        <v>90365591.272590667</v>
      </c>
      <c r="J49" s="342"/>
      <c r="K49" s="1071">
        <f>(K42*E42)+(K47*E47)</f>
        <v>6.0387313042680732E-2</v>
      </c>
      <c r="L49" s="1059"/>
      <c r="M49" s="342"/>
      <c r="N49" s="342"/>
      <c r="O49" s="1072">
        <f>O42+O47</f>
        <v>5456935.2484648712</v>
      </c>
      <c r="P49" s="342"/>
    </row>
    <row r="50" spans="1:16" ht="13.5" thickTop="1" x14ac:dyDescent="0.2">
      <c r="A50" s="451"/>
      <c r="B50" s="342"/>
      <c r="C50" s="342"/>
      <c r="D50" s="342"/>
      <c r="E50" s="342"/>
      <c r="F50" s="342"/>
      <c r="G50" s="342"/>
      <c r="H50" s="342"/>
      <c r="I50" s="342"/>
      <c r="J50" s="342"/>
      <c r="K50" s="342"/>
      <c r="L50" s="342"/>
      <c r="M50" s="342"/>
      <c r="N50" s="342"/>
      <c r="O50" s="342"/>
      <c r="P50" s="342"/>
    </row>
    <row r="51" spans="1:16" x14ac:dyDescent="0.2">
      <c r="A51" s="2289" t="s">
        <v>404</v>
      </c>
      <c r="B51" s="2289"/>
      <c r="C51" s="2289"/>
      <c r="D51" s="2289"/>
      <c r="E51" s="2289"/>
      <c r="F51" s="2289"/>
      <c r="G51" s="2289"/>
      <c r="H51" s="2289"/>
      <c r="I51" s="2289"/>
      <c r="J51" s="2289"/>
      <c r="K51" s="2289"/>
      <c r="L51" s="2289"/>
      <c r="M51" s="2289"/>
      <c r="N51" s="2289"/>
      <c r="O51" s="2289"/>
    </row>
    <row r="52" spans="1:16" x14ac:dyDescent="0.2">
      <c r="A52" s="1073" t="s">
        <v>403</v>
      </c>
      <c r="C52" s="2105" t="s">
        <v>601</v>
      </c>
      <c r="D52" s="2105"/>
      <c r="E52" s="2105"/>
      <c r="F52" s="2105"/>
      <c r="G52" s="2105"/>
      <c r="H52" s="2105"/>
      <c r="I52" s="2105"/>
      <c r="J52" s="2105"/>
      <c r="K52" s="2105"/>
      <c r="L52" s="2105"/>
      <c r="M52" s="2105"/>
      <c r="N52" s="2105"/>
      <c r="O52" s="2105"/>
    </row>
    <row r="53" spans="1:16" x14ac:dyDescent="0.2">
      <c r="A53" s="36"/>
      <c r="C53" s="2288"/>
      <c r="D53" s="2288"/>
      <c r="E53" s="2288"/>
      <c r="F53" s="2288"/>
      <c r="G53" s="2288"/>
      <c r="H53" s="2288"/>
      <c r="I53" s="2288"/>
      <c r="J53" s="2288"/>
      <c r="K53" s="2288"/>
      <c r="L53" s="2288"/>
      <c r="M53" s="2288"/>
      <c r="N53" s="2288"/>
      <c r="O53" s="2288"/>
    </row>
    <row r="54" spans="1:16" x14ac:dyDescent="0.2">
      <c r="A54" s="36"/>
      <c r="C54" s="2288"/>
      <c r="D54" s="2288"/>
      <c r="E54" s="2288"/>
      <c r="F54" s="2288"/>
      <c r="G54" s="2288"/>
      <c r="H54" s="2288"/>
      <c r="I54" s="2288"/>
      <c r="J54" s="2288"/>
      <c r="K54" s="2288"/>
      <c r="L54" s="2288"/>
      <c r="M54" s="2288"/>
      <c r="N54" s="2288"/>
      <c r="O54" s="2288"/>
    </row>
    <row r="55" spans="1:16" x14ac:dyDescent="0.2">
      <c r="A55" s="36"/>
      <c r="C55" s="2288"/>
      <c r="D55" s="2288"/>
      <c r="E55" s="2288"/>
      <c r="F55" s="2288"/>
      <c r="G55" s="2288"/>
      <c r="H55" s="2288"/>
      <c r="I55" s="2288"/>
      <c r="J55" s="2288"/>
      <c r="K55" s="2288"/>
      <c r="L55" s="2288"/>
      <c r="M55" s="2288"/>
      <c r="N55" s="2288"/>
      <c r="O55" s="2288"/>
    </row>
    <row r="56" spans="1:16" x14ac:dyDescent="0.2">
      <c r="A56" s="36"/>
      <c r="C56" s="2288"/>
      <c r="D56" s="2288"/>
      <c r="E56" s="2288"/>
      <c r="F56" s="2288"/>
      <c r="G56" s="2288"/>
      <c r="H56" s="2288"/>
      <c r="I56" s="2288"/>
      <c r="J56" s="2288"/>
      <c r="K56" s="2288"/>
      <c r="L56" s="2288"/>
      <c r="M56" s="2288"/>
      <c r="N56" s="2288"/>
      <c r="O56" s="2288"/>
    </row>
    <row r="57" spans="1:16" x14ac:dyDescent="0.2">
      <c r="A57" s="36"/>
      <c r="C57" s="2288"/>
      <c r="D57" s="2288"/>
      <c r="E57" s="2288"/>
      <c r="F57" s="2288"/>
      <c r="G57" s="2288"/>
      <c r="H57" s="2288"/>
      <c r="I57" s="2288"/>
      <c r="J57" s="2288"/>
      <c r="K57" s="2288"/>
      <c r="L57" s="2288"/>
      <c r="M57" s="2288"/>
      <c r="N57" s="2288"/>
      <c r="O57" s="2288"/>
    </row>
    <row r="58" spans="1:16" x14ac:dyDescent="0.2">
      <c r="A58" s="36"/>
      <c r="C58" s="2288"/>
      <c r="D58" s="2288"/>
      <c r="E58" s="2288"/>
      <c r="F58" s="2288"/>
      <c r="G58" s="2288"/>
      <c r="H58" s="2288"/>
      <c r="I58" s="2288"/>
      <c r="J58" s="2288"/>
      <c r="K58" s="2288"/>
      <c r="L58" s="2288"/>
      <c r="M58" s="2288"/>
      <c r="N58" s="2288"/>
      <c r="O58" s="2288"/>
    </row>
    <row r="61" spans="1:16" ht="18" x14ac:dyDescent="0.25">
      <c r="C61" s="1074"/>
    </row>
  </sheetData>
  <mergeCells count="17">
    <mergeCell ref="C58:O58"/>
    <mergeCell ref="A13:O13"/>
    <mergeCell ref="C52:O52"/>
    <mergeCell ref="C53:O53"/>
    <mergeCell ref="C54:O54"/>
    <mergeCell ref="C55:O55"/>
    <mergeCell ref="C56:O56"/>
    <mergeCell ref="C57:O57"/>
    <mergeCell ref="A51:O51"/>
    <mergeCell ref="H33:J33"/>
    <mergeCell ref="A35:A36"/>
    <mergeCell ref="E36:I36"/>
    <mergeCell ref="C10:O10"/>
    <mergeCell ref="C11:O11"/>
    <mergeCell ref="A17:A18"/>
    <mergeCell ref="E18:I18"/>
    <mergeCell ref="H15:J15"/>
  </mergeCells>
  <dataValidations count="1">
    <dataValidation allowBlank="1" showInputMessage="1" showErrorMessage="1" promptTitle="Date Format" prompt="E.g:  &quot;August 1, 2011&quot;" sqref="O7 JK7 TG7 ADC7 AMY7 AWU7 BGQ7 BQM7 CAI7 CKE7 CUA7 DDW7 DNS7 DXO7 EHK7 ERG7 FBC7 FKY7 FUU7 GEQ7 GOM7 GYI7 HIE7 HSA7 IBW7 ILS7 IVO7 JFK7 JPG7 JZC7 KIY7 KSU7 LCQ7 LMM7 LWI7 MGE7 MQA7 MZW7 NJS7 NTO7 ODK7 ONG7 OXC7 PGY7 PQU7 QAQ7 QKM7 QUI7 REE7 ROA7 RXW7 SHS7 SRO7 TBK7 TLG7 TVC7 UEY7 UOU7 UYQ7 VIM7 VSI7 WCE7 WMA7 WVW7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dataValidations>
  <pageMargins left="0.75" right="0.75" top="1" bottom="1" header="0.5" footer="0.5"/>
  <pageSetup scale="87"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autoPageBreaks="0" fitToPage="1"/>
  </sheetPr>
  <dimension ref="A1:S135"/>
  <sheetViews>
    <sheetView showGridLines="0" zoomScaleNormal="100" workbookViewId="0"/>
  </sheetViews>
  <sheetFormatPr defaultRowHeight="12.75" x14ac:dyDescent="0.2"/>
  <cols>
    <col min="1" max="1" width="5.85546875" style="61" bestFit="1" customWidth="1"/>
    <col min="2" max="2" width="35.140625" style="61" customWidth="1"/>
    <col min="3" max="3" width="17.140625" style="61" customWidth="1"/>
    <col min="4" max="4" width="15.42578125" style="61" bestFit="1" customWidth="1"/>
    <col min="5" max="5" width="14" style="61" customWidth="1"/>
    <col min="6" max="6" width="12.28515625" style="61" customWidth="1"/>
    <col min="7" max="7" width="8.42578125" style="61" customWidth="1"/>
    <col min="8" max="8" width="13.140625" style="61" customWidth="1"/>
    <col min="9" max="9" width="9.85546875" style="61" customWidth="1"/>
    <col min="10" max="10" width="16" style="61" bestFit="1" customWidth="1"/>
    <col min="11" max="11" width="29.7109375" style="61" bestFit="1" customWidth="1"/>
    <col min="12" max="12" width="1.42578125" style="61" customWidth="1"/>
    <col min="13" max="13" width="3.5703125" style="61" customWidth="1"/>
    <col min="14" max="14" width="1.7109375" style="61" customWidth="1"/>
    <col min="15" max="15" width="14" style="61" customWidth="1"/>
    <col min="16" max="16" width="2.140625" style="61" customWidth="1"/>
    <col min="17" max="16384" width="9.140625" style="61"/>
  </cols>
  <sheetData>
    <row r="1" spans="1:15" x14ac:dyDescent="0.2">
      <c r="J1" s="1075" t="s">
        <v>394</v>
      </c>
      <c r="K1" s="1513" t="str">
        <f>EBNUMBER</f>
        <v>EB-2015-0089</v>
      </c>
    </row>
    <row r="2" spans="1:15" x14ac:dyDescent="0.2">
      <c r="J2" s="1075" t="s">
        <v>395</v>
      </c>
      <c r="K2" s="254">
        <v>5</v>
      </c>
    </row>
    <row r="3" spans="1:15" x14ac:dyDescent="0.2">
      <c r="J3" s="1075" t="s">
        <v>396</v>
      </c>
      <c r="K3" s="254" t="s">
        <v>2456</v>
      </c>
    </row>
    <row r="4" spans="1:15" x14ac:dyDescent="0.2">
      <c r="J4" s="1075" t="s">
        <v>397</v>
      </c>
      <c r="K4" s="254" t="s">
        <v>2429</v>
      </c>
    </row>
    <row r="5" spans="1:15" x14ac:dyDescent="0.2">
      <c r="J5" s="1075" t="s">
        <v>398</v>
      </c>
      <c r="K5" s="255">
        <v>6</v>
      </c>
    </row>
    <row r="6" spans="1:15" x14ac:dyDescent="0.2">
      <c r="J6" s="1076"/>
      <c r="K6" s="253"/>
    </row>
    <row r="7" spans="1:15" x14ac:dyDescent="0.2">
      <c r="J7" s="1075" t="s">
        <v>399</v>
      </c>
      <c r="K7" s="1836" t="s">
        <v>2455</v>
      </c>
    </row>
    <row r="10" spans="1:15" ht="18" x14ac:dyDescent="0.25">
      <c r="A10" s="1940" t="s">
        <v>602</v>
      </c>
      <c r="B10" s="1940"/>
      <c r="C10" s="1940"/>
      <c r="D10" s="1940"/>
      <c r="E10" s="1940"/>
      <c r="F10" s="1940"/>
      <c r="G10" s="1940"/>
      <c r="H10" s="1940"/>
      <c r="I10" s="1940"/>
      <c r="J10" s="1940"/>
      <c r="K10" s="1940"/>
      <c r="L10" s="256"/>
      <c r="M10" s="256"/>
      <c r="N10" s="256"/>
      <c r="O10" s="256"/>
    </row>
    <row r="11" spans="1:15" ht="18" x14ac:dyDescent="0.25">
      <c r="A11" s="1940" t="s">
        <v>2447</v>
      </c>
      <c r="B11" s="1940"/>
      <c r="C11" s="1940"/>
      <c r="D11" s="1940"/>
      <c r="E11" s="1940"/>
      <c r="F11" s="1940"/>
      <c r="G11" s="1940"/>
      <c r="H11" s="1940"/>
      <c r="I11" s="1940"/>
      <c r="J11" s="1940"/>
      <c r="K11" s="1940"/>
      <c r="L11" s="1940"/>
      <c r="M11" s="1940"/>
      <c r="N11" s="1940"/>
      <c r="O11" s="1940"/>
    </row>
    <row r="12" spans="1:15" ht="9" customHeight="1" x14ac:dyDescent="0.25">
      <c r="L12" s="1462"/>
      <c r="M12" s="1462"/>
      <c r="N12" s="1462"/>
      <c r="O12" s="1462"/>
    </row>
    <row r="13" spans="1:15" ht="28.5" customHeight="1" x14ac:dyDescent="0.25">
      <c r="A13" s="2290" t="s">
        <v>794</v>
      </c>
      <c r="B13" s="2290"/>
      <c r="C13" s="2290"/>
      <c r="D13" s="2290"/>
      <c r="E13" s="2290"/>
      <c r="F13" s="2290"/>
      <c r="G13" s="2290"/>
      <c r="H13" s="2290"/>
      <c r="I13" s="2290"/>
      <c r="J13" s="2290"/>
      <c r="K13" s="2290"/>
      <c r="L13" s="1462"/>
      <c r="M13" s="1462"/>
      <c r="N13" s="1462"/>
      <c r="O13" s="1462"/>
    </row>
    <row r="14" spans="1:15" ht="15.75" x14ac:dyDescent="0.2">
      <c r="D14" s="1077" t="s">
        <v>39</v>
      </c>
      <c r="E14" s="1078"/>
      <c r="F14" s="61">
        <v>2011</v>
      </c>
    </row>
    <row r="15" spans="1:15" ht="16.5" customHeight="1" thickBot="1" x14ac:dyDescent="0.25"/>
    <row r="16" spans="1:15" ht="25.5" x14ac:dyDescent="0.2">
      <c r="A16" s="1079" t="s">
        <v>572</v>
      </c>
      <c r="B16" s="1080" t="s">
        <v>324</v>
      </c>
      <c r="C16" s="1080" t="s">
        <v>567</v>
      </c>
      <c r="D16" s="1081" t="s">
        <v>568</v>
      </c>
      <c r="E16" s="1081" t="s">
        <v>569</v>
      </c>
      <c r="F16" s="1080" t="s">
        <v>570</v>
      </c>
      <c r="G16" s="1082" t="s">
        <v>574</v>
      </c>
      <c r="H16" s="1082" t="s">
        <v>573</v>
      </c>
      <c r="I16" s="1082" t="s">
        <v>1841</v>
      </c>
      <c r="J16" s="1082" t="s">
        <v>1842</v>
      </c>
      <c r="K16" s="1083" t="s">
        <v>793</v>
      </c>
    </row>
    <row r="17" spans="1:19" x14ac:dyDescent="0.2">
      <c r="A17" s="1084">
        <v>1</v>
      </c>
      <c r="B17" s="1532" t="s">
        <v>1999</v>
      </c>
      <c r="C17" s="1532" t="s">
        <v>1989</v>
      </c>
      <c r="D17" s="1533" t="s">
        <v>1990</v>
      </c>
      <c r="E17" s="1533" t="s">
        <v>1991</v>
      </c>
      <c r="F17" s="1534">
        <v>37165</v>
      </c>
      <c r="G17" s="1532" t="s">
        <v>1992</v>
      </c>
      <c r="H17" s="1535">
        <v>14934210</v>
      </c>
      <c r="I17" s="1532">
        <v>7.25</v>
      </c>
      <c r="J17" s="1537">
        <v>1082730.23</v>
      </c>
      <c r="K17" s="1087"/>
    </row>
    <row r="18" spans="1:19" x14ac:dyDescent="0.2">
      <c r="A18" s="1084">
        <v>2</v>
      </c>
      <c r="B18" s="1532" t="s">
        <v>2000</v>
      </c>
      <c r="C18" s="1532" t="s">
        <v>1993</v>
      </c>
      <c r="D18" s="1533" t="s">
        <v>1994</v>
      </c>
      <c r="E18" s="1533" t="s">
        <v>1991</v>
      </c>
      <c r="F18" s="1534">
        <v>40269</v>
      </c>
      <c r="G18" s="1536" t="s">
        <v>2311</v>
      </c>
      <c r="H18" s="1535">
        <v>2880057</v>
      </c>
      <c r="I18" s="1532">
        <v>4.49</v>
      </c>
      <c r="J18" s="1537">
        <v>123093.90000000001</v>
      </c>
      <c r="K18" s="1543" t="s">
        <v>2009</v>
      </c>
    </row>
    <row r="19" spans="1:19" x14ac:dyDescent="0.2">
      <c r="A19" s="1084">
        <v>3</v>
      </c>
      <c r="B19" s="1532" t="s">
        <v>2000</v>
      </c>
      <c r="C19" s="1532" t="s">
        <v>1993</v>
      </c>
      <c r="D19" s="1533" t="s">
        <v>1994</v>
      </c>
      <c r="E19" s="1533" t="s">
        <v>1991</v>
      </c>
      <c r="F19" s="1534">
        <v>40269</v>
      </c>
      <c r="G19" s="1536" t="s">
        <v>2312</v>
      </c>
      <c r="H19" s="1535">
        <v>285000</v>
      </c>
      <c r="I19" s="1532">
        <v>3.02</v>
      </c>
      <c r="J19" s="1537">
        <v>6984.19</v>
      </c>
      <c r="K19" s="1543" t="s">
        <v>2009</v>
      </c>
    </row>
    <row r="20" spans="1:19" x14ac:dyDescent="0.2">
      <c r="A20" s="1084">
        <v>4</v>
      </c>
      <c r="B20" s="1532" t="s">
        <v>2000</v>
      </c>
      <c r="C20" s="1532" t="s">
        <v>1993</v>
      </c>
      <c r="D20" s="1533" t="s">
        <v>1994</v>
      </c>
      <c r="E20" s="1533" t="s">
        <v>1991</v>
      </c>
      <c r="F20" s="1534">
        <v>40374</v>
      </c>
      <c r="G20" s="1536" t="s">
        <v>1998</v>
      </c>
      <c r="H20" s="1535">
        <v>4000000</v>
      </c>
      <c r="I20" s="1532">
        <v>4.84</v>
      </c>
      <c r="J20" s="1537">
        <v>190698.61</v>
      </c>
      <c r="K20" s="1543" t="s">
        <v>2009</v>
      </c>
    </row>
    <row r="21" spans="1:19" x14ac:dyDescent="0.2">
      <c r="A21" s="1084">
        <v>5</v>
      </c>
      <c r="B21" s="1532" t="s">
        <v>2000</v>
      </c>
      <c r="C21" s="1532" t="s">
        <v>1993</v>
      </c>
      <c r="D21" s="1533" t="s">
        <v>1994</v>
      </c>
      <c r="E21" s="1533" t="s">
        <v>1991</v>
      </c>
      <c r="F21" s="1534">
        <v>40801</v>
      </c>
      <c r="G21" s="1532">
        <v>25</v>
      </c>
      <c r="H21" s="1535">
        <v>3487200</v>
      </c>
      <c r="I21" s="1532">
        <v>4.33</v>
      </c>
      <c r="J21" s="1537">
        <v>44040.43</v>
      </c>
      <c r="K21" s="1543" t="s">
        <v>2009</v>
      </c>
      <c r="Q21" s="1075"/>
      <c r="R21" s="1075"/>
      <c r="S21" s="1075"/>
    </row>
    <row r="22" spans="1:19" x14ac:dyDescent="0.2">
      <c r="A22" s="1084">
        <v>6</v>
      </c>
      <c r="B22" s="1532"/>
      <c r="C22" s="1532"/>
      <c r="D22" s="1533"/>
      <c r="E22" s="1533"/>
      <c r="F22" s="1534"/>
      <c r="G22" s="1532"/>
      <c r="H22" s="1535"/>
      <c r="I22" s="1532"/>
      <c r="J22" s="1537"/>
      <c r="K22" s="1543"/>
      <c r="Q22" s="1075"/>
      <c r="R22" s="1075"/>
      <c r="S22" s="1075"/>
    </row>
    <row r="23" spans="1:19" x14ac:dyDescent="0.2">
      <c r="A23" s="1084">
        <v>7</v>
      </c>
      <c r="B23" s="1532"/>
      <c r="C23" s="1532"/>
      <c r="D23" s="1533"/>
      <c r="E23" s="1533"/>
      <c r="F23" s="1534"/>
      <c r="G23" s="1532"/>
      <c r="H23" s="1535"/>
      <c r="I23" s="1532"/>
      <c r="J23" s="1537"/>
      <c r="K23" s="1543"/>
      <c r="Q23" s="1075"/>
      <c r="R23" s="1075"/>
      <c r="S23" s="1075"/>
    </row>
    <row r="24" spans="1:19" x14ac:dyDescent="0.2">
      <c r="A24" s="1084">
        <v>8</v>
      </c>
      <c r="B24" s="736"/>
      <c r="C24" s="736"/>
      <c r="D24" s="1078"/>
      <c r="E24" s="1078"/>
      <c r="F24" s="1085"/>
      <c r="G24" s="736"/>
      <c r="H24" s="356"/>
      <c r="I24" s="736"/>
      <c r="J24" s="1086"/>
      <c r="K24" s="1543"/>
      <c r="Q24" s="1075"/>
      <c r="R24" s="1075"/>
      <c r="S24" s="1075"/>
    </row>
    <row r="25" spans="1:19" x14ac:dyDescent="0.2">
      <c r="A25" s="1084">
        <v>9</v>
      </c>
      <c r="B25" s="736"/>
      <c r="C25" s="736"/>
      <c r="D25" s="1078"/>
      <c r="E25" s="1078"/>
      <c r="F25" s="1085"/>
      <c r="G25" s="736"/>
      <c r="H25" s="356"/>
      <c r="I25" s="736"/>
      <c r="J25" s="1086"/>
      <c r="K25" s="1087"/>
      <c r="Q25" s="1075"/>
      <c r="R25" s="1075"/>
      <c r="S25" s="1075"/>
    </row>
    <row r="26" spans="1:19" x14ac:dyDescent="0.2">
      <c r="A26" s="1084">
        <v>10</v>
      </c>
      <c r="B26" s="736"/>
      <c r="C26" s="736"/>
      <c r="D26" s="1078"/>
      <c r="E26" s="1078"/>
      <c r="F26" s="1085"/>
      <c r="G26" s="736"/>
      <c r="H26" s="356"/>
      <c r="I26" s="736"/>
      <c r="J26" s="1086"/>
      <c r="K26" s="1087"/>
      <c r="Q26" s="1088"/>
      <c r="R26" s="1088"/>
      <c r="S26" s="1088"/>
    </row>
    <row r="27" spans="1:19" x14ac:dyDescent="0.2">
      <c r="A27" s="1084">
        <v>11</v>
      </c>
      <c r="B27" s="736"/>
      <c r="C27" s="736"/>
      <c r="D27" s="1078"/>
      <c r="E27" s="1078"/>
      <c r="F27" s="1085"/>
      <c r="G27" s="736"/>
      <c r="H27" s="356"/>
      <c r="I27" s="736"/>
      <c r="J27" s="1086"/>
      <c r="K27" s="1087"/>
      <c r="Q27" s="1075"/>
      <c r="R27" s="1075"/>
      <c r="S27" s="1075"/>
    </row>
    <row r="28" spans="1:19" x14ac:dyDescent="0.2">
      <c r="A28" s="1084">
        <v>12</v>
      </c>
      <c r="B28" s="736"/>
      <c r="C28" s="736"/>
      <c r="D28" s="1078"/>
      <c r="E28" s="1078"/>
      <c r="F28" s="1085"/>
      <c r="G28" s="736"/>
      <c r="H28" s="356"/>
      <c r="I28" s="736"/>
      <c r="J28" s="1086"/>
      <c r="K28" s="1087"/>
    </row>
    <row r="29" spans="1:19" ht="13.5" thickBot="1" x14ac:dyDescent="0.25">
      <c r="A29" s="1089"/>
      <c r="B29" s="1090"/>
      <c r="C29" s="1091"/>
      <c r="D29" s="1091"/>
      <c r="E29" s="1091"/>
      <c r="F29" s="1090"/>
      <c r="G29" s="1091"/>
      <c r="H29" s="1091"/>
      <c r="I29" s="1091"/>
      <c r="J29" s="1090"/>
      <c r="K29" s="1087"/>
    </row>
    <row r="30" spans="1:19" ht="14.25" thickTop="1" thickBot="1" x14ac:dyDescent="0.25">
      <c r="A30" s="1092" t="s">
        <v>388</v>
      </c>
      <c r="B30" s="1093"/>
      <c r="C30" s="1094"/>
      <c r="D30" s="1094"/>
      <c r="E30" s="1094"/>
      <c r="F30" s="1093"/>
      <c r="G30" s="1094"/>
      <c r="H30" s="955">
        <f>SUM(H17:H28)</f>
        <v>25586467</v>
      </c>
      <c r="I30" s="1094">
        <f>IF(H30=0,"",J30/H30)</f>
        <v>5.6574726006525231E-2</v>
      </c>
      <c r="J30" s="1095">
        <f>SUM(J17:J28)</f>
        <v>1447547.3599999996</v>
      </c>
      <c r="K30" s="1096"/>
    </row>
    <row r="31" spans="1:19" x14ac:dyDescent="0.2">
      <c r="A31" s="300"/>
      <c r="B31" s="300"/>
      <c r="C31" s="300"/>
      <c r="D31" s="300"/>
      <c r="E31" s="1746"/>
      <c r="F31" s="300"/>
      <c r="G31" s="300"/>
      <c r="H31" s="1538"/>
      <c r="I31" s="300"/>
      <c r="J31" s="1539"/>
      <c r="K31" s="300"/>
    </row>
    <row r="32" spans="1:19" ht="15.75" x14ac:dyDescent="0.2">
      <c r="D32" s="1077" t="s">
        <v>39</v>
      </c>
      <c r="E32" s="1078">
        <v>2012</v>
      </c>
    </row>
    <row r="33" spans="1:19" ht="16.5" customHeight="1" thickBot="1" x14ac:dyDescent="0.25"/>
    <row r="34" spans="1:19" ht="25.5" x14ac:dyDescent="0.2">
      <c r="A34" s="1079" t="s">
        <v>572</v>
      </c>
      <c r="B34" s="1080" t="s">
        <v>324</v>
      </c>
      <c r="C34" s="1080" t="s">
        <v>567</v>
      </c>
      <c r="D34" s="1081" t="s">
        <v>568</v>
      </c>
      <c r="E34" s="1081" t="s">
        <v>569</v>
      </c>
      <c r="F34" s="1080" t="s">
        <v>570</v>
      </c>
      <c r="G34" s="1082" t="s">
        <v>574</v>
      </c>
      <c r="H34" s="1082" t="s">
        <v>573</v>
      </c>
      <c r="I34" s="1082" t="s">
        <v>1841</v>
      </c>
      <c r="J34" s="1082" t="s">
        <v>1842</v>
      </c>
      <c r="K34" s="1083" t="s">
        <v>793</v>
      </c>
    </row>
    <row r="35" spans="1:19" x14ac:dyDescent="0.2">
      <c r="A35" s="1084">
        <v>1</v>
      </c>
      <c r="B35" s="1532" t="s">
        <v>1999</v>
      </c>
      <c r="C35" s="1532" t="s">
        <v>1989</v>
      </c>
      <c r="D35" s="1533" t="s">
        <v>1990</v>
      </c>
      <c r="E35" s="1533" t="s">
        <v>1991</v>
      </c>
      <c r="F35" s="1534">
        <v>37165</v>
      </c>
      <c r="G35" s="1532" t="s">
        <v>1992</v>
      </c>
      <c r="H35" s="1535">
        <v>14934210</v>
      </c>
      <c r="I35" s="1532">
        <v>7.25</v>
      </c>
      <c r="J35" s="1537">
        <v>1082730.23</v>
      </c>
      <c r="K35" s="1087"/>
    </row>
    <row r="36" spans="1:19" x14ac:dyDescent="0.2">
      <c r="A36" s="1084">
        <v>2</v>
      </c>
      <c r="B36" s="1532" t="s">
        <v>2000</v>
      </c>
      <c r="C36" s="1532" t="s">
        <v>1993</v>
      </c>
      <c r="D36" s="1533" t="s">
        <v>1994</v>
      </c>
      <c r="E36" s="1533" t="s">
        <v>1991</v>
      </c>
      <c r="F36" s="1534">
        <v>40269</v>
      </c>
      <c r="G36" s="1536" t="s">
        <v>1995</v>
      </c>
      <c r="H36" s="1535">
        <v>2880057</v>
      </c>
      <c r="I36" s="1532">
        <v>4.49</v>
      </c>
      <c r="J36" s="1537">
        <f>117160.96-552.55</f>
        <v>116608.41</v>
      </c>
      <c r="K36" s="1543" t="s">
        <v>2009</v>
      </c>
    </row>
    <row r="37" spans="1:19" x14ac:dyDescent="0.2">
      <c r="A37" s="1084">
        <v>3</v>
      </c>
      <c r="B37" s="1532" t="s">
        <v>2000</v>
      </c>
      <c r="C37" s="1532" t="s">
        <v>1993</v>
      </c>
      <c r="D37" s="1533" t="s">
        <v>1994</v>
      </c>
      <c r="E37" s="1533" t="s">
        <v>1991</v>
      </c>
      <c r="F37" s="1534">
        <v>40269</v>
      </c>
      <c r="G37" s="1536" t="s">
        <v>1996</v>
      </c>
      <c r="H37" s="1535">
        <v>285000</v>
      </c>
      <c r="I37" s="1532">
        <v>3.02</v>
      </c>
      <c r="J37" s="1537">
        <f>5456.17-141.22</f>
        <v>5314.95</v>
      </c>
      <c r="K37" s="1543" t="s">
        <v>2009</v>
      </c>
    </row>
    <row r="38" spans="1:19" x14ac:dyDescent="0.2">
      <c r="A38" s="1084">
        <v>4</v>
      </c>
      <c r="B38" s="1532" t="s">
        <v>2000</v>
      </c>
      <c r="C38" s="1532" t="s">
        <v>1993</v>
      </c>
      <c r="D38" s="1533" t="s">
        <v>1994</v>
      </c>
      <c r="E38" s="1533" t="s">
        <v>1991</v>
      </c>
      <c r="F38" s="1534">
        <v>40374</v>
      </c>
      <c r="G38" s="1536" t="s">
        <v>1997</v>
      </c>
      <c r="H38" s="1535">
        <v>4000000</v>
      </c>
      <c r="I38" s="1532">
        <v>4.84</v>
      </c>
      <c r="J38" s="1537">
        <f>186801.88-358.89</f>
        <v>186442.99</v>
      </c>
      <c r="K38" s="1543" t="s">
        <v>2009</v>
      </c>
    </row>
    <row r="39" spans="1:19" x14ac:dyDescent="0.2">
      <c r="A39" s="1084">
        <v>5</v>
      </c>
      <c r="B39" s="1532" t="s">
        <v>2000</v>
      </c>
      <c r="C39" s="1532" t="s">
        <v>1993</v>
      </c>
      <c r="D39" s="1533" t="s">
        <v>1994</v>
      </c>
      <c r="E39" s="1533" t="s">
        <v>1991</v>
      </c>
      <c r="F39" s="1534">
        <v>40801</v>
      </c>
      <c r="G39" s="1536" t="s">
        <v>1998</v>
      </c>
      <c r="H39" s="1535">
        <v>3487200</v>
      </c>
      <c r="I39" s="1532">
        <v>4.33</v>
      </c>
      <c r="J39" s="1537">
        <f>149282.25-143.56</f>
        <v>149138.69</v>
      </c>
      <c r="K39" s="1543" t="s">
        <v>2009</v>
      </c>
      <c r="Q39" s="1075"/>
      <c r="R39" s="1075"/>
      <c r="S39" s="1075"/>
    </row>
    <row r="40" spans="1:19" x14ac:dyDescent="0.2">
      <c r="A40" s="1084">
        <v>6</v>
      </c>
      <c r="B40" s="1532" t="s">
        <v>2000</v>
      </c>
      <c r="C40" s="1532" t="s">
        <v>1993</v>
      </c>
      <c r="D40" s="1533" t="s">
        <v>1994</v>
      </c>
      <c r="E40" s="1533" t="s">
        <v>1991</v>
      </c>
      <c r="F40" s="1534">
        <v>40909</v>
      </c>
      <c r="G40" s="1532">
        <v>25</v>
      </c>
      <c r="H40" s="1535">
        <v>2550000</v>
      </c>
      <c r="I40" s="1532">
        <v>3.92</v>
      </c>
      <c r="J40" s="1537">
        <f>90719.64-3702.83</f>
        <v>87016.81</v>
      </c>
      <c r="K40" s="1543" t="s">
        <v>2009</v>
      </c>
      <c r="Q40" s="1075"/>
      <c r="R40" s="1075"/>
      <c r="S40" s="1075"/>
    </row>
    <row r="41" spans="1:19" x14ac:dyDescent="0.2">
      <c r="A41" s="1084">
        <v>7</v>
      </c>
      <c r="B41" s="1532" t="s">
        <v>2000</v>
      </c>
      <c r="C41" s="1532" t="s">
        <v>1993</v>
      </c>
      <c r="D41" s="1533" t="s">
        <v>1994</v>
      </c>
      <c r="E41" s="1533" t="s">
        <v>1991</v>
      </c>
      <c r="F41" s="1534">
        <v>41169</v>
      </c>
      <c r="G41" s="1532">
        <v>25</v>
      </c>
      <c r="H41" s="1535">
        <v>2550000</v>
      </c>
      <c r="I41" s="1532">
        <v>3.87</v>
      </c>
      <c r="J41" s="1537">
        <f>24622.3+4160.82</f>
        <v>28783.119999999999</v>
      </c>
      <c r="K41" s="1543" t="s">
        <v>2009</v>
      </c>
      <c r="Q41" s="1075"/>
      <c r="R41" s="1075"/>
      <c r="S41" s="1075"/>
    </row>
    <row r="42" spans="1:19" x14ac:dyDescent="0.2">
      <c r="A42" s="1084">
        <v>8</v>
      </c>
      <c r="B42" s="736"/>
      <c r="C42" s="736"/>
      <c r="D42" s="1078"/>
      <c r="E42" s="1078"/>
      <c r="F42" s="1085"/>
      <c r="G42" s="736"/>
      <c r="H42" s="356"/>
      <c r="I42" s="736"/>
      <c r="J42" s="1086">
        <f t="shared" ref="J42:J46" si="0">H42*I42</f>
        <v>0</v>
      </c>
      <c r="K42" s="1543" t="s">
        <v>2009</v>
      </c>
      <c r="Q42" s="1075"/>
      <c r="R42" s="1075"/>
      <c r="S42" s="1075"/>
    </row>
    <row r="43" spans="1:19" x14ac:dyDescent="0.2">
      <c r="A43" s="1084">
        <v>9</v>
      </c>
      <c r="B43" s="736"/>
      <c r="C43" s="736"/>
      <c r="D43" s="1078"/>
      <c r="E43" s="1078"/>
      <c r="F43" s="1085"/>
      <c r="G43" s="736"/>
      <c r="H43" s="356"/>
      <c r="I43" s="736"/>
      <c r="J43" s="1086">
        <f t="shared" si="0"/>
        <v>0</v>
      </c>
      <c r="K43" s="1087"/>
      <c r="Q43" s="1075"/>
      <c r="R43" s="1075"/>
      <c r="S43" s="1075"/>
    </row>
    <row r="44" spans="1:19" x14ac:dyDescent="0.2">
      <c r="A44" s="1084">
        <v>10</v>
      </c>
      <c r="B44" s="736"/>
      <c r="C44" s="736"/>
      <c r="D44" s="1078"/>
      <c r="E44" s="1078"/>
      <c r="F44" s="1085"/>
      <c r="G44" s="736"/>
      <c r="H44" s="356"/>
      <c r="I44" s="736"/>
      <c r="J44" s="1086">
        <f t="shared" si="0"/>
        <v>0</v>
      </c>
      <c r="K44" s="1087"/>
      <c r="Q44" s="1088"/>
      <c r="R44" s="1088"/>
      <c r="S44" s="1088"/>
    </row>
    <row r="45" spans="1:19" x14ac:dyDescent="0.2">
      <c r="A45" s="1084">
        <v>11</v>
      </c>
      <c r="B45" s="736"/>
      <c r="C45" s="736"/>
      <c r="D45" s="1078"/>
      <c r="E45" s="1078"/>
      <c r="F45" s="1085"/>
      <c r="G45" s="736"/>
      <c r="H45" s="356"/>
      <c r="I45" s="736"/>
      <c r="J45" s="1086">
        <f t="shared" si="0"/>
        <v>0</v>
      </c>
      <c r="K45" s="1087"/>
      <c r="Q45" s="1075"/>
      <c r="R45" s="1075"/>
      <c r="S45" s="1075"/>
    </row>
    <row r="46" spans="1:19" x14ac:dyDescent="0.2">
      <c r="A46" s="1084">
        <v>12</v>
      </c>
      <c r="B46" s="736"/>
      <c r="C46" s="736"/>
      <c r="D46" s="1078"/>
      <c r="E46" s="1078"/>
      <c r="F46" s="1085"/>
      <c r="G46" s="736"/>
      <c r="H46" s="356"/>
      <c r="I46" s="736"/>
      <c r="J46" s="1086">
        <f t="shared" si="0"/>
        <v>0</v>
      </c>
      <c r="K46" s="1087"/>
    </row>
    <row r="47" spans="1:19" ht="13.5" thickBot="1" x14ac:dyDescent="0.25">
      <c r="A47" s="1089"/>
      <c r="B47" s="1090"/>
      <c r="C47" s="1091"/>
      <c r="D47" s="1091"/>
      <c r="E47" s="1091"/>
      <c r="F47" s="1090"/>
      <c r="G47" s="1091"/>
      <c r="H47" s="1091"/>
      <c r="I47" s="1091"/>
      <c r="J47" s="1090"/>
      <c r="K47" s="1087"/>
    </row>
    <row r="48" spans="1:19" ht="14.25" thickTop="1" thickBot="1" x14ac:dyDescent="0.25">
      <c r="A48" s="1092" t="s">
        <v>388</v>
      </c>
      <c r="B48" s="1093"/>
      <c r="C48" s="1094"/>
      <c r="D48" s="1094"/>
      <c r="E48" s="1094"/>
      <c r="F48" s="1093"/>
      <c r="G48" s="1094"/>
      <c r="H48" s="955">
        <f>SUM(H35:H46)</f>
        <v>30686467</v>
      </c>
      <c r="I48" s="1094">
        <f>IF(H48=0,"",J48/H48)</f>
        <v>5.3966303778144285E-2</v>
      </c>
      <c r="J48" s="1095">
        <f>SUM(J35:J46)</f>
        <v>1656035.2</v>
      </c>
      <c r="K48" s="1096"/>
    </row>
    <row r="50" spans="1:19" ht="15.75" x14ac:dyDescent="0.2">
      <c r="D50" s="1077" t="s">
        <v>39</v>
      </c>
      <c r="E50" s="1078">
        <v>2013</v>
      </c>
    </row>
    <row r="51" spans="1:19" ht="16.5" customHeight="1" thickBot="1" x14ac:dyDescent="0.25"/>
    <row r="52" spans="1:19" ht="25.5" x14ac:dyDescent="0.2">
      <c r="A52" s="1079" t="s">
        <v>572</v>
      </c>
      <c r="B52" s="1080" t="s">
        <v>324</v>
      </c>
      <c r="C52" s="1080" t="s">
        <v>567</v>
      </c>
      <c r="D52" s="1081" t="s">
        <v>568</v>
      </c>
      <c r="E52" s="1081" t="s">
        <v>569</v>
      </c>
      <c r="F52" s="1080" t="s">
        <v>570</v>
      </c>
      <c r="G52" s="1082" t="s">
        <v>574</v>
      </c>
      <c r="H52" s="1082" t="s">
        <v>573</v>
      </c>
      <c r="I52" s="1082" t="s">
        <v>1841</v>
      </c>
      <c r="J52" s="1082" t="s">
        <v>1842</v>
      </c>
      <c r="K52" s="1083" t="s">
        <v>793</v>
      </c>
    </row>
    <row r="53" spans="1:19" x14ac:dyDescent="0.2">
      <c r="A53" s="1084">
        <v>1</v>
      </c>
      <c r="B53" s="1532" t="s">
        <v>1999</v>
      </c>
      <c r="C53" s="1532" t="s">
        <v>1989</v>
      </c>
      <c r="D53" s="1533" t="s">
        <v>1990</v>
      </c>
      <c r="E53" s="1533" t="s">
        <v>1991</v>
      </c>
      <c r="F53" s="1534">
        <v>37165</v>
      </c>
      <c r="G53" s="1532" t="s">
        <v>1992</v>
      </c>
      <c r="H53" s="1535">
        <v>14934210</v>
      </c>
      <c r="I53" s="1532">
        <v>7.25</v>
      </c>
      <c r="J53" s="1537">
        <v>1082730.23</v>
      </c>
      <c r="K53" s="1087"/>
    </row>
    <row r="54" spans="1:19" x14ac:dyDescent="0.2">
      <c r="A54" s="1084">
        <v>2</v>
      </c>
      <c r="B54" s="1532" t="s">
        <v>2000</v>
      </c>
      <c r="C54" s="1532" t="s">
        <v>1993</v>
      </c>
      <c r="D54" s="1533" t="s">
        <v>1994</v>
      </c>
      <c r="E54" s="1533" t="s">
        <v>1991</v>
      </c>
      <c r="F54" s="1534">
        <v>40269</v>
      </c>
      <c r="G54" s="1536" t="s">
        <v>2001</v>
      </c>
      <c r="H54" s="1535">
        <v>2880057</v>
      </c>
      <c r="I54" s="1532">
        <v>4.49</v>
      </c>
      <c r="J54" s="1537">
        <f>110406.1-577.61</f>
        <v>109828.49</v>
      </c>
      <c r="K54" s="1543" t="s">
        <v>2009</v>
      </c>
    </row>
    <row r="55" spans="1:19" x14ac:dyDescent="0.2">
      <c r="A55" s="1084">
        <v>3</v>
      </c>
      <c r="B55" s="1532" t="s">
        <v>2000</v>
      </c>
      <c r="C55" s="1532" t="s">
        <v>1993</v>
      </c>
      <c r="D55" s="1533" t="s">
        <v>1994</v>
      </c>
      <c r="E55" s="1533" t="s">
        <v>1991</v>
      </c>
      <c r="F55" s="1534">
        <v>40269</v>
      </c>
      <c r="G55" s="1536" t="s">
        <v>2002</v>
      </c>
      <c r="H55" s="1535">
        <v>285000</v>
      </c>
      <c r="I55" s="1532">
        <v>3.02</v>
      </c>
      <c r="J55" s="1537">
        <f>3740.51-145.47</f>
        <v>3595.0400000000004</v>
      </c>
      <c r="K55" s="1543" t="s">
        <v>2009</v>
      </c>
    </row>
    <row r="56" spans="1:19" x14ac:dyDescent="0.2">
      <c r="A56" s="1084">
        <v>4</v>
      </c>
      <c r="B56" s="1532" t="s">
        <v>2000</v>
      </c>
      <c r="C56" s="1532" t="s">
        <v>1993</v>
      </c>
      <c r="D56" s="1533" t="s">
        <v>1994</v>
      </c>
      <c r="E56" s="1533" t="s">
        <v>1991</v>
      </c>
      <c r="F56" s="1534">
        <v>40374</v>
      </c>
      <c r="G56" s="1536" t="s">
        <v>2003</v>
      </c>
      <c r="H56" s="1535">
        <v>4000000</v>
      </c>
      <c r="I56" s="1532">
        <v>4.84</v>
      </c>
      <c r="J56" s="1537">
        <f>182355.42-376.45</f>
        <v>181978.97</v>
      </c>
      <c r="K56" s="1543" t="s">
        <v>2009</v>
      </c>
    </row>
    <row r="57" spans="1:19" x14ac:dyDescent="0.2">
      <c r="A57" s="1084">
        <v>5</v>
      </c>
      <c r="B57" s="1532" t="s">
        <v>2000</v>
      </c>
      <c r="C57" s="1532" t="s">
        <v>1993</v>
      </c>
      <c r="D57" s="1533" t="s">
        <v>1994</v>
      </c>
      <c r="E57" s="1533" t="s">
        <v>1991</v>
      </c>
      <c r="F57" s="1534">
        <v>40801</v>
      </c>
      <c r="G57" s="1536" t="s">
        <v>1997</v>
      </c>
      <c r="H57" s="1535">
        <v>3487200</v>
      </c>
      <c r="I57" s="1532">
        <v>4.33</v>
      </c>
      <c r="J57" s="1537">
        <f>145761.8-149.85</f>
        <v>145611.94999999998</v>
      </c>
      <c r="K57" s="1543" t="s">
        <v>2009</v>
      </c>
      <c r="Q57" s="1075"/>
      <c r="R57" s="1075"/>
      <c r="S57" s="1075"/>
    </row>
    <row r="58" spans="1:19" x14ac:dyDescent="0.2">
      <c r="A58" s="1084">
        <v>6</v>
      </c>
      <c r="B58" s="1532" t="s">
        <v>2000</v>
      </c>
      <c r="C58" s="1532" t="s">
        <v>1993</v>
      </c>
      <c r="D58" s="1533" t="s">
        <v>1994</v>
      </c>
      <c r="E58" s="1533" t="s">
        <v>1991</v>
      </c>
      <c r="F58" s="1534">
        <v>40909</v>
      </c>
      <c r="G58" s="1536" t="s">
        <v>1998</v>
      </c>
      <c r="H58" s="1535">
        <v>2550000</v>
      </c>
      <c r="I58" s="1532">
        <v>3.92</v>
      </c>
      <c r="J58" s="1537">
        <f>96627.21+553.73</f>
        <v>97180.94</v>
      </c>
      <c r="K58" s="1543" t="s">
        <v>2009</v>
      </c>
      <c r="Q58" s="1075"/>
      <c r="R58" s="1075"/>
      <c r="S58" s="1075"/>
    </row>
    <row r="59" spans="1:19" x14ac:dyDescent="0.2">
      <c r="A59" s="1084">
        <v>7</v>
      </c>
      <c r="B59" s="1532" t="s">
        <v>2000</v>
      </c>
      <c r="C59" s="1532" t="s">
        <v>1993</v>
      </c>
      <c r="D59" s="1533" t="s">
        <v>1994</v>
      </c>
      <c r="E59" s="1533" t="s">
        <v>1991</v>
      </c>
      <c r="F59" s="1534">
        <v>41169</v>
      </c>
      <c r="G59" s="1536" t="s">
        <v>1998</v>
      </c>
      <c r="H59" s="1535">
        <v>2550000</v>
      </c>
      <c r="I59" s="1532">
        <v>3.87</v>
      </c>
      <c r="J59" s="1537">
        <f>96998.48+392.63</f>
        <v>97391.11</v>
      </c>
      <c r="K59" s="1543" t="s">
        <v>2009</v>
      </c>
      <c r="Q59" s="1075"/>
      <c r="R59" s="1075"/>
      <c r="S59" s="1075"/>
    </row>
    <row r="60" spans="1:19" x14ac:dyDescent="0.2">
      <c r="A60" s="1084">
        <v>8</v>
      </c>
      <c r="B60" s="1532" t="s">
        <v>2000</v>
      </c>
      <c r="C60" s="1532" t="s">
        <v>1993</v>
      </c>
      <c r="D60" s="1533" t="s">
        <v>1994</v>
      </c>
      <c r="E60" s="1533" t="s">
        <v>1991</v>
      </c>
      <c r="F60" s="1534">
        <v>41395</v>
      </c>
      <c r="G60" s="1532">
        <v>25</v>
      </c>
      <c r="H60" s="1535">
        <v>3044000</v>
      </c>
      <c r="I60" s="1532">
        <v>3.74</v>
      </c>
      <c r="J60" s="1537">
        <f>66005.55+9658.91</f>
        <v>75664.460000000006</v>
      </c>
      <c r="K60" s="1543" t="s">
        <v>2009</v>
      </c>
      <c r="Q60" s="1075"/>
      <c r="R60" s="1075"/>
      <c r="S60" s="1075"/>
    </row>
    <row r="61" spans="1:19" x14ac:dyDescent="0.2">
      <c r="A61" s="1084">
        <v>9</v>
      </c>
      <c r="B61" s="736"/>
      <c r="C61" s="736"/>
      <c r="D61" s="1078"/>
      <c r="E61" s="1078"/>
      <c r="F61" s="1085"/>
      <c r="G61" s="736"/>
      <c r="H61" s="356"/>
      <c r="I61" s="736"/>
      <c r="J61" s="1086">
        <f t="shared" ref="J61:J64" si="1">H61*I61</f>
        <v>0</v>
      </c>
      <c r="K61" s="1087"/>
      <c r="Q61" s="1075"/>
      <c r="R61" s="1075"/>
      <c r="S61" s="1075"/>
    </row>
    <row r="62" spans="1:19" x14ac:dyDescent="0.2">
      <c r="A62" s="1084">
        <v>10</v>
      </c>
      <c r="B62" s="736"/>
      <c r="C62" s="736"/>
      <c r="D62" s="1078"/>
      <c r="E62" s="1078"/>
      <c r="F62" s="1085"/>
      <c r="G62" s="736"/>
      <c r="H62" s="356"/>
      <c r="I62" s="736"/>
      <c r="J62" s="1086">
        <f t="shared" si="1"/>
        <v>0</v>
      </c>
      <c r="K62" s="1087"/>
      <c r="Q62" s="1088"/>
      <c r="R62" s="1088"/>
      <c r="S62" s="1088"/>
    </row>
    <row r="63" spans="1:19" x14ac:dyDescent="0.2">
      <c r="A63" s="1084">
        <v>11</v>
      </c>
      <c r="B63" s="736"/>
      <c r="C63" s="736"/>
      <c r="D63" s="1078"/>
      <c r="E63" s="1078"/>
      <c r="F63" s="1085"/>
      <c r="G63" s="736"/>
      <c r="H63" s="356"/>
      <c r="I63" s="736"/>
      <c r="J63" s="1086">
        <f t="shared" si="1"/>
        <v>0</v>
      </c>
      <c r="K63" s="1087"/>
      <c r="Q63" s="1075"/>
      <c r="R63" s="1075"/>
      <c r="S63" s="1075"/>
    </row>
    <row r="64" spans="1:19" x14ac:dyDescent="0.2">
      <c r="A64" s="1084">
        <v>12</v>
      </c>
      <c r="B64" s="736"/>
      <c r="C64" s="736"/>
      <c r="D64" s="1078"/>
      <c r="E64" s="1078"/>
      <c r="F64" s="1085"/>
      <c r="G64" s="736"/>
      <c r="H64" s="356"/>
      <c r="I64" s="736"/>
      <c r="J64" s="1086">
        <f t="shared" si="1"/>
        <v>0</v>
      </c>
      <c r="K64" s="1087"/>
    </row>
    <row r="65" spans="1:19" ht="13.5" thickBot="1" x14ac:dyDescent="0.25">
      <c r="A65" s="1089"/>
      <c r="B65" s="1090"/>
      <c r="C65" s="1091"/>
      <c r="D65" s="1091"/>
      <c r="E65" s="1091"/>
      <c r="F65" s="1090"/>
      <c r="G65" s="1091"/>
      <c r="H65" s="1091"/>
      <c r="I65" s="1091"/>
      <c r="J65" s="1090"/>
      <c r="K65" s="1087"/>
    </row>
    <row r="66" spans="1:19" ht="14.25" thickTop="1" thickBot="1" x14ac:dyDescent="0.25">
      <c r="A66" s="1092" t="s">
        <v>388</v>
      </c>
      <c r="B66" s="1093"/>
      <c r="C66" s="1094"/>
      <c r="D66" s="1094"/>
      <c r="E66" s="1094"/>
      <c r="F66" s="1093"/>
      <c r="G66" s="1094"/>
      <c r="H66" s="955">
        <f>SUM(H53:H64)</f>
        <v>33730467</v>
      </c>
      <c r="I66" s="1094">
        <f>IF(H66=0,"",J66/H66)</f>
        <v>5.3185779787750936E-2</v>
      </c>
      <c r="J66" s="1095">
        <f>SUM(J53:J64)</f>
        <v>1793981.19</v>
      </c>
      <c r="K66" s="1096"/>
    </row>
    <row r="67" spans="1:19" x14ac:dyDescent="0.2">
      <c r="A67" s="300"/>
      <c r="B67" s="300"/>
      <c r="C67" s="300"/>
      <c r="D67" s="300"/>
      <c r="E67" s="300"/>
      <c r="F67" s="300"/>
      <c r="G67" s="300"/>
      <c r="H67" s="1538"/>
      <c r="I67" s="300"/>
      <c r="J67" s="1539"/>
      <c r="K67" s="300"/>
    </row>
    <row r="68" spans="1:19" ht="15.75" x14ac:dyDescent="0.2">
      <c r="D68" s="1077" t="s">
        <v>39</v>
      </c>
      <c r="E68" s="1078">
        <v>2014</v>
      </c>
    </row>
    <row r="69" spans="1:19" ht="16.5" customHeight="1" thickBot="1" x14ac:dyDescent="0.25"/>
    <row r="70" spans="1:19" ht="25.5" x14ac:dyDescent="0.2">
      <c r="A70" s="1079" t="s">
        <v>572</v>
      </c>
      <c r="B70" s="1080" t="s">
        <v>324</v>
      </c>
      <c r="C70" s="1080" t="s">
        <v>567</v>
      </c>
      <c r="D70" s="1081" t="s">
        <v>568</v>
      </c>
      <c r="E70" s="1081" t="s">
        <v>569</v>
      </c>
      <c r="F70" s="1080" t="s">
        <v>570</v>
      </c>
      <c r="G70" s="1082" t="s">
        <v>574</v>
      </c>
      <c r="H70" s="1082" t="s">
        <v>573</v>
      </c>
      <c r="I70" s="1082" t="s">
        <v>1841</v>
      </c>
      <c r="J70" s="1082" t="s">
        <v>1842</v>
      </c>
      <c r="K70" s="1083" t="s">
        <v>793</v>
      </c>
    </row>
    <row r="71" spans="1:19" x14ac:dyDescent="0.2">
      <c r="A71" s="1084">
        <v>1</v>
      </c>
      <c r="B71" s="1532" t="s">
        <v>1999</v>
      </c>
      <c r="C71" s="1532" t="s">
        <v>1989</v>
      </c>
      <c r="D71" s="1533" t="s">
        <v>1990</v>
      </c>
      <c r="E71" s="1533" t="s">
        <v>1991</v>
      </c>
      <c r="F71" s="1534">
        <v>37165</v>
      </c>
      <c r="G71" s="1536" t="s">
        <v>1992</v>
      </c>
      <c r="H71" s="1535">
        <v>14934210</v>
      </c>
      <c r="I71" s="1532">
        <v>7.25</v>
      </c>
      <c r="J71" s="1537">
        <v>1082730.23</v>
      </c>
      <c r="K71" s="1543"/>
    </row>
    <row r="72" spans="1:19" x14ac:dyDescent="0.2">
      <c r="A72" s="1084">
        <v>2</v>
      </c>
      <c r="B72" s="1532" t="s">
        <v>2000</v>
      </c>
      <c r="C72" s="1532" t="s">
        <v>1993</v>
      </c>
      <c r="D72" s="1533" t="s">
        <v>1994</v>
      </c>
      <c r="E72" s="1533" t="s">
        <v>1991</v>
      </c>
      <c r="F72" s="1534">
        <v>40269</v>
      </c>
      <c r="G72" s="1536" t="s">
        <v>2004</v>
      </c>
      <c r="H72" s="1535">
        <v>2880057</v>
      </c>
      <c r="I72" s="1532">
        <v>4.49</v>
      </c>
      <c r="J72" s="1537">
        <v>103344.54</v>
      </c>
      <c r="K72" s="1543" t="s">
        <v>2009</v>
      </c>
    </row>
    <row r="73" spans="1:19" x14ac:dyDescent="0.2">
      <c r="A73" s="1084">
        <v>3</v>
      </c>
      <c r="B73" s="1532" t="s">
        <v>2000</v>
      </c>
      <c r="C73" s="1532" t="s">
        <v>1993</v>
      </c>
      <c r="D73" s="1533" t="s">
        <v>1994</v>
      </c>
      <c r="E73" s="1533" t="s">
        <v>1991</v>
      </c>
      <c r="F73" s="1534">
        <v>40269</v>
      </c>
      <c r="G73" s="1536" t="s">
        <v>2005</v>
      </c>
      <c r="H73" s="1535">
        <v>285000</v>
      </c>
      <c r="I73" s="1532">
        <v>3.02</v>
      </c>
      <c r="J73" s="1537">
        <v>1972.65</v>
      </c>
      <c r="K73" s="1543" t="s">
        <v>2009</v>
      </c>
    </row>
    <row r="74" spans="1:19" x14ac:dyDescent="0.2">
      <c r="A74" s="1084">
        <v>4</v>
      </c>
      <c r="B74" s="1532" t="s">
        <v>2000</v>
      </c>
      <c r="C74" s="1532" t="s">
        <v>1993</v>
      </c>
      <c r="D74" s="1533" t="s">
        <v>1994</v>
      </c>
      <c r="E74" s="1533" t="s">
        <v>1991</v>
      </c>
      <c r="F74" s="1534">
        <v>40374</v>
      </c>
      <c r="G74" s="1536" t="s">
        <v>2006</v>
      </c>
      <c r="H74" s="1535">
        <v>4000000</v>
      </c>
      <c r="I74" s="1532">
        <v>4.84</v>
      </c>
      <c r="J74" s="1537">
        <v>177691.13</v>
      </c>
      <c r="K74" s="1543" t="s">
        <v>2009</v>
      </c>
    </row>
    <row r="75" spans="1:19" x14ac:dyDescent="0.2">
      <c r="A75" s="1084">
        <v>5</v>
      </c>
      <c r="B75" s="1532" t="s">
        <v>2000</v>
      </c>
      <c r="C75" s="1532" t="s">
        <v>1993</v>
      </c>
      <c r="D75" s="1533" t="s">
        <v>1994</v>
      </c>
      <c r="E75" s="1533" t="s">
        <v>1991</v>
      </c>
      <c r="F75" s="1534">
        <v>40801</v>
      </c>
      <c r="G75" s="1536" t="s">
        <v>2003</v>
      </c>
      <c r="H75" s="1535">
        <v>3487200</v>
      </c>
      <c r="I75" s="1532">
        <v>4.33</v>
      </c>
      <c r="J75" s="1537">
        <v>142087.26</v>
      </c>
      <c r="K75" s="1543" t="s">
        <v>2009</v>
      </c>
      <c r="Q75" s="1075"/>
      <c r="R75" s="1075"/>
      <c r="S75" s="1075"/>
    </row>
    <row r="76" spans="1:19" x14ac:dyDescent="0.2">
      <c r="A76" s="1084">
        <v>6</v>
      </c>
      <c r="B76" s="1532" t="s">
        <v>2000</v>
      </c>
      <c r="C76" s="1532" t="s">
        <v>1993</v>
      </c>
      <c r="D76" s="1533" t="s">
        <v>1994</v>
      </c>
      <c r="E76" s="1533" t="s">
        <v>1991</v>
      </c>
      <c r="F76" s="1534">
        <v>40909</v>
      </c>
      <c r="G76" s="1536" t="s">
        <v>1997</v>
      </c>
      <c r="H76" s="1535">
        <v>2550000</v>
      </c>
      <c r="I76" s="1532">
        <v>3.92</v>
      </c>
      <c r="J76" s="1537">
        <v>94091.11</v>
      </c>
      <c r="K76" s="1543" t="s">
        <v>2009</v>
      </c>
      <c r="Q76" s="1075"/>
      <c r="R76" s="1075"/>
      <c r="S76" s="1075"/>
    </row>
    <row r="77" spans="1:19" x14ac:dyDescent="0.2">
      <c r="A77" s="1084">
        <v>7</v>
      </c>
      <c r="B77" s="1532" t="s">
        <v>2000</v>
      </c>
      <c r="C77" s="1532" t="s">
        <v>1993</v>
      </c>
      <c r="D77" s="1533" t="s">
        <v>1994</v>
      </c>
      <c r="E77" s="1533" t="s">
        <v>1991</v>
      </c>
      <c r="F77" s="1534">
        <v>41169</v>
      </c>
      <c r="G77" s="1536" t="s">
        <v>1997</v>
      </c>
      <c r="H77" s="1535">
        <v>2550000</v>
      </c>
      <c r="I77" s="1532">
        <v>3.87</v>
      </c>
      <c r="J77" s="1537">
        <v>94543.01</v>
      </c>
      <c r="K77" s="1543" t="s">
        <v>2009</v>
      </c>
      <c r="Q77" s="1075"/>
      <c r="R77" s="1075"/>
      <c r="S77" s="1075"/>
    </row>
    <row r="78" spans="1:19" x14ac:dyDescent="0.2">
      <c r="A78" s="1084">
        <v>8</v>
      </c>
      <c r="B78" s="1532" t="s">
        <v>1999</v>
      </c>
      <c r="C78" s="1532" t="s">
        <v>1993</v>
      </c>
      <c r="D78" s="1533" t="s">
        <v>1994</v>
      </c>
      <c r="E78" s="1533" t="s">
        <v>1991</v>
      </c>
      <c r="F78" s="1534">
        <v>41395</v>
      </c>
      <c r="G78" s="1536" t="s">
        <v>1998</v>
      </c>
      <c r="H78" s="1535">
        <v>3044000</v>
      </c>
      <c r="I78" s="1532">
        <v>3.74</v>
      </c>
      <c r="J78" s="1537">
        <v>110915.65</v>
      </c>
      <c r="K78" s="1543" t="s">
        <v>2009</v>
      </c>
      <c r="Q78" s="1075"/>
      <c r="R78" s="1075"/>
      <c r="S78" s="1075"/>
    </row>
    <row r="79" spans="1:19" x14ac:dyDescent="0.2">
      <c r="A79" s="1084">
        <v>9</v>
      </c>
      <c r="B79" s="1532" t="s">
        <v>1999</v>
      </c>
      <c r="C79" s="1532" t="s">
        <v>1993</v>
      </c>
      <c r="D79" s="1533" t="s">
        <v>1994</v>
      </c>
      <c r="E79" s="1533" t="s">
        <v>1991</v>
      </c>
      <c r="F79" s="1534">
        <v>41835</v>
      </c>
      <c r="G79" s="1532">
        <v>25</v>
      </c>
      <c r="H79" s="1535">
        <v>3900000</v>
      </c>
      <c r="I79" s="1532">
        <v>3.97</v>
      </c>
      <c r="J79" s="1537">
        <f>+H79*(I79/100)/12*5.5</f>
        <v>70963.75</v>
      </c>
      <c r="K79" s="1543" t="s">
        <v>2009</v>
      </c>
      <c r="Q79" s="1075"/>
      <c r="R79" s="1075"/>
      <c r="S79" s="1075"/>
    </row>
    <row r="80" spans="1:19" x14ac:dyDescent="0.2">
      <c r="A80" s="1084">
        <v>10</v>
      </c>
      <c r="B80" s="1532" t="s">
        <v>2007</v>
      </c>
      <c r="C80" s="1532" t="s">
        <v>1993</v>
      </c>
      <c r="D80" s="1533" t="s">
        <v>1994</v>
      </c>
      <c r="E80" s="1533" t="s">
        <v>2008</v>
      </c>
      <c r="F80" s="1534">
        <v>41897</v>
      </c>
      <c r="G80" s="1532"/>
      <c r="H80" s="1535">
        <v>7800000</v>
      </c>
      <c r="I80" s="1532">
        <v>1.661</v>
      </c>
      <c r="J80" s="1537">
        <v>5539.07</v>
      </c>
      <c r="K80" s="1543" t="s">
        <v>2010</v>
      </c>
      <c r="L80" t="s">
        <v>2015</v>
      </c>
      <c r="Q80" s="1088"/>
      <c r="R80" s="1088"/>
      <c r="S80" s="1088"/>
    </row>
    <row r="81" spans="1:19" x14ac:dyDescent="0.2">
      <c r="A81" s="1084">
        <v>11</v>
      </c>
      <c r="B81" s="1532" t="s">
        <v>2007</v>
      </c>
      <c r="C81" s="1532" t="s">
        <v>1993</v>
      </c>
      <c r="D81" s="1533" t="s">
        <v>1994</v>
      </c>
      <c r="E81" s="1533" t="s">
        <v>2008</v>
      </c>
      <c r="F81" s="1534">
        <v>41913</v>
      </c>
      <c r="G81" s="1532"/>
      <c r="H81" s="1535">
        <v>7800000</v>
      </c>
      <c r="I81" s="1532">
        <v>1.661</v>
      </c>
      <c r="J81" s="1537">
        <v>10798.19</v>
      </c>
      <c r="K81" s="1543" t="s">
        <v>2010</v>
      </c>
      <c r="L81" t="s">
        <v>2015</v>
      </c>
      <c r="Q81" s="1075"/>
      <c r="R81" s="1075"/>
      <c r="S81" s="1075"/>
    </row>
    <row r="82" spans="1:19" x14ac:dyDescent="0.2">
      <c r="A82" s="1084">
        <v>12</v>
      </c>
      <c r="B82" s="1532" t="s">
        <v>2007</v>
      </c>
      <c r="C82" s="1532" t="s">
        <v>1993</v>
      </c>
      <c r="D82" s="1533" t="s">
        <v>1994</v>
      </c>
      <c r="E82" s="1533" t="s">
        <v>2008</v>
      </c>
      <c r="F82" s="1534">
        <v>41944</v>
      </c>
      <c r="G82" s="1532"/>
      <c r="H82" s="1535">
        <v>7800000</v>
      </c>
      <c r="I82" s="1532">
        <v>1.607</v>
      </c>
      <c r="J82" s="1537">
        <v>10445.59</v>
      </c>
      <c r="K82" s="1543" t="s">
        <v>2010</v>
      </c>
      <c r="L82" t="s">
        <v>2015</v>
      </c>
    </row>
    <row r="83" spans="1:19" ht="13.5" thickBot="1" x14ac:dyDescent="0.25">
      <c r="A83" s="1089">
        <v>13</v>
      </c>
      <c r="B83" s="1532" t="s">
        <v>2007</v>
      </c>
      <c r="C83" s="1532" t="s">
        <v>1993</v>
      </c>
      <c r="D83" s="1533" t="s">
        <v>1994</v>
      </c>
      <c r="E83" s="1533" t="s">
        <v>2008</v>
      </c>
      <c r="F83" s="1540">
        <v>41974</v>
      </c>
      <c r="G83" s="1541"/>
      <c r="H83" s="1535">
        <v>7800000</v>
      </c>
      <c r="I83" s="1541">
        <v>1.6859999999999999</v>
      </c>
      <c r="J83" s="1542">
        <v>10958.47</v>
      </c>
      <c r="K83" s="1543" t="s">
        <v>2010</v>
      </c>
      <c r="L83" t="s">
        <v>2015</v>
      </c>
    </row>
    <row r="84" spans="1:19" ht="14.25" thickTop="1" thickBot="1" x14ac:dyDescent="0.25">
      <c r="A84" s="1089"/>
      <c r="B84" s="1541"/>
      <c r="C84" s="1541"/>
      <c r="D84" s="1544"/>
      <c r="E84" s="1544"/>
      <c r="F84" s="1540"/>
      <c r="G84" s="1541"/>
      <c r="H84" s="1545"/>
      <c r="I84" s="1541"/>
      <c r="J84" s="1546"/>
      <c r="K84" s="1543"/>
      <c r="M84"/>
    </row>
    <row r="85" spans="1:19" ht="14.25" thickTop="1" thickBot="1" x14ac:dyDescent="0.25">
      <c r="A85" s="1089"/>
      <c r="B85" s="1090"/>
      <c r="C85" s="1091"/>
      <c r="D85" s="1091"/>
      <c r="E85" s="1091"/>
      <c r="F85" s="1090"/>
      <c r="G85" s="1091"/>
      <c r="H85" s="1091"/>
      <c r="I85" s="1091"/>
      <c r="J85" s="1090"/>
      <c r="K85" s="1087"/>
    </row>
    <row r="86" spans="1:19" ht="14.25" thickTop="1" thickBot="1" x14ac:dyDescent="0.25">
      <c r="A86" s="1092" t="s">
        <v>388</v>
      </c>
      <c r="B86" s="1093"/>
      <c r="C86" s="1094"/>
      <c r="D86" s="1094"/>
      <c r="E86" s="1094"/>
      <c r="F86" s="1093"/>
      <c r="G86" s="1094"/>
      <c r="H86" s="955">
        <f>SUM(H71:H83)</f>
        <v>68830467</v>
      </c>
      <c r="I86" s="1094">
        <f>IF(H86=0,"",J86/H86)</f>
        <v>2.783768196720211E-2</v>
      </c>
      <c r="J86" s="1095">
        <f>SUM(J71:J84)</f>
        <v>1916080.65</v>
      </c>
      <c r="K86" s="1096"/>
    </row>
    <row r="87" spans="1:19" x14ac:dyDescent="0.2">
      <c r="A87" s="300"/>
      <c r="B87" s="300"/>
      <c r="C87" s="300"/>
      <c r="D87" s="300"/>
      <c r="E87" s="300"/>
      <c r="F87" s="300"/>
      <c r="G87" s="300"/>
      <c r="H87" s="1538"/>
      <c r="I87" s="300"/>
      <c r="J87" s="1539"/>
      <c r="K87" s="300"/>
    </row>
    <row r="88" spans="1:19" ht="15.75" x14ac:dyDescent="0.2">
      <c r="D88" s="1077" t="s">
        <v>39</v>
      </c>
      <c r="E88" s="1078">
        <v>2015</v>
      </c>
    </row>
    <row r="89" spans="1:19" ht="16.5" customHeight="1" thickBot="1" x14ac:dyDescent="0.25"/>
    <row r="90" spans="1:19" ht="25.5" x14ac:dyDescent="0.2">
      <c r="A90" s="1079" t="s">
        <v>572</v>
      </c>
      <c r="B90" s="1080" t="s">
        <v>324</v>
      </c>
      <c r="C90" s="1080" t="s">
        <v>567</v>
      </c>
      <c r="D90" s="1081" t="s">
        <v>568</v>
      </c>
      <c r="E90" s="1081" t="s">
        <v>569</v>
      </c>
      <c r="F90" s="1080" t="s">
        <v>570</v>
      </c>
      <c r="G90" s="1082" t="s">
        <v>574</v>
      </c>
      <c r="H90" s="1082" t="s">
        <v>573</v>
      </c>
      <c r="I90" s="1082" t="s">
        <v>1841</v>
      </c>
      <c r="J90" s="1082" t="s">
        <v>1842</v>
      </c>
      <c r="K90" s="1083" t="s">
        <v>793</v>
      </c>
    </row>
    <row r="91" spans="1:19" x14ac:dyDescent="0.2">
      <c r="A91" s="1084">
        <v>1</v>
      </c>
      <c r="B91" s="1532" t="s">
        <v>1999</v>
      </c>
      <c r="C91" s="1532" t="s">
        <v>1989</v>
      </c>
      <c r="D91" s="1533" t="s">
        <v>1990</v>
      </c>
      <c r="E91" s="1533" t="s">
        <v>1991</v>
      </c>
      <c r="F91" s="1534">
        <v>37165</v>
      </c>
      <c r="G91" s="1536" t="s">
        <v>1992</v>
      </c>
      <c r="H91" s="1535">
        <v>14934210</v>
      </c>
      <c r="I91" s="1532">
        <v>7.25</v>
      </c>
      <c r="J91" s="1537">
        <v>1082730.23</v>
      </c>
      <c r="K91" s="1543"/>
    </row>
    <row r="92" spans="1:19" x14ac:dyDescent="0.2">
      <c r="A92" s="1084">
        <v>2</v>
      </c>
      <c r="B92" s="1532" t="s">
        <v>2000</v>
      </c>
      <c r="C92" s="1532" t="s">
        <v>1993</v>
      </c>
      <c r="D92" s="1533" t="s">
        <v>1994</v>
      </c>
      <c r="E92" s="1533" t="s">
        <v>1991</v>
      </c>
      <c r="F92" s="1534">
        <v>40269</v>
      </c>
      <c r="G92" s="1536" t="s">
        <v>2011</v>
      </c>
      <c r="H92" s="1535">
        <v>2880057</v>
      </c>
      <c r="I92" s="1532">
        <v>4.49</v>
      </c>
      <c r="J92" s="1537">
        <v>95962.36</v>
      </c>
      <c r="K92" s="1543" t="s">
        <v>2009</v>
      </c>
    </row>
    <row r="93" spans="1:19" x14ac:dyDescent="0.2">
      <c r="A93" s="1084">
        <v>3</v>
      </c>
      <c r="B93" s="1532" t="s">
        <v>2000</v>
      </c>
      <c r="C93" s="1532" t="s">
        <v>1993</v>
      </c>
      <c r="D93" s="1533" t="s">
        <v>1994</v>
      </c>
      <c r="E93" s="1533" t="s">
        <v>1991</v>
      </c>
      <c r="F93" s="1534">
        <v>40269</v>
      </c>
      <c r="G93" s="1536">
        <v>0</v>
      </c>
      <c r="H93" s="1535">
        <v>285000</v>
      </c>
      <c r="I93" s="1532">
        <v>3.02</v>
      </c>
      <c r="J93" s="1537">
        <v>306.63</v>
      </c>
      <c r="K93" s="1547" t="s">
        <v>2009</v>
      </c>
    </row>
    <row r="94" spans="1:19" x14ac:dyDescent="0.2">
      <c r="A94" s="1084">
        <v>4</v>
      </c>
      <c r="B94" s="1532" t="s">
        <v>2000</v>
      </c>
      <c r="C94" s="1532" t="s">
        <v>1993</v>
      </c>
      <c r="D94" s="1533" t="s">
        <v>1994</v>
      </c>
      <c r="E94" s="1533" t="s">
        <v>1991</v>
      </c>
      <c r="F94" s="1534">
        <v>40374</v>
      </c>
      <c r="G94" s="1536" t="s">
        <v>2012</v>
      </c>
      <c r="H94" s="1535">
        <v>4000000</v>
      </c>
      <c r="I94" s="1532">
        <v>4.84</v>
      </c>
      <c r="J94" s="1537">
        <v>172798.37</v>
      </c>
      <c r="K94" s="1543" t="s">
        <v>2009</v>
      </c>
    </row>
    <row r="95" spans="1:19" x14ac:dyDescent="0.2">
      <c r="A95" s="1084">
        <v>5</v>
      </c>
      <c r="B95" s="1532" t="s">
        <v>2000</v>
      </c>
      <c r="C95" s="1532" t="s">
        <v>1993</v>
      </c>
      <c r="D95" s="1533" t="s">
        <v>1994</v>
      </c>
      <c r="E95" s="1533" t="s">
        <v>1991</v>
      </c>
      <c r="F95" s="1534">
        <v>40801</v>
      </c>
      <c r="G95" s="1536" t="s">
        <v>2006</v>
      </c>
      <c r="H95" s="1535">
        <v>3487200</v>
      </c>
      <c r="I95" s="1532">
        <v>4.33</v>
      </c>
      <c r="J95" s="1537">
        <v>138251.88</v>
      </c>
      <c r="K95" s="1543" t="s">
        <v>2009</v>
      </c>
      <c r="Q95" s="1075"/>
      <c r="R95" s="1075"/>
      <c r="S95" s="1075"/>
    </row>
    <row r="96" spans="1:19" x14ac:dyDescent="0.2">
      <c r="A96" s="1084">
        <v>6</v>
      </c>
      <c r="B96" s="1532" t="s">
        <v>2000</v>
      </c>
      <c r="C96" s="1532" t="s">
        <v>1993</v>
      </c>
      <c r="D96" s="1533" t="s">
        <v>1994</v>
      </c>
      <c r="E96" s="1533" t="s">
        <v>1991</v>
      </c>
      <c r="F96" s="1534">
        <v>40909</v>
      </c>
      <c r="G96" s="1536" t="s">
        <v>2003</v>
      </c>
      <c r="H96" s="1535">
        <v>2550000</v>
      </c>
      <c r="I96" s="1532">
        <v>3.92</v>
      </c>
      <c r="J96" s="1537">
        <v>91453.79</v>
      </c>
      <c r="K96" s="1543" t="s">
        <v>2009</v>
      </c>
      <c r="Q96" s="1075"/>
      <c r="R96" s="1075"/>
      <c r="S96" s="1075"/>
    </row>
    <row r="97" spans="1:19" x14ac:dyDescent="0.2">
      <c r="A97" s="1084">
        <v>7</v>
      </c>
      <c r="B97" s="1532" t="s">
        <v>2000</v>
      </c>
      <c r="C97" s="1532" t="s">
        <v>1993</v>
      </c>
      <c r="D97" s="1533" t="s">
        <v>1994</v>
      </c>
      <c r="E97" s="1533" t="s">
        <v>1991</v>
      </c>
      <c r="F97" s="1534">
        <v>41169</v>
      </c>
      <c r="G97" s="1536" t="s">
        <v>2003</v>
      </c>
      <c r="H97" s="1535">
        <v>2550000</v>
      </c>
      <c r="I97" s="1532">
        <v>3.87</v>
      </c>
      <c r="J97" s="1537">
        <v>91990.81</v>
      </c>
      <c r="K97" s="1543" t="s">
        <v>2009</v>
      </c>
      <c r="Q97" s="1075"/>
      <c r="R97" s="1075"/>
      <c r="S97" s="1075"/>
    </row>
    <row r="98" spans="1:19" x14ac:dyDescent="0.2">
      <c r="A98" s="1084">
        <v>8</v>
      </c>
      <c r="B98" s="1532" t="s">
        <v>1999</v>
      </c>
      <c r="C98" s="1532" t="s">
        <v>1993</v>
      </c>
      <c r="D98" s="1533" t="s">
        <v>1994</v>
      </c>
      <c r="E98" s="1533" t="s">
        <v>1991</v>
      </c>
      <c r="F98" s="1534">
        <v>41395</v>
      </c>
      <c r="G98" s="1536" t="s">
        <v>1997</v>
      </c>
      <c r="H98" s="1535">
        <v>3044000</v>
      </c>
      <c r="I98" s="1532">
        <v>3.74</v>
      </c>
      <c r="J98" s="1537">
        <v>107997.86</v>
      </c>
      <c r="K98" s="1543" t="s">
        <v>2009</v>
      </c>
      <c r="Q98" s="1075"/>
      <c r="R98" s="1075"/>
      <c r="S98" s="1075"/>
    </row>
    <row r="99" spans="1:19" x14ac:dyDescent="0.2">
      <c r="A99" s="1084">
        <v>9</v>
      </c>
      <c r="B99" s="1532" t="s">
        <v>1999</v>
      </c>
      <c r="C99" s="1532" t="s">
        <v>1993</v>
      </c>
      <c r="D99" s="1533" t="s">
        <v>1994</v>
      </c>
      <c r="E99" s="1533" t="s">
        <v>1991</v>
      </c>
      <c r="F99" s="1534">
        <v>41835</v>
      </c>
      <c r="G99" s="1536" t="s">
        <v>1998</v>
      </c>
      <c r="H99" s="1535">
        <v>3900000</v>
      </c>
      <c r="I99" s="1532">
        <v>3.97</v>
      </c>
      <c r="J99" s="1537">
        <v>154830</v>
      </c>
      <c r="K99" s="1543" t="s">
        <v>2009</v>
      </c>
      <c r="Q99" s="1075"/>
      <c r="R99" s="1075"/>
      <c r="S99" s="1075"/>
    </row>
    <row r="100" spans="1:19" x14ac:dyDescent="0.2">
      <c r="A100" s="1084">
        <v>10</v>
      </c>
      <c r="B100" s="1532" t="s">
        <v>2007</v>
      </c>
      <c r="C100" s="1532" t="s">
        <v>1993</v>
      </c>
      <c r="D100" s="1533" t="s">
        <v>1994</v>
      </c>
      <c r="E100" s="1533" t="s">
        <v>2008</v>
      </c>
      <c r="F100" s="1534">
        <v>42005</v>
      </c>
      <c r="G100" s="1536"/>
      <c r="H100" s="1535">
        <v>7800000</v>
      </c>
      <c r="I100" s="1532">
        <v>1.617</v>
      </c>
      <c r="J100" s="1537">
        <v>10509.7</v>
      </c>
      <c r="K100" s="1543" t="s">
        <v>2010</v>
      </c>
      <c r="M100" t="s">
        <v>2015</v>
      </c>
      <c r="Q100" s="1088"/>
      <c r="R100" s="1088"/>
      <c r="S100" s="1088"/>
    </row>
    <row r="101" spans="1:19" x14ac:dyDescent="0.2">
      <c r="A101" s="1084">
        <v>11</v>
      </c>
      <c r="B101" s="1532" t="s">
        <v>2007</v>
      </c>
      <c r="C101" s="1532" t="s">
        <v>1993</v>
      </c>
      <c r="D101" s="1533" t="s">
        <v>1994</v>
      </c>
      <c r="E101" s="1533" t="s">
        <v>2008</v>
      </c>
      <c r="F101" s="1534">
        <v>42036</v>
      </c>
      <c r="G101" s="1536"/>
      <c r="H101" s="1535">
        <v>7800000</v>
      </c>
      <c r="I101" s="1532">
        <v>1.232</v>
      </c>
      <c r="J101" s="1537">
        <v>8009.42</v>
      </c>
      <c r="K101" s="1543" t="s">
        <v>2010</v>
      </c>
      <c r="M101" t="s">
        <v>2015</v>
      </c>
      <c r="Q101" s="1075"/>
      <c r="R101" s="1075"/>
      <c r="S101" s="1075"/>
    </row>
    <row r="102" spans="1:19" x14ac:dyDescent="0.2">
      <c r="A102" s="1084">
        <v>12</v>
      </c>
      <c r="B102" s="1532" t="s">
        <v>2007</v>
      </c>
      <c r="C102" s="1532" t="s">
        <v>1993</v>
      </c>
      <c r="D102" s="1533" t="s">
        <v>1994</v>
      </c>
      <c r="E102" s="1533" t="s">
        <v>2008</v>
      </c>
      <c r="F102" s="1534">
        <v>42064</v>
      </c>
      <c r="G102" s="1536"/>
      <c r="H102" s="1535">
        <v>7800000</v>
      </c>
      <c r="I102" s="1532">
        <v>1.3280000000000001</v>
      </c>
      <c r="J102" s="1537">
        <v>4316.71</v>
      </c>
      <c r="K102" s="1543" t="s">
        <v>2010</v>
      </c>
      <c r="M102" t="s">
        <v>2015</v>
      </c>
    </row>
    <row r="103" spans="1:19" ht="26.25" thickBot="1" x14ac:dyDescent="0.25">
      <c r="A103" s="1089">
        <v>13</v>
      </c>
      <c r="B103" s="1532" t="s">
        <v>1999</v>
      </c>
      <c r="C103" s="1532" t="s">
        <v>1993</v>
      </c>
      <c r="D103" s="1533" t="s">
        <v>1994</v>
      </c>
      <c r="E103" s="1533" t="s">
        <v>1991</v>
      </c>
      <c r="F103" s="1534">
        <v>42078</v>
      </c>
      <c r="G103" s="1532">
        <v>25</v>
      </c>
      <c r="H103" s="1535">
        <v>7800000</v>
      </c>
      <c r="I103" s="1532">
        <v>3.04</v>
      </c>
      <c r="J103" s="1537">
        <v>187720</v>
      </c>
      <c r="K103" s="1548" t="s">
        <v>2014</v>
      </c>
      <c r="M103" t="s">
        <v>2015</v>
      </c>
    </row>
    <row r="104" spans="1:19" ht="14.25" thickTop="1" thickBot="1" x14ac:dyDescent="0.25">
      <c r="A104" s="1089">
        <v>14</v>
      </c>
      <c r="B104" s="1532" t="s">
        <v>1999</v>
      </c>
      <c r="C104" s="1532" t="s">
        <v>1993</v>
      </c>
      <c r="D104" s="1533" t="s">
        <v>1994</v>
      </c>
      <c r="E104" s="1533" t="s">
        <v>1991</v>
      </c>
      <c r="F104" s="1534">
        <v>42200</v>
      </c>
      <c r="G104" s="1532">
        <v>25</v>
      </c>
      <c r="H104" s="1535">
        <v>4000000</v>
      </c>
      <c r="I104" s="1532">
        <v>3.55</v>
      </c>
      <c r="J104" s="1537">
        <v>65083.333333333336</v>
      </c>
      <c r="K104" s="1543" t="s">
        <v>2009</v>
      </c>
      <c r="M104" t="s">
        <v>2015</v>
      </c>
    </row>
    <row r="105" spans="1:19" ht="14.25" thickTop="1" thickBot="1" x14ac:dyDescent="0.25">
      <c r="A105" s="1089">
        <v>15</v>
      </c>
      <c r="B105" s="1532" t="s">
        <v>1999</v>
      </c>
      <c r="C105" s="1532" t="s">
        <v>1993</v>
      </c>
      <c r="D105" s="1533" t="s">
        <v>1994</v>
      </c>
      <c r="E105" s="1533" t="s">
        <v>1991</v>
      </c>
      <c r="F105" s="1534">
        <v>42248</v>
      </c>
      <c r="G105" s="1532">
        <v>25</v>
      </c>
      <c r="H105" s="1535">
        <v>1300000</v>
      </c>
      <c r="I105" s="1899">
        <v>3.31</v>
      </c>
      <c r="J105" s="1900">
        <v>14343.33</v>
      </c>
      <c r="K105" s="1543" t="s">
        <v>2009</v>
      </c>
      <c r="M105" t="s">
        <v>2015</v>
      </c>
    </row>
    <row r="106" spans="1:19" ht="14.25" thickTop="1" thickBot="1" x14ac:dyDescent="0.25">
      <c r="A106" s="1089"/>
      <c r="B106" s="1532" t="s">
        <v>2335</v>
      </c>
      <c r="C106" s="1532" t="s">
        <v>2336</v>
      </c>
      <c r="D106" s="1533" t="s">
        <v>1994</v>
      </c>
      <c r="E106" s="1533" t="s">
        <v>1991</v>
      </c>
      <c r="F106" s="1534">
        <v>42353</v>
      </c>
      <c r="G106" s="1532">
        <v>25</v>
      </c>
      <c r="H106" s="1535">
        <v>4000000</v>
      </c>
      <c r="I106" s="1901">
        <v>4.54</v>
      </c>
      <c r="J106" s="1902">
        <v>7566.67</v>
      </c>
      <c r="K106" s="1543" t="s">
        <v>2009</v>
      </c>
    </row>
    <row r="107" spans="1:19" ht="14.25" thickTop="1" thickBot="1" x14ac:dyDescent="0.25">
      <c r="A107" s="1089"/>
      <c r="B107" s="1541"/>
      <c r="C107" s="1541"/>
      <c r="D107" s="1544"/>
      <c r="E107" s="1544"/>
      <c r="F107" s="1540"/>
      <c r="G107" s="1541"/>
      <c r="H107" s="1545"/>
      <c r="I107" s="1541"/>
      <c r="J107" s="1546"/>
      <c r="K107" s="1543"/>
    </row>
    <row r="108" spans="1:19" ht="14.25" thickTop="1" thickBot="1" x14ac:dyDescent="0.25">
      <c r="A108" s="1089"/>
      <c r="B108" s="1541"/>
      <c r="C108" s="1541"/>
      <c r="D108" s="1544"/>
      <c r="E108" s="1544"/>
      <c r="F108" s="1540"/>
      <c r="G108" s="1541"/>
      <c r="H108" s="1545"/>
      <c r="I108" s="1541"/>
      <c r="J108" s="1546"/>
      <c r="K108" s="1543"/>
    </row>
    <row r="109" spans="1:19" ht="14.25" thickTop="1" thickBot="1" x14ac:dyDescent="0.25">
      <c r="A109" s="1089"/>
      <c r="B109" s="1090"/>
      <c r="C109" s="1091"/>
      <c r="D109" s="1091"/>
      <c r="E109" s="1091"/>
      <c r="F109" s="1090"/>
      <c r="G109" s="1091"/>
      <c r="H109" s="1091"/>
      <c r="I109" s="1091"/>
      <c r="J109" s="1090"/>
      <c r="K109" s="1087"/>
    </row>
    <row r="110" spans="1:19" ht="14.25" thickTop="1" thickBot="1" x14ac:dyDescent="0.25">
      <c r="A110" s="1092" t="s">
        <v>388</v>
      </c>
      <c r="B110" s="1093"/>
      <c r="C110" s="1094"/>
      <c r="D110" s="1094"/>
      <c r="E110" s="1094"/>
      <c r="F110" s="1093"/>
      <c r="G110" s="1094"/>
      <c r="H110" s="955">
        <f>SUM(H91:H108)-H101-H102-H103</f>
        <v>54730467</v>
      </c>
      <c r="I110" s="1094">
        <f>IF(H110=0,"",J110/H110)</f>
        <v>4.081586026542279E-2</v>
      </c>
      <c r="J110" s="1095">
        <f>SUM(J91:J108)</f>
        <v>2233871.0933333333</v>
      </c>
      <c r="K110" s="1096"/>
    </row>
    <row r="111" spans="1:19" x14ac:dyDescent="0.2">
      <c r="A111" s="300"/>
      <c r="B111" s="300"/>
      <c r="C111" s="300"/>
      <c r="D111" s="300"/>
      <c r="E111" s="300"/>
      <c r="F111" s="300"/>
      <c r="G111" s="300"/>
      <c r="H111" s="1538"/>
      <c r="I111" s="300"/>
      <c r="J111" s="1539"/>
      <c r="K111" s="300"/>
    </row>
    <row r="112" spans="1:19" ht="15.75" x14ac:dyDescent="0.2">
      <c r="D112" s="1077" t="s">
        <v>39</v>
      </c>
      <c r="E112" s="1078"/>
      <c r="F112" s="264" t="s">
        <v>2308</v>
      </c>
    </row>
    <row r="113" spans="1:19" ht="16.5" customHeight="1" thickBot="1" x14ac:dyDescent="0.25"/>
    <row r="114" spans="1:19" ht="25.5" x14ac:dyDescent="0.2">
      <c r="A114" s="1079" t="s">
        <v>572</v>
      </c>
      <c r="B114" s="1080" t="s">
        <v>324</v>
      </c>
      <c r="C114" s="1080" t="s">
        <v>567</v>
      </c>
      <c r="D114" s="1081" t="s">
        <v>568</v>
      </c>
      <c r="E114" s="1081" t="s">
        <v>569</v>
      </c>
      <c r="F114" s="1080" t="s">
        <v>570</v>
      </c>
      <c r="G114" s="1082" t="s">
        <v>574</v>
      </c>
      <c r="H114" s="1082" t="s">
        <v>573</v>
      </c>
      <c r="I114" s="1082" t="s">
        <v>1841</v>
      </c>
      <c r="J114" s="1082" t="s">
        <v>1842</v>
      </c>
      <c r="K114" s="1083" t="s">
        <v>793</v>
      </c>
    </row>
    <row r="115" spans="1:19" x14ac:dyDescent="0.2">
      <c r="A115" s="1084">
        <v>1</v>
      </c>
      <c r="B115" s="1532" t="s">
        <v>1999</v>
      </c>
      <c r="C115" s="1532" t="s">
        <v>1989</v>
      </c>
      <c r="D115" s="1533" t="s">
        <v>1990</v>
      </c>
      <c r="E115" s="1533" t="s">
        <v>1991</v>
      </c>
      <c r="F115" s="1534">
        <v>37165</v>
      </c>
      <c r="G115" s="1536" t="s">
        <v>1992</v>
      </c>
      <c r="H115" s="1535">
        <v>14934210</v>
      </c>
      <c r="I115" s="1899">
        <v>4.54</v>
      </c>
      <c r="J115" s="1900">
        <v>678013.13</v>
      </c>
      <c r="K115" s="1543"/>
    </row>
    <row r="116" spans="1:19" x14ac:dyDescent="0.2">
      <c r="A116" s="1084">
        <v>2</v>
      </c>
      <c r="B116" s="1532" t="s">
        <v>2000</v>
      </c>
      <c r="C116" s="1532" t="s">
        <v>1993</v>
      </c>
      <c r="D116" s="1533" t="s">
        <v>1994</v>
      </c>
      <c r="E116" s="1533" t="s">
        <v>1991</v>
      </c>
      <c r="F116" s="1534">
        <v>40269</v>
      </c>
      <c r="G116" s="1536" t="s">
        <v>2309</v>
      </c>
      <c r="H116" s="1535">
        <v>2880057</v>
      </c>
      <c r="I116" s="1532">
        <v>4.49</v>
      </c>
      <c r="J116" s="1537">
        <v>129314.55929999999</v>
      </c>
      <c r="K116" s="1543" t="s">
        <v>2009</v>
      </c>
    </row>
    <row r="117" spans="1:19" x14ac:dyDescent="0.2">
      <c r="A117" s="1084">
        <v>3</v>
      </c>
      <c r="B117" s="1532" t="s">
        <v>2000</v>
      </c>
      <c r="C117" s="1532" t="s">
        <v>1993</v>
      </c>
      <c r="D117" s="1533" t="s">
        <v>1994</v>
      </c>
      <c r="E117" s="1533" t="s">
        <v>1991</v>
      </c>
      <c r="F117" s="1534">
        <v>40374</v>
      </c>
      <c r="G117" s="1536" t="s">
        <v>2310</v>
      </c>
      <c r="H117" s="1535">
        <v>4000000</v>
      </c>
      <c r="I117" s="1532">
        <v>4.84</v>
      </c>
      <c r="J117" s="1537">
        <v>193600</v>
      </c>
      <c r="K117" s="1547" t="s">
        <v>2009</v>
      </c>
    </row>
    <row r="118" spans="1:19" x14ac:dyDescent="0.2">
      <c r="A118" s="1084">
        <v>4</v>
      </c>
      <c r="B118" s="1532" t="s">
        <v>2000</v>
      </c>
      <c r="C118" s="1532" t="s">
        <v>1993</v>
      </c>
      <c r="D118" s="1533" t="s">
        <v>1994</v>
      </c>
      <c r="E118" s="1533" t="s">
        <v>1991</v>
      </c>
      <c r="F118" s="1534">
        <v>40801</v>
      </c>
      <c r="G118" s="1536" t="s">
        <v>2012</v>
      </c>
      <c r="H118" s="1535">
        <v>3487200</v>
      </c>
      <c r="I118" s="1532">
        <v>4.33</v>
      </c>
      <c r="J118" s="1537">
        <v>150995.76</v>
      </c>
      <c r="K118" s="1543" t="s">
        <v>2009</v>
      </c>
    </row>
    <row r="119" spans="1:19" x14ac:dyDescent="0.2">
      <c r="A119" s="1084">
        <v>5</v>
      </c>
      <c r="B119" s="1532" t="s">
        <v>2000</v>
      </c>
      <c r="C119" s="1532" t="s">
        <v>1993</v>
      </c>
      <c r="D119" s="1533" t="s">
        <v>1994</v>
      </c>
      <c r="E119" s="1533" t="s">
        <v>1991</v>
      </c>
      <c r="F119" s="1534">
        <v>40909</v>
      </c>
      <c r="G119" s="1536" t="s">
        <v>2006</v>
      </c>
      <c r="H119" s="1535">
        <v>2550000</v>
      </c>
      <c r="I119" s="1532">
        <v>3.92</v>
      </c>
      <c r="J119" s="1537">
        <v>99960</v>
      </c>
      <c r="K119" s="1543" t="s">
        <v>2009</v>
      </c>
      <c r="Q119" s="1075"/>
      <c r="R119" s="1075"/>
      <c r="S119" s="1075"/>
    </row>
    <row r="120" spans="1:19" x14ac:dyDescent="0.2">
      <c r="A120" s="1084">
        <v>6</v>
      </c>
      <c r="B120" s="1532" t="s">
        <v>2000</v>
      </c>
      <c r="C120" s="1532" t="s">
        <v>1993</v>
      </c>
      <c r="D120" s="1533" t="s">
        <v>1994</v>
      </c>
      <c r="E120" s="1533" t="s">
        <v>1991</v>
      </c>
      <c r="F120" s="1534">
        <v>41169</v>
      </c>
      <c r="G120" s="1536" t="s">
        <v>2006</v>
      </c>
      <c r="H120" s="1535">
        <v>2550000</v>
      </c>
      <c r="I120" s="1532">
        <v>3.87</v>
      </c>
      <c r="J120" s="1537">
        <v>98685</v>
      </c>
      <c r="K120" s="1543" t="s">
        <v>2009</v>
      </c>
      <c r="Q120" s="1075"/>
      <c r="R120" s="1075"/>
      <c r="S120" s="1075"/>
    </row>
    <row r="121" spans="1:19" x14ac:dyDescent="0.2">
      <c r="A121" s="1084">
        <v>7</v>
      </c>
      <c r="B121" s="1532" t="s">
        <v>1999</v>
      </c>
      <c r="C121" s="1532" t="s">
        <v>1993</v>
      </c>
      <c r="D121" s="1533" t="s">
        <v>1994</v>
      </c>
      <c r="E121" s="1533" t="s">
        <v>1991</v>
      </c>
      <c r="F121" s="1534">
        <v>41395</v>
      </c>
      <c r="G121" s="1536" t="s">
        <v>2003</v>
      </c>
      <c r="H121" s="1535">
        <v>3044000</v>
      </c>
      <c r="I121" s="1532">
        <v>3.74</v>
      </c>
      <c r="J121" s="1537">
        <v>113845.6</v>
      </c>
      <c r="K121" s="1543" t="s">
        <v>2009</v>
      </c>
      <c r="Q121" s="1075"/>
      <c r="R121" s="1075"/>
      <c r="S121" s="1075"/>
    </row>
    <row r="122" spans="1:19" x14ac:dyDescent="0.2">
      <c r="A122" s="1084">
        <v>8</v>
      </c>
      <c r="B122" s="1532" t="s">
        <v>1999</v>
      </c>
      <c r="C122" s="1532" t="s">
        <v>1993</v>
      </c>
      <c r="D122" s="1533" t="s">
        <v>1994</v>
      </c>
      <c r="E122" s="1533" t="s">
        <v>1991</v>
      </c>
      <c r="F122" s="1534">
        <v>41835</v>
      </c>
      <c r="G122" s="1536" t="s">
        <v>1997</v>
      </c>
      <c r="H122" s="1535">
        <v>3900000</v>
      </c>
      <c r="I122" s="1532">
        <v>3.97</v>
      </c>
      <c r="J122" s="1537">
        <v>154830</v>
      </c>
      <c r="K122" s="1543" t="s">
        <v>2009</v>
      </c>
      <c r="Q122" s="1075"/>
      <c r="R122" s="1075"/>
      <c r="S122" s="1075"/>
    </row>
    <row r="123" spans="1:19" x14ac:dyDescent="0.2">
      <c r="A123" s="1084">
        <v>9</v>
      </c>
      <c r="B123" s="1532" t="s">
        <v>1999</v>
      </c>
      <c r="C123" s="1532" t="s">
        <v>1993</v>
      </c>
      <c r="D123" s="1533" t="s">
        <v>1994</v>
      </c>
      <c r="E123" s="1533" t="s">
        <v>1991</v>
      </c>
      <c r="F123" s="1534">
        <f>+F105</f>
        <v>42248</v>
      </c>
      <c r="G123" s="1532">
        <v>25</v>
      </c>
      <c r="H123" s="1535">
        <v>7800000</v>
      </c>
      <c r="I123" s="1532">
        <v>3.04</v>
      </c>
      <c r="J123" s="1537">
        <v>237120</v>
      </c>
      <c r="K123" s="1543" t="s">
        <v>2009</v>
      </c>
      <c r="Q123" s="1075"/>
      <c r="R123" s="1075"/>
      <c r="S123" s="1075"/>
    </row>
    <row r="124" spans="1:19" x14ac:dyDescent="0.2">
      <c r="A124" s="1084">
        <v>10</v>
      </c>
      <c r="B124" s="1532" t="s">
        <v>1999</v>
      </c>
      <c r="C124" s="1532" t="s">
        <v>1993</v>
      </c>
      <c r="D124" s="1533" t="s">
        <v>1994</v>
      </c>
      <c r="E124" s="1533" t="s">
        <v>1991</v>
      </c>
      <c r="F124" s="1534">
        <v>42200</v>
      </c>
      <c r="G124" s="1536" t="s">
        <v>1998</v>
      </c>
      <c r="H124" s="1535">
        <v>4000000</v>
      </c>
      <c r="I124" s="1532">
        <v>3.55</v>
      </c>
      <c r="J124" s="1537">
        <v>142000</v>
      </c>
      <c r="K124" s="1543" t="s">
        <v>2009</v>
      </c>
      <c r="M124"/>
      <c r="Q124" s="1088"/>
      <c r="R124" s="1088"/>
      <c r="S124" s="1088"/>
    </row>
    <row r="125" spans="1:19" x14ac:dyDescent="0.2">
      <c r="A125" s="1084">
        <v>11</v>
      </c>
      <c r="B125" s="1532" t="s">
        <v>1999</v>
      </c>
      <c r="C125" s="1532" t="s">
        <v>1993</v>
      </c>
      <c r="D125" s="1533" t="s">
        <v>1994</v>
      </c>
      <c r="E125" s="1533" t="s">
        <v>1991</v>
      </c>
      <c r="F125" s="1534">
        <v>42248</v>
      </c>
      <c r="G125" s="1782" t="s">
        <v>1998</v>
      </c>
      <c r="H125" s="1535">
        <v>1300000</v>
      </c>
      <c r="I125" s="1912">
        <v>3.31</v>
      </c>
      <c r="J125" s="1537">
        <v>43030</v>
      </c>
      <c r="K125" s="1543" t="s">
        <v>2009</v>
      </c>
      <c r="M125"/>
      <c r="Q125" s="1075"/>
      <c r="R125" s="1075"/>
      <c r="S125" s="1075"/>
    </row>
    <row r="126" spans="1:19" x14ac:dyDescent="0.2">
      <c r="A126" s="1084">
        <v>12</v>
      </c>
      <c r="B126" s="1532" t="s">
        <v>2335</v>
      </c>
      <c r="C126" s="1532" t="s">
        <v>2336</v>
      </c>
      <c r="D126" s="1533" t="s">
        <v>1994</v>
      </c>
      <c r="E126" s="1533" t="s">
        <v>1991</v>
      </c>
      <c r="F126" s="1534">
        <v>42360</v>
      </c>
      <c r="G126" s="1532">
        <v>25</v>
      </c>
      <c r="H126" s="1535">
        <v>4000000</v>
      </c>
      <c r="I126" s="1899">
        <v>3.58</v>
      </c>
      <c r="J126" s="1900">
        <f>+H126*I126/100</f>
        <v>143200</v>
      </c>
      <c r="K126" s="1543" t="s">
        <v>2009</v>
      </c>
      <c r="M126"/>
      <c r="Q126" s="1075"/>
      <c r="R126" s="1075"/>
      <c r="S126" s="1075"/>
    </row>
    <row r="127" spans="1:19" x14ac:dyDescent="0.2">
      <c r="A127" s="1084">
        <v>13</v>
      </c>
      <c r="B127" s="1532" t="s">
        <v>2013</v>
      </c>
      <c r="C127" s="1532" t="s">
        <v>2336</v>
      </c>
      <c r="D127" s="1533" t="s">
        <v>1994</v>
      </c>
      <c r="E127" s="1533" t="s">
        <v>1991</v>
      </c>
      <c r="F127" s="1534">
        <v>42552</v>
      </c>
      <c r="G127" s="1532">
        <v>25</v>
      </c>
      <c r="H127" s="1535">
        <v>2000000</v>
      </c>
      <c r="I127" s="1899">
        <v>3.58</v>
      </c>
      <c r="J127" s="1900">
        <f>+H127*I127/100</f>
        <v>71600</v>
      </c>
      <c r="K127" s="1543" t="s">
        <v>2009</v>
      </c>
      <c r="M127"/>
    </row>
    <row r="128" spans="1:19" ht="13.5" thickBot="1" x14ac:dyDescent="0.25">
      <c r="A128" s="1089"/>
      <c r="B128" s="1532"/>
      <c r="C128" s="1532"/>
      <c r="D128" s="1533"/>
      <c r="E128" s="1533"/>
      <c r="F128" s="1534"/>
      <c r="G128" s="1532"/>
      <c r="H128" s="1535"/>
      <c r="I128" s="1532"/>
      <c r="J128" s="1537"/>
      <c r="K128" s="1543"/>
      <c r="M128"/>
    </row>
    <row r="129" spans="1:11" ht="14.25" thickTop="1" thickBot="1" x14ac:dyDescent="0.25">
      <c r="A129" s="1089"/>
      <c r="B129" s="1090"/>
      <c r="C129" s="1091"/>
      <c r="D129" s="1091"/>
      <c r="E129" s="1091"/>
      <c r="F129" s="1090"/>
      <c r="G129" s="1091"/>
      <c r="H129" s="1091"/>
      <c r="I129" s="1091"/>
      <c r="J129" s="1090"/>
      <c r="K129" s="1087"/>
    </row>
    <row r="130" spans="1:11" ht="14.25" thickTop="1" thickBot="1" x14ac:dyDescent="0.25">
      <c r="A130" s="1092" t="s">
        <v>388</v>
      </c>
      <c r="B130" s="1093"/>
      <c r="C130" s="1094"/>
      <c r="D130" s="1094"/>
      <c r="E130" s="1094"/>
      <c r="F130" s="1093"/>
      <c r="G130" s="1094"/>
      <c r="H130" s="955">
        <f>SUM(H115:H128)</f>
        <v>56445467</v>
      </c>
      <c r="I130" s="1094">
        <f>IF(H130=0,"",J130/H130)</f>
        <v>3.9971217694062131E-2</v>
      </c>
      <c r="J130" s="1095">
        <f>SUM(J115:J128)</f>
        <v>2256194.0493000001</v>
      </c>
      <c r="K130" s="1096"/>
    </row>
    <row r="131" spans="1:11" x14ac:dyDescent="0.2">
      <c r="A131" s="252" t="s">
        <v>404</v>
      </c>
    </row>
    <row r="133" spans="1:11" x14ac:dyDescent="0.2">
      <c r="A133" s="1097">
        <v>1</v>
      </c>
      <c r="B133" s="2132" t="s">
        <v>1843</v>
      </c>
      <c r="C133" s="2132"/>
      <c r="D133" s="2132"/>
      <c r="E133" s="2132"/>
      <c r="F133" s="2132"/>
      <c r="G133" s="2132"/>
      <c r="H133" s="2132"/>
      <c r="I133" s="2132"/>
      <c r="J133" s="2132"/>
      <c r="K133" s="2132"/>
    </row>
    <row r="134" spans="1:11" ht="27" customHeight="1" x14ac:dyDescent="0.2">
      <c r="A134" s="1097">
        <v>2</v>
      </c>
      <c r="B134" s="1939" t="s">
        <v>1567</v>
      </c>
      <c r="C134" s="1939"/>
      <c r="D134" s="1939"/>
      <c r="E134" s="1939"/>
      <c r="F134" s="1939"/>
      <c r="G134" s="1939"/>
      <c r="H134" s="1939"/>
      <c r="I134" s="1939"/>
      <c r="J134" s="1939"/>
      <c r="K134" s="1939"/>
    </row>
    <row r="135" spans="1:11" x14ac:dyDescent="0.2">
      <c r="A135" s="756">
        <v>3</v>
      </c>
      <c r="B135" s="2181" t="s">
        <v>571</v>
      </c>
      <c r="C135" s="2181"/>
      <c r="D135" s="2181"/>
      <c r="E135" s="2181"/>
      <c r="F135" s="2181"/>
      <c r="G135" s="2181"/>
      <c r="H135" s="2181"/>
      <c r="I135" s="2181"/>
      <c r="J135" s="2181"/>
      <c r="K135" s="2181"/>
    </row>
  </sheetData>
  <mergeCells count="7">
    <mergeCell ref="B135:K135"/>
    <mergeCell ref="A10:K10"/>
    <mergeCell ref="A11:K11"/>
    <mergeCell ref="L11:O11"/>
    <mergeCell ref="A13:K13"/>
    <mergeCell ref="B134:K134"/>
    <mergeCell ref="B133:K133"/>
  </mergeCells>
  <phoneticPr fontId="17" type="noConversion"/>
  <dataValidations count="4">
    <dataValidation allowBlank="1" showInputMessage="1" showErrorMessage="1" promptTitle="Date Format" prompt="E.g:  &quot;August 1, 2011&quot;" sqref="K7"/>
    <dataValidation type="list" allowBlank="1" showInputMessage="1" showErrorMessage="1" sqref="E35:E46 E53:E64 E71:E85 E17:E28 E91:E109 E115:E129">
      <formula1>"Fixed Rate, Variable Rate"</formula1>
    </dataValidation>
    <dataValidation type="list" allowBlank="1" showInputMessage="1" showErrorMessage="1" sqref="D35:D46 D53:D64 D71:D85 D17:D28 D91:D109 D115:D129">
      <formula1>"Affiliated, Third-Party"</formula1>
    </dataValidation>
    <dataValidation type="list" allowBlank="1" showInputMessage="1" showErrorMessage="1" sqref="E32 E50 E68 E88 E112 E14">
      <formula1>"2006,2007,2008,2009,2012,2013, 2014, 2015"</formula1>
    </dataValidation>
  </dataValidations>
  <pageMargins left="0.75" right="0.75" top="1" bottom="1" header="0.5" footer="0.5"/>
  <pageSetup scale="51"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L125"/>
  <sheetViews>
    <sheetView showGridLines="0" zoomScaleNormal="100" workbookViewId="0"/>
  </sheetViews>
  <sheetFormatPr defaultRowHeight="12.75" x14ac:dyDescent="0.2"/>
  <cols>
    <col min="1" max="1" width="29" style="61" customWidth="1"/>
    <col min="2" max="2" width="15" style="61" customWidth="1"/>
    <col min="3" max="3" width="15.5703125" style="61" customWidth="1"/>
    <col min="4" max="4" width="16" style="61" customWidth="1"/>
    <col min="5" max="5" width="17.5703125" style="61" customWidth="1"/>
    <col min="6" max="6" width="16.28515625" style="61" customWidth="1"/>
    <col min="7" max="16384" width="9.140625" style="61"/>
  </cols>
  <sheetData>
    <row r="1" spans="1:6" x14ac:dyDescent="0.2">
      <c r="E1" s="715" t="s">
        <v>394</v>
      </c>
      <c r="F1" s="1513" t="str">
        <f>EBNUMBER</f>
        <v>EB-2015-0089</v>
      </c>
    </row>
    <row r="2" spans="1:6" x14ac:dyDescent="0.2">
      <c r="E2" s="715" t="s">
        <v>395</v>
      </c>
      <c r="F2" s="254">
        <v>7</v>
      </c>
    </row>
    <row r="3" spans="1:6" x14ac:dyDescent="0.2">
      <c r="E3" s="715" t="s">
        <v>396</v>
      </c>
      <c r="F3" s="254" t="s">
        <v>2456</v>
      </c>
    </row>
    <row r="4" spans="1:6" x14ac:dyDescent="0.2">
      <c r="E4" s="715" t="s">
        <v>397</v>
      </c>
      <c r="F4" s="254" t="s">
        <v>2421</v>
      </c>
    </row>
    <row r="5" spans="1:6" x14ac:dyDescent="0.2">
      <c r="E5" s="715" t="s">
        <v>398</v>
      </c>
      <c r="F5" s="255">
        <v>10</v>
      </c>
    </row>
    <row r="6" spans="1:6" x14ac:dyDescent="0.2">
      <c r="E6" s="715"/>
      <c r="F6" s="253"/>
    </row>
    <row r="7" spans="1:6" x14ac:dyDescent="0.2">
      <c r="E7" s="715" t="s">
        <v>399</v>
      </c>
      <c r="F7" s="1836" t="s">
        <v>2455</v>
      </c>
    </row>
    <row r="9" spans="1:6" ht="18" x14ac:dyDescent="0.25">
      <c r="A9" s="1940" t="s">
        <v>564</v>
      </c>
      <c r="B9" s="1940"/>
      <c r="C9" s="1940"/>
      <c r="D9" s="1940"/>
      <c r="E9" s="1940"/>
      <c r="F9" s="1940"/>
    </row>
    <row r="10" spans="1:6" ht="18" x14ac:dyDescent="0.25">
      <c r="A10" s="1940" t="s">
        <v>2450</v>
      </c>
      <c r="B10" s="1940"/>
      <c r="C10" s="1940"/>
      <c r="D10" s="1940"/>
      <c r="E10" s="1940"/>
      <c r="F10" s="1940"/>
    </row>
    <row r="12" spans="1:6" x14ac:dyDescent="0.2">
      <c r="A12" s="61" t="s">
        <v>273</v>
      </c>
      <c r="F12"/>
    </row>
    <row r="14" spans="1:6" x14ac:dyDescent="0.2">
      <c r="A14" s="252" t="s">
        <v>547</v>
      </c>
      <c r="B14" s="252"/>
    </row>
    <row r="15" spans="1:6" ht="13.5" thickBot="1" x14ac:dyDescent="0.25"/>
    <row r="16" spans="1:6" ht="72" customHeight="1" x14ac:dyDescent="0.2">
      <c r="A16" s="1805" t="s">
        <v>274</v>
      </c>
      <c r="B16" s="1806" t="s">
        <v>278</v>
      </c>
      <c r="C16" s="1806" t="s">
        <v>218</v>
      </c>
      <c r="D16" s="1806" t="s">
        <v>143</v>
      </c>
      <c r="E16" s="1807" t="s">
        <v>218</v>
      </c>
    </row>
    <row r="17" spans="1:5" x14ac:dyDescent="0.2">
      <c r="A17" s="1098" t="s">
        <v>113</v>
      </c>
      <c r="B17" s="356">
        <v>8965982</v>
      </c>
      <c r="C17" s="1099">
        <f>IF(B$28=0,"",B17/B$28)</f>
        <v>0.61985783477402523</v>
      </c>
      <c r="D17" s="356">
        <f>+'[20]O1 Revenue to cost|RR'!$D$40</f>
        <v>12773611.56964758</v>
      </c>
      <c r="E17" s="1100">
        <f>IF(D$28=0,"",D17/D$28)</f>
        <v>0.70042627229633014</v>
      </c>
    </row>
    <row r="18" spans="1:5" x14ac:dyDescent="0.2">
      <c r="A18" s="1098" t="s">
        <v>114</v>
      </c>
      <c r="B18" s="356">
        <v>1900067</v>
      </c>
      <c r="C18" s="1099">
        <f t="shared" ref="C18:E27" si="0">IF(B$28=0,"",B18/B$28)</f>
        <v>0.13136000234503903</v>
      </c>
      <c r="D18" s="356">
        <f>+'[20]O1 Revenue to cost|RR'!$E$40</f>
        <v>2085823.8898808546</v>
      </c>
      <c r="E18" s="1100">
        <f t="shared" si="0"/>
        <v>0.11437374965490558</v>
      </c>
    </row>
    <row r="19" spans="1:5" x14ac:dyDescent="0.2">
      <c r="A19" s="1101" t="s">
        <v>2337</v>
      </c>
      <c r="B19" s="356">
        <v>2011917</v>
      </c>
      <c r="C19" s="1099">
        <f t="shared" si="0"/>
        <v>0.13909268559373111</v>
      </c>
      <c r="D19" s="356">
        <f>+'[20]O1 Revenue to cost|RR'!$F$40</f>
        <v>2063652.6834695239</v>
      </c>
      <c r="E19" s="1100">
        <f t="shared" si="0"/>
        <v>0.11315801709764657</v>
      </c>
    </row>
    <row r="20" spans="1:5" x14ac:dyDescent="0.2">
      <c r="A20" s="1101" t="s">
        <v>2338</v>
      </c>
      <c r="B20" s="356">
        <v>655657</v>
      </c>
      <c r="C20" s="1099">
        <f t="shared" si="0"/>
        <v>4.5328456868911071E-2</v>
      </c>
      <c r="D20" s="356">
        <f>+'[20]O1 Revenue to cost|RR'!$H$40</f>
        <v>421344.46583005483</v>
      </c>
      <c r="E20" s="1100">
        <f t="shared" si="0"/>
        <v>2.3103938298491413E-2</v>
      </c>
    </row>
    <row r="21" spans="1:5" x14ac:dyDescent="0.2">
      <c r="A21" s="1098" t="s">
        <v>2339</v>
      </c>
      <c r="B21" s="356">
        <v>507188</v>
      </c>
      <c r="C21" s="1099">
        <f t="shared" si="0"/>
        <v>3.5064140827336963E-2</v>
      </c>
      <c r="D21" s="356">
        <f>+'[20]O1 Revenue to cost|RR'!$I$40</f>
        <v>436106.52278618643</v>
      </c>
      <c r="E21" s="1100">
        <f t="shared" si="0"/>
        <v>2.3913398682411213E-2</v>
      </c>
    </row>
    <row r="22" spans="1:5" x14ac:dyDescent="0.2">
      <c r="A22" s="1098" t="s">
        <v>275</v>
      </c>
      <c r="B22" s="356">
        <v>353261</v>
      </c>
      <c r="C22" s="1099">
        <f t="shared" si="0"/>
        <v>2.4422489200860199E-2</v>
      </c>
      <c r="D22" s="356">
        <f>+'[20]O1 Revenue to cost|RR'!$J$40</f>
        <v>368247.13160960347</v>
      </c>
      <c r="E22" s="1100">
        <f t="shared" si="0"/>
        <v>2.0192407156799652E-2</v>
      </c>
    </row>
    <row r="23" spans="1:5" x14ac:dyDescent="0.2">
      <c r="A23" s="1098" t="s">
        <v>117</v>
      </c>
      <c r="B23" s="356">
        <v>25369</v>
      </c>
      <c r="C23" s="1099">
        <f t="shared" si="0"/>
        <v>1.7538707316590916E-3</v>
      </c>
      <c r="D23" s="356">
        <f>+'[20]O1 Revenue to cost|RR'!$K$40</f>
        <v>48514.570860990731</v>
      </c>
      <c r="E23" s="1100">
        <f t="shared" si="0"/>
        <v>2.6602405932684404E-3</v>
      </c>
    </row>
    <row r="24" spans="1:5" x14ac:dyDescent="0.2">
      <c r="A24" s="1098" t="s">
        <v>276</v>
      </c>
      <c r="B24" s="356">
        <v>45137</v>
      </c>
      <c r="C24" s="1099">
        <f t="shared" si="0"/>
        <v>3.120519658437322E-3</v>
      </c>
      <c r="D24" s="356">
        <f>+'[20]O1 Revenue to cost|RR'!$L$40</f>
        <v>39610.13695804913</v>
      </c>
      <c r="E24" s="1100">
        <f t="shared" si="0"/>
        <v>2.1719762201473374E-3</v>
      </c>
    </row>
    <row r="25" spans="1:5" x14ac:dyDescent="0.2">
      <c r="A25" s="1101" t="s">
        <v>277</v>
      </c>
      <c r="B25" s="356"/>
      <c r="C25" s="1099">
        <f t="shared" si="0"/>
        <v>0</v>
      </c>
      <c r="D25" s="356"/>
      <c r="E25" s="1100">
        <f t="shared" si="0"/>
        <v>0</v>
      </c>
    </row>
    <row r="26" spans="1:5" x14ac:dyDescent="0.2">
      <c r="A26" s="1101"/>
      <c r="B26" s="356"/>
      <c r="C26" s="1099">
        <f t="shared" si="0"/>
        <v>0</v>
      </c>
      <c r="D26" s="356"/>
      <c r="E26" s="1100">
        <f t="shared" si="0"/>
        <v>0</v>
      </c>
    </row>
    <row r="27" spans="1:5" x14ac:dyDescent="0.2">
      <c r="A27" s="1102" t="s">
        <v>576</v>
      </c>
      <c r="B27" s="356"/>
      <c r="C27" s="1099">
        <f t="shared" si="0"/>
        <v>0</v>
      </c>
      <c r="D27" s="356"/>
      <c r="E27" s="1100">
        <f t="shared" si="0"/>
        <v>0</v>
      </c>
    </row>
    <row r="28" spans="1:5" ht="13.5" thickBot="1" x14ac:dyDescent="0.25">
      <c r="A28" s="1103" t="s">
        <v>388</v>
      </c>
      <c r="B28" s="1104">
        <f>SUM(B17:B27)</f>
        <v>14464578</v>
      </c>
      <c r="C28" s="1105">
        <f>SUM(C17:C27)</f>
        <v>1.0000000000000002</v>
      </c>
      <c r="D28" s="1104">
        <f>SUM(D17:D27)</f>
        <v>18236910.971042838</v>
      </c>
      <c r="E28" s="1106">
        <f>SUM(E17:E27)</f>
        <v>1.0000000000000004</v>
      </c>
    </row>
    <row r="30" spans="1:5" x14ac:dyDescent="0.2">
      <c r="A30" s="252" t="s">
        <v>13</v>
      </c>
    </row>
    <row r="32" spans="1:5" ht="12.75" customHeight="1" x14ac:dyDescent="0.2">
      <c r="A32" s="2291" t="s">
        <v>548</v>
      </c>
      <c r="B32" s="2291"/>
      <c r="C32" s="2291"/>
      <c r="D32" s="2291"/>
      <c r="E32" s="2291"/>
    </row>
    <row r="33" spans="1:6" x14ac:dyDescent="0.2">
      <c r="A33" s="2291"/>
      <c r="B33" s="2291"/>
      <c r="C33" s="2291"/>
      <c r="D33" s="2291"/>
      <c r="E33" s="2291"/>
    </row>
    <row r="34" spans="1:6" ht="12.75" customHeight="1" x14ac:dyDescent="0.2">
      <c r="B34" s="1107"/>
      <c r="C34" s="1107"/>
      <c r="D34" s="1107"/>
      <c r="E34" s="1107"/>
      <c r="F34" s="1107"/>
    </row>
    <row r="35" spans="1:6" ht="12.75" customHeight="1" x14ac:dyDescent="0.2">
      <c r="A35" s="2292" t="s">
        <v>1844</v>
      </c>
      <c r="B35" s="2292"/>
      <c r="C35" s="2292"/>
      <c r="D35" s="2292"/>
      <c r="E35" s="2292"/>
      <c r="F35" s="1107"/>
    </row>
    <row r="36" spans="1:6" ht="12.75" customHeight="1" x14ac:dyDescent="0.2">
      <c r="A36" s="2292"/>
      <c r="B36" s="2292"/>
      <c r="C36" s="2292"/>
      <c r="D36" s="2292"/>
      <c r="E36" s="2292"/>
      <c r="F36" s="1505"/>
    </row>
    <row r="37" spans="1:6" x14ac:dyDescent="0.2">
      <c r="A37" s="2292"/>
      <c r="B37" s="2292"/>
      <c r="C37" s="2292"/>
      <c r="D37" s="2292"/>
      <c r="E37" s="2292"/>
      <c r="F37" s="1505"/>
    </row>
    <row r="38" spans="1:6" x14ac:dyDescent="0.2">
      <c r="A38" s="1504" t="s">
        <v>549</v>
      </c>
      <c r="B38" s="1504"/>
      <c r="C38" s="1504"/>
      <c r="D38" s="1504"/>
      <c r="E38" s="1504"/>
      <c r="F38" s="1504"/>
    </row>
    <row r="39" spans="1:6" ht="20.25" customHeight="1" x14ac:dyDescent="0.2">
      <c r="A39" s="2292" t="s">
        <v>577</v>
      </c>
      <c r="B39" s="2292"/>
      <c r="C39" s="2292"/>
      <c r="D39" s="2292"/>
      <c r="E39" s="2292"/>
      <c r="F39" s="1108"/>
    </row>
    <row r="40" spans="1:6" ht="20.25" customHeight="1" x14ac:dyDescent="0.2">
      <c r="A40" s="2292"/>
      <c r="B40" s="2292"/>
      <c r="C40" s="2292"/>
      <c r="D40" s="2292"/>
      <c r="E40" s="2292"/>
    </row>
    <row r="41" spans="1:6" ht="12.75" customHeight="1" x14ac:dyDescent="0.2"/>
    <row r="43" spans="1:6" ht="12.75" customHeight="1" x14ac:dyDescent="0.2">
      <c r="A43" s="1109" t="s">
        <v>550</v>
      </c>
      <c r="B43" s="2238"/>
      <c r="C43" s="2238"/>
      <c r="D43" s="2238"/>
      <c r="E43" s="2238"/>
      <c r="F43" s="2238"/>
    </row>
    <row r="44" spans="1:6" ht="13.5" thickBot="1" x14ac:dyDescent="0.25">
      <c r="A44" s="1109"/>
      <c r="B44" s="1110"/>
    </row>
    <row r="45" spans="1:6" x14ac:dyDescent="0.2">
      <c r="A45" s="2301"/>
      <c r="B45" s="2302"/>
      <c r="C45" s="1808" t="s">
        <v>280</v>
      </c>
      <c r="D45" s="1808" t="s">
        <v>281</v>
      </c>
      <c r="E45" s="1808" t="s">
        <v>282</v>
      </c>
      <c r="F45" s="1809" t="s">
        <v>283</v>
      </c>
    </row>
    <row r="46" spans="1:6" ht="12.75" customHeight="1" x14ac:dyDescent="0.2">
      <c r="A46" s="2295" t="s">
        <v>279</v>
      </c>
      <c r="B46" s="2296"/>
      <c r="C46" s="2299" t="s">
        <v>284</v>
      </c>
      <c r="D46" s="2299" t="s">
        <v>333</v>
      </c>
      <c r="E46" s="2299" t="s">
        <v>285</v>
      </c>
      <c r="F46" s="2303" t="s">
        <v>286</v>
      </c>
    </row>
    <row r="47" spans="1:6" ht="48" customHeight="1" x14ac:dyDescent="0.2">
      <c r="A47" s="2297"/>
      <c r="B47" s="2298"/>
      <c r="C47" s="2300"/>
      <c r="D47" s="2300"/>
      <c r="E47" s="2300"/>
      <c r="F47" s="2304"/>
    </row>
    <row r="48" spans="1:6" x14ac:dyDescent="0.2">
      <c r="A48" s="2293" t="str">
        <f t="shared" ref="A48:A56" si="1">A17</f>
        <v>Residential</v>
      </c>
      <c r="B48" s="2294"/>
      <c r="C48" s="356">
        <f>+'[21]2016 Test Yr On Existing Rates'!$J$9</f>
        <v>10767401.022321492</v>
      </c>
      <c r="D48" s="356">
        <f>+'[20]O1 Revenue to cost|RR'!$D$23</f>
        <v>10771496.251603609</v>
      </c>
      <c r="E48" s="356">
        <f>+'[21]Cost Allocation Study'!$K$7</f>
        <v>10962581.267557979</v>
      </c>
      <c r="F48" s="730">
        <f>+'[20]O1 Revenue to cost|RR'!$D$24</f>
        <v>1534188.4122322267</v>
      </c>
    </row>
    <row r="49" spans="1:6" x14ac:dyDescent="0.2">
      <c r="A49" s="2293" t="str">
        <f t="shared" si="1"/>
        <v>GS &lt; 50 kW</v>
      </c>
      <c r="B49" s="2294"/>
      <c r="C49" s="356">
        <f>+'[21]2016 Test Yr On Existing Rates'!$J$10</f>
        <v>2106972.27489716</v>
      </c>
      <c r="D49" s="356">
        <f>+'[20]O1 Revenue to cost|RR'!$E$23</f>
        <v>2107773.6321178004</v>
      </c>
      <c r="E49" s="356">
        <f>+'[21]Cost Allocation Study'!$K$8</f>
        <v>2107773.6321178004</v>
      </c>
      <c r="F49" s="730">
        <f>+'[20]O1 Revenue to cost|RR'!$E$24</f>
        <v>175568.81997543195</v>
      </c>
    </row>
    <row r="50" spans="1:6" ht="25.5" customHeight="1" x14ac:dyDescent="0.2">
      <c r="A50" s="2293" t="str">
        <f t="shared" si="1"/>
        <v>GS &gt; 50 kW to 999 kW</v>
      </c>
      <c r="B50" s="2294"/>
      <c r="C50" s="356">
        <f>+'[21]2016 Test Yr On Existing Rates'!$J$11</f>
        <v>1667570.166351781</v>
      </c>
      <c r="D50" s="356">
        <f>+'[20]O1 Revenue to cost|RR'!$F$23</f>
        <v>1668204.4031709607</v>
      </c>
      <c r="E50" s="356">
        <f>+'[21]Cost Allocation Study'!$K$9</f>
        <v>1896274.227450914</v>
      </c>
      <c r="F50" s="730">
        <f>+'[20]O1 Revenue to cost|RR'!$F$24</f>
        <v>122653.00732417213</v>
      </c>
    </row>
    <row r="51" spans="1:6" x14ac:dyDescent="0.2">
      <c r="A51" s="2293" t="str">
        <f t="shared" si="1"/>
        <v>GS &gt; 1,000 kW to 4,999 kW</v>
      </c>
      <c r="B51" s="2294"/>
      <c r="C51" s="356">
        <f>+'[21]2016 Test Yr On Existing Rates'!$J$12</f>
        <v>701914.51255948027</v>
      </c>
      <c r="D51" s="356">
        <f>+'[20]O1 Revenue to cost|RR'!$H$23</f>
        <v>702181.47585539694</v>
      </c>
      <c r="E51" s="356">
        <f>+'[21]Cost Allocation Study'!$K$10</f>
        <v>477715.51849307591</v>
      </c>
      <c r="F51" s="730">
        <f>+'[20]O1 Revenue to cost|RR'!$H$24</f>
        <v>27897.840502989875</v>
      </c>
    </row>
    <row r="52" spans="1:6" x14ac:dyDescent="0.2">
      <c r="A52" s="2293" t="str">
        <f t="shared" si="1"/>
        <v>Large User</v>
      </c>
      <c r="B52" s="2294"/>
      <c r="C52" s="356">
        <f>+'[21]2016 Test Yr On Existing Rates'!$J$13</f>
        <v>720118.07355197659</v>
      </c>
      <c r="D52" s="356">
        <f>+'[20]O1 Revenue to cost|RR'!$I$23</f>
        <v>720391.96031585569</v>
      </c>
      <c r="E52" s="356">
        <f>+'[21]Cost Allocation Study'!$K$11</f>
        <v>468597.9310379118</v>
      </c>
      <c r="F52" s="730">
        <f>+'[20]O1 Revenue to cost|RR'!$I$24</f>
        <v>32924.570166202575</v>
      </c>
    </row>
    <row r="53" spans="1:6" x14ac:dyDescent="0.2">
      <c r="A53" s="2293" t="str">
        <f t="shared" si="1"/>
        <v>Street Lighting</v>
      </c>
      <c r="B53" s="2294"/>
      <c r="C53" s="356">
        <f>+'[21]2016 Test Yr On Existing Rates'!$J$15</f>
        <v>286326.35032468091</v>
      </c>
      <c r="D53" s="356">
        <f>+'[20]O1 Revenue to cost|RR'!$J$23</f>
        <v>286435.25051811297</v>
      </c>
      <c r="E53" s="356">
        <f>+'[21]Cost Allocation Study'!$K$13</f>
        <v>337478.1077652761</v>
      </c>
      <c r="F53" s="730">
        <f>+'[20]O1 Revenue to cost|RR'!$J$24</f>
        <v>22788.02087633327</v>
      </c>
    </row>
    <row r="54" spans="1:6" x14ac:dyDescent="0.2">
      <c r="A54" s="2293" t="str">
        <f t="shared" si="1"/>
        <v>Sentinel Lighting</v>
      </c>
      <c r="B54" s="2294"/>
      <c r="C54" s="356">
        <f>+'[21]2016 Test Yr On Existing Rates'!$J$14</f>
        <v>14583.815601521776</v>
      </c>
      <c r="D54" s="356">
        <f>+'[20]O1 Revenue to cost|RR'!$K$23</f>
        <v>14589.362350321466</v>
      </c>
      <c r="E54" s="356">
        <f>+'[21]Cost Allocation Study'!$K$12</f>
        <v>20652.522744592494</v>
      </c>
      <c r="F54" s="730">
        <f>+'[20]O1 Revenue to cost|RR'!$K$24</f>
        <v>8456.2197720019431</v>
      </c>
    </row>
    <row r="55" spans="1:6" x14ac:dyDescent="0.2">
      <c r="A55" s="2293" t="str">
        <f t="shared" si="1"/>
        <v>Unmetered Scattered Load (USL)</v>
      </c>
      <c r="B55" s="2294"/>
      <c r="C55" s="356">
        <f>+'[21]2016 Test Yr On Existing Rates'!$J$16</f>
        <v>34989.577317999996</v>
      </c>
      <c r="D55" s="356">
        <f>+'[20]O1 Revenue to cost|RR'!$L$23</f>
        <v>35002.885110781615</v>
      </c>
      <c r="E55" s="356">
        <f>+'[21]Cost Allocation Study'!$K$14</f>
        <v>35002.885110781615</v>
      </c>
      <c r="F55" s="730">
        <f>+'[20]O1 Revenue to cost|RR'!$L$24</f>
        <v>6358.8591506413468</v>
      </c>
    </row>
    <row r="56" spans="1:6" x14ac:dyDescent="0.2">
      <c r="A56" s="2293" t="str">
        <f t="shared" si="1"/>
        <v>Other class, if applicable</v>
      </c>
      <c r="B56" s="2294"/>
      <c r="C56" s="356"/>
      <c r="D56" s="356"/>
      <c r="E56" s="356"/>
      <c r="F56" s="730"/>
    </row>
    <row r="57" spans="1:6" x14ac:dyDescent="0.2">
      <c r="A57" s="2308"/>
      <c r="B57" s="2309"/>
      <c r="C57" s="356"/>
      <c r="D57" s="356"/>
      <c r="E57" s="356"/>
      <c r="F57" s="730"/>
    </row>
    <row r="58" spans="1:6" ht="13.5" thickBot="1" x14ac:dyDescent="0.25">
      <c r="A58" s="2310" t="str">
        <f>A27</f>
        <v>Embedded distributor class</v>
      </c>
      <c r="B58" s="2311"/>
      <c r="C58" s="953"/>
      <c r="D58" s="953"/>
      <c r="E58" s="953"/>
      <c r="F58" s="1111"/>
    </row>
    <row r="59" spans="1:6" ht="13.5" thickTop="1" x14ac:dyDescent="0.2">
      <c r="A59" s="2312" t="str">
        <f>A28</f>
        <v>Total</v>
      </c>
      <c r="B59" s="2313"/>
      <c r="C59" s="1112">
        <f>SUM(C48:C58)</f>
        <v>16299875.792926094</v>
      </c>
      <c r="D59" s="1112">
        <f>SUM(D48:D58)</f>
        <v>16306075.22104284</v>
      </c>
      <c r="E59" s="1112">
        <f>SUM(E48:E58)</f>
        <v>16306076.092278333</v>
      </c>
      <c r="F59" s="1113">
        <f>SUM(F48:F58)</f>
        <v>1930835.75</v>
      </c>
    </row>
    <row r="60" spans="1:6" x14ac:dyDescent="0.2">
      <c r="D60" s="1897"/>
    </row>
    <row r="61" spans="1:6" x14ac:dyDescent="0.2">
      <c r="A61" s="252" t="s">
        <v>13</v>
      </c>
      <c r="B61" s="264"/>
      <c r="C61" s="264"/>
      <c r="D61" s="264"/>
      <c r="E61" s="264"/>
      <c r="F61" s="264"/>
    </row>
    <row r="62" spans="1:6" x14ac:dyDescent="0.2">
      <c r="A62" s="264"/>
      <c r="B62" s="264"/>
      <c r="C62" s="264"/>
      <c r="D62" s="264"/>
      <c r="E62" s="264"/>
      <c r="F62" s="264"/>
    </row>
    <row r="63" spans="1:6" ht="12.75" customHeight="1" x14ac:dyDescent="0.2">
      <c r="A63" s="2186" t="s">
        <v>551</v>
      </c>
      <c r="B63" s="2186"/>
      <c r="C63" s="2186"/>
      <c r="D63" s="2186"/>
      <c r="E63" s="2186"/>
      <c r="F63" s="2186"/>
    </row>
    <row r="64" spans="1:6" ht="27.75" customHeight="1" x14ac:dyDescent="0.2">
      <c r="A64" s="2186"/>
      <c r="B64" s="2186"/>
      <c r="C64" s="2186"/>
      <c r="D64" s="2186"/>
      <c r="E64" s="2186"/>
      <c r="F64" s="2186"/>
    </row>
    <row r="65" spans="1:12" ht="12.75" customHeight="1" x14ac:dyDescent="0.2">
      <c r="A65" s="1107"/>
      <c r="B65" s="1107"/>
      <c r="C65" s="1107"/>
      <c r="D65" s="1107"/>
      <c r="E65" s="1107"/>
      <c r="F65" s="1107"/>
      <c r="H65" s="666"/>
      <c r="I65" s="666"/>
      <c r="J65" s="666"/>
      <c r="K65" s="666"/>
      <c r="L65" s="666"/>
    </row>
    <row r="66" spans="1:12" x14ac:dyDescent="0.2">
      <c r="A66" s="2305" t="s">
        <v>552</v>
      </c>
      <c r="B66" s="2305"/>
      <c r="C66" s="2305"/>
      <c r="D66" s="2305"/>
      <c r="E66" s="2305"/>
      <c r="F66" s="2305"/>
      <c r="H66" s="666"/>
      <c r="I66" s="666"/>
      <c r="J66" s="666"/>
      <c r="K66" s="666"/>
      <c r="L66" s="666"/>
    </row>
    <row r="67" spans="1:12" x14ac:dyDescent="0.2">
      <c r="A67" s="1114"/>
      <c r="B67" s="264"/>
      <c r="C67" s="264"/>
      <c r="D67" s="264"/>
      <c r="E67" s="264"/>
      <c r="F67" s="264"/>
      <c r="H67" s="666"/>
      <c r="I67" s="666"/>
      <c r="J67" s="666"/>
      <c r="K67" s="666"/>
      <c r="L67" s="666"/>
    </row>
    <row r="68" spans="1:12" ht="12.75" customHeight="1" x14ac:dyDescent="0.2">
      <c r="A68" s="2120" t="s">
        <v>553</v>
      </c>
      <c r="B68" s="2120"/>
      <c r="C68" s="2120"/>
      <c r="D68" s="2120"/>
      <c r="E68" s="2120"/>
      <c r="F68" s="2120"/>
      <c r="H68" s="1115"/>
      <c r="I68" s="666"/>
      <c r="J68" s="666"/>
      <c r="K68" s="666"/>
      <c r="L68" s="666"/>
    </row>
    <row r="69" spans="1:12" x14ac:dyDescent="0.2">
      <c r="A69" s="2120"/>
      <c r="B69" s="2120"/>
      <c r="C69" s="2120"/>
      <c r="D69" s="2120"/>
      <c r="E69" s="2120"/>
      <c r="F69" s="2120"/>
    </row>
    <row r="70" spans="1:12" x14ac:dyDescent="0.2">
      <c r="A70" s="264"/>
      <c r="B70" s="264"/>
      <c r="C70" s="264"/>
      <c r="D70" s="264"/>
      <c r="E70" s="264"/>
      <c r="F70" s="264"/>
    </row>
    <row r="71" spans="1:12" ht="12.75" customHeight="1" x14ac:dyDescent="0.2">
      <c r="A71" s="2120" t="s">
        <v>554</v>
      </c>
      <c r="B71" s="2120"/>
      <c r="C71" s="2120"/>
      <c r="D71" s="2120"/>
      <c r="E71" s="2120"/>
      <c r="F71" s="2120"/>
    </row>
    <row r="72" spans="1:12" x14ac:dyDescent="0.2">
      <c r="A72" s="2120"/>
      <c r="B72" s="2120"/>
      <c r="C72" s="2120"/>
      <c r="D72" s="2120"/>
      <c r="E72" s="2120"/>
      <c r="F72" s="2120"/>
    </row>
    <row r="73" spans="1:12" x14ac:dyDescent="0.2">
      <c r="A73" s="1116"/>
      <c r="B73" s="1116"/>
      <c r="C73" s="1116"/>
      <c r="D73" s="1116"/>
      <c r="E73" s="1116"/>
      <c r="F73" s="1116"/>
    </row>
    <row r="74" spans="1:12" x14ac:dyDescent="0.2">
      <c r="A74" s="252" t="s">
        <v>555</v>
      </c>
      <c r="B74" s="264"/>
      <c r="C74" s="264"/>
      <c r="D74" s="264"/>
      <c r="E74" s="264"/>
      <c r="F74" s="264"/>
    </row>
    <row r="75" spans="1:12" ht="24" customHeight="1" thickBot="1" x14ac:dyDescent="0.25">
      <c r="A75" s="264"/>
      <c r="B75" s="264"/>
      <c r="C75" s="264"/>
      <c r="D75" s="264"/>
      <c r="E75" s="264"/>
      <c r="F75" s="264"/>
    </row>
    <row r="76" spans="1:12" ht="29.25" customHeight="1" x14ac:dyDescent="0.2">
      <c r="A76" s="2318" t="s">
        <v>313</v>
      </c>
      <c r="B76" s="2319"/>
      <c r="C76" s="1908" t="s">
        <v>314</v>
      </c>
      <c r="D76" s="1908" t="s">
        <v>316</v>
      </c>
      <c r="E76" s="1810" t="s">
        <v>317</v>
      </c>
      <c r="F76" s="2322" t="s">
        <v>318</v>
      </c>
    </row>
    <row r="77" spans="1:12" ht="25.5" x14ac:dyDescent="0.2">
      <c r="A77" s="2320"/>
      <c r="B77" s="2321"/>
      <c r="C77" s="1909" t="s">
        <v>315</v>
      </c>
      <c r="D77" s="2325" t="s">
        <v>144</v>
      </c>
      <c r="E77" s="2300" t="s">
        <v>145</v>
      </c>
      <c r="F77" s="2323"/>
    </row>
    <row r="78" spans="1:12" ht="18" customHeight="1" x14ac:dyDescent="0.2">
      <c r="A78" s="2320"/>
      <c r="B78" s="2321"/>
      <c r="C78" s="1910">
        <v>2012</v>
      </c>
      <c r="D78" s="2325"/>
      <c r="E78" s="2300"/>
      <c r="F78" s="2324"/>
    </row>
    <row r="79" spans="1:12" x14ac:dyDescent="0.2">
      <c r="A79" s="2326"/>
      <c r="B79" s="2327"/>
      <c r="C79" s="1117" t="s">
        <v>218</v>
      </c>
      <c r="D79" s="1118" t="s">
        <v>218</v>
      </c>
      <c r="E79" s="1118" t="s">
        <v>218</v>
      </c>
      <c r="F79" s="1119" t="s">
        <v>218</v>
      </c>
    </row>
    <row r="80" spans="1:12" x14ac:dyDescent="0.2">
      <c r="A80" s="2172" t="str">
        <f t="shared" ref="A80:A88" si="2">A48</f>
        <v>Residential</v>
      </c>
      <c r="B80" s="2173"/>
      <c r="C80" s="1120">
        <v>104.4</v>
      </c>
      <c r="D80" s="1121">
        <f>IF(D17=0,"",(D48+F48)/D17*100)</f>
        <v>96.336768945412231</v>
      </c>
      <c r="E80" s="1121">
        <f t="shared" ref="E80:E90" si="3">IF(D17=0,"",(E48+F48)/D17*100)</f>
        <v>97.832704647797485</v>
      </c>
      <c r="F80" s="1087" t="s">
        <v>319</v>
      </c>
    </row>
    <row r="81" spans="1:6" x14ac:dyDescent="0.2">
      <c r="A81" s="2172" t="str">
        <f t="shared" si="2"/>
        <v>GS &lt; 50 kW</v>
      </c>
      <c r="B81" s="2173"/>
      <c r="C81" s="1120">
        <v>99.2</v>
      </c>
      <c r="D81" s="1121">
        <f t="shared" ref="D81:D90" si="4">IF(D18=0,"",(D49+F49)/D18*100)</f>
        <v>109.46957042589345</v>
      </c>
      <c r="E81" s="1121">
        <f t="shared" si="3"/>
        <v>109.46957042589345</v>
      </c>
      <c r="F81" s="1087" t="s">
        <v>320</v>
      </c>
    </row>
    <row r="82" spans="1:6" ht="26.25" customHeight="1" x14ac:dyDescent="0.2">
      <c r="A82" s="2306" t="str">
        <f t="shared" si="2"/>
        <v>GS &gt; 50 kW to 999 kW</v>
      </c>
      <c r="B82" s="2307"/>
      <c r="C82" s="1120">
        <v>83.8</v>
      </c>
      <c r="D82" s="1121">
        <f t="shared" si="4"/>
        <v>86.780950343070671</v>
      </c>
      <c r="E82" s="1121">
        <f t="shared" si="3"/>
        <v>97.83270464779747</v>
      </c>
      <c r="F82" s="1087" t="s">
        <v>320</v>
      </c>
    </row>
    <row r="83" spans="1:6" x14ac:dyDescent="0.2">
      <c r="A83" s="2172" t="str">
        <f t="shared" si="2"/>
        <v>GS &gt; 1,000 kW to 4,999 kW</v>
      </c>
      <c r="B83" s="2173"/>
      <c r="C83" s="1120">
        <v>105</v>
      </c>
      <c r="D83" s="1121">
        <f t="shared" si="4"/>
        <v>173.27374050591118</v>
      </c>
      <c r="E83" s="1121">
        <f t="shared" si="3"/>
        <v>120</v>
      </c>
      <c r="F83" s="1087" t="s">
        <v>320</v>
      </c>
    </row>
    <row r="84" spans="1:6" x14ac:dyDescent="0.2">
      <c r="A84" s="2172" t="str">
        <f t="shared" si="2"/>
        <v>Large User</v>
      </c>
      <c r="B84" s="2173"/>
      <c r="C84" s="1120">
        <v>105</v>
      </c>
      <c r="D84" s="1121">
        <f t="shared" si="4"/>
        <v>172.73681798412198</v>
      </c>
      <c r="E84" s="1121">
        <f t="shared" si="3"/>
        <v>114.99999999999999</v>
      </c>
      <c r="F84" s="1087" t="s">
        <v>319</v>
      </c>
    </row>
    <row r="85" spans="1:6" x14ac:dyDescent="0.2">
      <c r="A85" s="2172" t="str">
        <f t="shared" si="2"/>
        <v>Street Lighting</v>
      </c>
      <c r="B85" s="2173"/>
      <c r="C85" s="1120">
        <v>70</v>
      </c>
      <c r="D85" s="1121">
        <f t="shared" si="4"/>
        <v>83.971671426966807</v>
      </c>
      <c r="E85" s="1121">
        <f t="shared" si="3"/>
        <v>97.83270464779747</v>
      </c>
      <c r="F85" s="1087" t="s">
        <v>320</v>
      </c>
    </row>
    <row r="86" spans="1:6" x14ac:dyDescent="0.2">
      <c r="A86" s="2172" t="str">
        <f t="shared" si="2"/>
        <v>Sentinel Lighting</v>
      </c>
      <c r="B86" s="2173"/>
      <c r="C86" s="1120">
        <v>70</v>
      </c>
      <c r="D86" s="1121">
        <f t="shared" si="4"/>
        <v>47.502393019936498</v>
      </c>
      <c r="E86" s="1121">
        <f t="shared" si="3"/>
        <v>60</v>
      </c>
      <c r="F86" s="1087" t="s">
        <v>320</v>
      </c>
    </row>
    <row r="87" spans="1:6" x14ac:dyDescent="0.2">
      <c r="A87" s="2306" t="str">
        <f t="shared" si="2"/>
        <v>Unmetered Scattered Load (USL)</v>
      </c>
      <c r="B87" s="2307"/>
      <c r="C87" s="1120">
        <v>105</v>
      </c>
      <c r="D87" s="1121">
        <f t="shared" si="4"/>
        <v>104.42211877537548</v>
      </c>
      <c r="E87" s="1121">
        <f t="shared" si="3"/>
        <v>104.42211877537548</v>
      </c>
      <c r="F87" s="1087" t="s">
        <v>320</v>
      </c>
    </row>
    <row r="88" spans="1:6" x14ac:dyDescent="0.2">
      <c r="A88" s="2172" t="str">
        <f t="shared" si="2"/>
        <v>Other class, if applicable</v>
      </c>
      <c r="B88" s="2173"/>
      <c r="C88" s="1120"/>
      <c r="D88" s="1121" t="str">
        <f t="shared" si="4"/>
        <v/>
      </c>
      <c r="E88" s="1121" t="str">
        <f t="shared" si="3"/>
        <v/>
      </c>
      <c r="F88" s="737"/>
    </row>
    <row r="89" spans="1:6" x14ac:dyDescent="0.2">
      <c r="A89" s="2314"/>
      <c r="B89" s="2315"/>
      <c r="C89" s="1120"/>
      <c r="D89" s="1121" t="str">
        <f t="shared" si="4"/>
        <v/>
      </c>
      <c r="E89" s="1121" t="str">
        <f t="shared" si="3"/>
        <v/>
      </c>
      <c r="F89" s="737"/>
    </row>
    <row r="90" spans="1:6" ht="13.5" thickBot="1" x14ac:dyDescent="0.25">
      <c r="A90" s="2316" t="str">
        <f>A58</f>
        <v>Embedded distributor class</v>
      </c>
      <c r="B90" s="2317"/>
      <c r="C90" s="1122"/>
      <c r="D90" s="1123" t="str">
        <f t="shared" si="4"/>
        <v/>
      </c>
      <c r="E90" s="1123" t="str">
        <f t="shared" si="3"/>
        <v/>
      </c>
      <c r="F90" s="1124"/>
    </row>
    <row r="92" spans="1:6" x14ac:dyDescent="0.2">
      <c r="A92" s="252" t="s">
        <v>13</v>
      </c>
      <c r="B92" s="264"/>
      <c r="C92" s="264"/>
      <c r="D92" s="264"/>
      <c r="E92" s="264"/>
      <c r="F92" s="264"/>
    </row>
    <row r="93" spans="1:6" x14ac:dyDescent="0.2">
      <c r="A93" s="264"/>
      <c r="B93" s="264"/>
      <c r="C93" s="264"/>
      <c r="D93" s="264"/>
      <c r="E93" s="264"/>
      <c r="F93" s="264"/>
    </row>
    <row r="94" spans="1:6" ht="25.5" customHeight="1" x14ac:dyDescent="0.2">
      <c r="A94" s="2186" t="s">
        <v>796</v>
      </c>
      <c r="B94" s="2186"/>
      <c r="C94" s="2186"/>
      <c r="D94" s="2186"/>
      <c r="E94" s="2186"/>
      <c r="F94" s="2186"/>
    </row>
    <row r="95" spans="1:6" ht="17.25" customHeight="1" x14ac:dyDescent="0.2">
      <c r="A95" s="2186"/>
      <c r="B95" s="2186"/>
      <c r="C95" s="2186"/>
      <c r="D95" s="2186"/>
      <c r="E95" s="2186"/>
      <c r="F95" s="2186"/>
    </row>
    <row r="96" spans="1:6" ht="12.75" customHeight="1" x14ac:dyDescent="0.2">
      <c r="A96" s="1507"/>
      <c r="B96" s="1507"/>
      <c r="C96" s="1507"/>
      <c r="D96" s="1507"/>
      <c r="E96" s="1507"/>
      <c r="F96" s="1507"/>
    </row>
    <row r="97" spans="1:6" ht="25.5" customHeight="1" x14ac:dyDescent="0.2">
      <c r="A97" s="2120" t="s">
        <v>556</v>
      </c>
      <c r="B97" s="2120"/>
      <c r="C97" s="2120"/>
      <c r="D97" s="2120"/>
      <c r="E97" s="2120"/>
      <c r="F97" s="2120"/>
    </row>
    <row r="98" spans="1:6" x14ac:dyDescent="0.2">
      <c r="A98" s="264"/>
      <c r="B98" s="264"/>
      <c r="C98" s="264"/>
      <c r="D98" s="264"/>
      <c r="E98" s="264"/>
      <c r="F98" s="264"/>
    </row>
    <row r="99" spans="1:6" x14ac:dyDescent="0.2">
      <c r="A99" s="1125" t="s">
        <v>557</v>
      </c>
      <c r="B99" s="1075"/>
      <c r="C99" s="1075"/>
      <c r="D99" s="1075"/>
      <c r="E99" s="1075"/>
      <c r="F99" s="1075"/>
    </row>
    <row r="100" spans="1:6" ht="13.5" thickBot="1" x14ac:dyDescent="0.25"/>
    <row r="101" spans="1:6" x14ac:dyDescent="0.2">
      <c r="A101" s="2328" t="s">
        <v>313</v>
      </c>
      <c r="B101" s="2329"/>
      <c r="C101" s="2332" t="s">
        <v>323</v>
      </c>
      <c r="D101" s="2332"/>
      <c r="E101" s="2332"/>
      <c r="F101" s="2322" t="s">
        <v>318</v>
      </c>
    </row>
    <row r="102" spans="1:6" x14ac:dyDescent="0.2">
      <c r="A102" s="2330"/>
      <c r="B102" s="2331"/>
      <c r="C102" s="746">
        <f>TestYear</f>
        <v>2016</v>
      </c>
      <c r="D102" s="746">
        <f>C102+1</f>
        <v>2017</v>
      </c>
      <c r="E102" s="746">
        <f>D102+1</f>
        <v>2018</v>
      </c>
      <c r="F102" s="2333"/>
    </row>
    <row r="103" spans="1:6" x14ac:dyDescent="0.2">
      <c r="A103" s="2330"/>
      <c r="B103" s="2331"/>
      <c r="C103" s="746" t="s">
        <v>218</v>
      </c>
      <c r="D103" s="746" t="s">
        <v>218</v>
      </c>
      <c r="E103" s="746" t="s">
        <v>218</v>
      </c>
      <c r="F103" s="747" t="s">
        <v>218</v>
      </c>
    </row>
    <row r="104" spans="1:6" x14ac:dyDescent="0.2">
      <c r="A104" s="2293" t="str">
        <f>A80</f>
        <v>Residential</v>
      </c>
      <c r="B104" s="2294"/>
      <c r="C104" s="1126">
        <f>E80</f>
        <v>97.832704647797485</v>
      </c>
      <c r="D104" s="1797">
        <f>+C104</f>
        <v>97.832704647797485</v>
      </c>
      <c r="E104" s="1797">
        <f>+C104</f>
        <v>97.832704647797485</v>
      </c>
      <c r="F104" s="1127" t="str">
        <f>F80</f>
        <v>85 - 115</v>
      </c>
    </row>
    <row r="105" spans="1:6" x14ac:dyDescent="0.2">
      <c r="A105" s="2293" t="str">
        <f t="shared" ref="A105:A114" si="5">A81</f>
        <v>GS &lt; 50 kW</v>
      </c>
      <c r="B105" s="2294"/>
      <c r="C105" s="1126">
        <f t="shared" ref="C105:C114" si="6">E81</f>
        <v>109.46957042589345</v>
      </c>
      <c r="D105" s="1797">
        <f t="shared" ref="D105:D111" si="7">+C105</f>
        <v>109.46957042589345</v>
      </c>
      <c r="E105" s="1797">
        <f t="shared" ref="E105:E111" si="8">+C105</f>
        <v>109.46957042589345</v>
      </c>
      <c r="F105" s="1127" t="str">
        <f t="shared" ref="F105:F111" si="9">F81</f>
        <v>80 - 120</v>
      </c>
    </row>
    <row r="106" spans="1:6" ht="24" customHeight="1" x14ac:dyDescent="0.2">
      <c r="A106" s="2293" t="str">
        <f t="shared" si="5"/>
        <v>GS &gt; 50 kW to 999 kW</v>
      </c>
      <c r="B106" s="2294"/>
      <c r="C106" s="1126">
        <f t="shared" si="6"/>
        <v>97.83270464779747</v>
      </c>
      <c r="D106" s="1797">
        <f t="shared" si="7"/>
        <v>97.83270464779747</v>
      </c>
      <c r="E106" s="1797">
        <f t="shared" si="8"/>
        <v>97.83270464779747</v>
      </c>
      <c r="F106" s="1127" t="str">
        <f t="shared" si="9"/>
        <v>80 - 120</v>
      </c>
    </row>
    <row r="107" spans="1:6" x14ac:dyDescent="0.2">
      <c r="A107" s="2293" t="str">
        <f t="shared" si="5"/>
        <v>GS &gt; 1,000 kW to 4,999 kW</v>
      </c>
      <c r="B107" s="2294"/>
      <c r="C107" s="1126">
        <f t="shared" si="6"/>
        <v>120</v>
      </c>
      <c r="D107" s="1797">
        <f t="shared" si="7"/>
        <v>120</v>
      </c>
      <c r="E107" s="1797">
        <f t="shared" si="8"/>
        <v>120</v>
      </c>
      <c r="F107" s="1127" t="str">
        <f t="shared" si="9"/>
        <v>80 - 120</v>
      </c>
    </row>
    <row r="108" spans="1:6" x14ac:dyDescent="0.2">
      <c r="A108" s="2293" t="str">
        <f t="shared" si="5"/>
        <v>Large User</v>
      </c>
      <c r="B108" s="2294"/>
      <c r="C108" s="1126">
        <f t="shared" si="6"/>
        <v>114.99999999999999</v>
      </c>
      <c r="D108" s="1797">
        <f t="shared" si="7"/>
        <v>114.99999999999999</v>
      </c>
      <c r="E108" s="1797">
        <f t="shared" si="8"/>
        <v>114.99999999999999</v>
      </c>
      <c r="F108" s="1127" t="str">
        <f t="shared" si="9"/>
        <v>85 - 115</v>
      </c>
    </row>
    <row r="109" spans="1:6" x14ac:dyDescent="0.2">
      <c r="A109" s="2293" t="str">
        <f t="shared" si="5"/>
        <v>Street Lighting</v>
      </c>
      <c r="B109" s="2294"/>
      <c r="C109" s="1126">
        <f t="shared" si="6"/>
        <v>97.83270464779747</v>
      </c>
      <c r="D109" s="1797">
        <f t="shared" si="7"/>
        <v>97.83270464779747</v>
      </c>
      <c r="E109" s="1797">
        <f t="shared" si="8"/>
        <v>97.83270464779747</v>
      </c>
      <c r="F109" s="1127" t="str">
        <f t="shared" si="9"/>
        <v>80 - 120</v>
      </c>
    </row>
    <row r="110" spans="1:6" x14ac:dyDescent="0.2">
      <c r="A110" s="2293" t="str">
        <f t="shared" si="5"/>
        <v>Sentinel Lighting</v>
      </c>
      <c r="B110" s="2294"/>
      <c r="C110" s="1126">
        <f t="shared" si="6"/>
        <v>60</v>
      </c>
      <c r="D110" s="1797">
        <f t="shared" si="7"/>
        <v>60</v>
      </c>
      <c r="E110" s="1797">
        <f t="shared" si="8"/>
        <v>60</v>
      </c>
      <c r="F110" s="1127" t="str">
        <f t="shared" si="9"/>
        <v>80 - 120</v>
      </c>
    </row>
    <row r="111" spans="1:6" ht="12.75" customHeight="1" x14ac:dyDescent="0.2">
      <c r="A111" s="2293" t="str">
        <f t="shared" si="5"/>
        <v>Unmetered Scattered Load (USL)</v>
      </c>
      <c r="B111" s="2294"/>
      <c r="C111" s="1126">
        <f t="shared" si="6"/>
        <v>104.42211877537548</v>
      </c>
      <c r="D111" s="1797">
        <f t="shared" si="7"/>
        <v>104.42211877537548</v>
      </c>
      <c r="E111" s="1797">
        <f t="shared" si="8"/>
        <v>104.42211877537548</v>
      </c>
      <c r="F111" s="1127" t="str">
        <f t="shared" si="9"/>
        <v>80 - 120</v>
      </c>
    </row>
    <row r="112" spans="1:6" x14ac:dyDescent="0.2">
      <c r="A112" s="2293" t="str">
        <f t="shared" si="5"/>
        <v>Other class, if applicable</v>
      </c>
      <c r="B112" s="2294"/>
      <c r="C112" s="1126" t="str">
        <f t="shared" si="6"/>
        <v/>
      </c>
      <c r="D112" s="736"/>
      <c r="E112" s="736"/>
      <c r="F112" s="1128">
        <f>F88</f>
        <v>0</v>
      </c>
    </row>
    <row r="113" spans="1:6" x14ac:dyDescent="0.2">
      <c r="A113" s="2293"/>
      <c r="B113" s="2294"/>
      <c r="C113" s="1126" t="str">
        <f t="shared" si="6"/>
        <v/>
      </c>
      <c r="D113" s="736"/>
      <c r="E113" s="736"/>
      <c r="F113" s="1128">
        <f>F89</f>
        <v>0</v>
      </c>
    </row>
    <row r="114" spans="1:6" ht="13.5" customHeight="1" thickBot="1" x14ac:dyDescent="0.25">
      <c r="A114" s="2334" t="str">
        <f t="shared" si="5"/>
        <v>Embedded distributor class</v>
      </c>
      <c r="B114" s="2335"/>
      <c r="C114" s="1129" t="str">
        <f t="shared" si="6"/>
        <v/>
      </c>
      <c r="D114" s="1032"/>
      <c r="E114" s="1032"/>
      <c r="F114" s="1130"/>
    </row>
    <row r="116" spans="1:6" ht="12.75" customHeight="1" x14ac:dyDescent="0.2">
      <c r="A116" s="252" t="s">
        <v>164</v>
      </c>
    </row>
    <row r="117" spans="1:6" ht="12.75" customHeight="1" x14ac:dyDescent="0.2">
      <c r="A117" s="252"/>
    </row>
    <row r="118" spans="1:6" ht="12.75" customHeight="1" x14ac:dyDescent="0.2">
      <c r="A118" s="2186" t="s">
        <v>1979</v>
      </c>
      <c r="B118" s="2186"/>
      <c r="C118" s="2186"/>
      <c r="D118" s="2186"/>
      <c r="E118" s="2186"/>
      <c r="F118" s="2186"/>
    </row>
    <row r="119" spans="1:6" x14ac:dyDescent="0.2">
      <c r="A119" s="2186"/>
      <c r="B119" s="2186"/>
      <c r="C119" s="2186"/>
      <c r="D119" s="2186"/>
      <c r="E119" s="2186"/>
      <c r="F119" s="2186"/>
    </row>
    <row r="120" spans="1:6" ht="20.25" customHeight="1" x14ac:dyDescent="0.2">
      <c r="A120" s="2186"/>
      <c r="B120" s="2186"/>
      <c r="C120" s="2186"/>
      <c r="D120" s="2186"/>
      <c r="E120" s="2186"/>
      <c r="F120" s="2186"/>
    </row>
    <row r="121" spans="1:6" ht="16.5" customHeight="1" x14ac:dyDescent="0.2">
      <c r="A121" s="2186"/>
      <c r="B121" s="2186"/>
      <c r="C121" s="2186"/>
      <c r="D121" s="2186"/>
      <c r="E121" s="2186"/>
      <c r="F121" s="2186"/>
    </row>
    <row r="123" spans="1:6" x14ac:dyDescent="0.2">
      <c r="A123" s="2237"/>
      <c r="B123" s="2237"/>
      <c r="C123" s="2237"/>
      <c r="D123" s="2237"/>
      <c r="E123" s="2237"/>
      <c r="F123" s="2237"/>
    </row>
    <row r="124" spans="1:6" x14ac:dyDescent="0.2">
      <c r="A124" s="2237"/>
      <c r="B124" s="2237"/>
      <c r="C124" s="2237"/>
      <c r="D124" s="2237"/>
      <c r="E124" s="2237"/>
      <c r="F124" s="2237"/>
    </row>
    <row r="125" spans="1:6" x14ac:dyDescent="0.2">
      <c r="A125" s="2237"/>
      <c r="B125" s="2237"/>
      <c r="C125" s="2237"/>
      <c r="D125" s="2237"/>
      <c r="E125" s="2237"/>
      <c r="F125" s="2237"/>
    </row>
  </sheetData>
  <mergeCells count="62">
    <mergeCell ref="A114:B114"/>
    <mergeCell ref="A123:F125"/>
    <mergeCell ref="A107:B107"/>
    <mergeCell ref="A108:B108"/>
    <mergeCell ref="A109:B109"/>
    <mergeCell ref="A110:B110"/>
    <mergeCell ref="A111:B111"/>
    <mergeCell ref="A112:B112"/>
    <mergeCell ref="A118:F121"/>
    <mergeCell ref="A113:B113"/>
    <mergeCell ref="A106:B106"/>
    <mergeCell ref="A101:B103"/>
    <mergeCell ref="C101:E101"/>
    <mergeCell ref="F101:F102"/>
    <mergeCell ref="A104:B104"/>
    <mergeCell ref="A87:B87"/>
    <mergeCell ref="A88:B88"/>
    <mergeCell ref="A89:B89"/>
    <mergeCell ref="A68:F69"/>
    <mergeCell ref="A105:B105"/>
    <mergeCell ref="A71:F72"/>
    <mergeCell ref="A94:F95"/>
    <mergeCell ref="A97:F97"/>
    <mergeCell ref="A90:B90"/>
    <mergeCell ref="A85:B85"/>
    <mergeCell ref="A86:B86"/>
    <mergeCell ref="A76:B78"/>
    <mergeCell ref="F76:F78"/>
    <mergeCell ref="D77:D78"/>
    <mergeCell ref="E77:E78"/>
    <mergeCell ref="A79:B79"/>
    <mergeCell ref="A63:F64"/>
    <mergeCell ref="A55:B55"/>
    <mergeCell ref="A56:B56"/>
    <mergeCell ref="A57:B57"/>
    <mergeCell ref="A58:B58"/>
    <mergeCell ref="A59:B59"/>
    <mergeCell ref="A84:B84"/>
    <mergeCell ref="A66:F66"/>
    <mergeCell ref="A80:B80"/>
    <mergeCell ref="A81:B81"/>
    <mergeCell ref="A82:B82"/>
    <mergeCell ref="A83:B83"/>
    <mergeCell ref="B43:F43"/>
    <mergeCell ref="A45:B45"/>
    <mergeCell ref="D46:D47"/>
    <mergeCell ref="E46:E47"/>
    <mergeCell ref="F46:F47"/>
    <mergeCell ref="A53:B53"/>
    <mergeCell ref="A54:B54"/>
    <mergeCell ref="A46:B47"/>
    <mergeCell ref="C46:C47"/>
    <mergeCell ref="A49:B49"/>
    <mergeCell ref="A50:B50"/>
    <mergeCell ref="A51:B51"/>
    <mergeCell ref="A52:B52"/>
    <mergeCell ref="A48:B48"/>
    <mergeCell ref="A32:E33"/>
    <mergeCell ref="A35:E37"/>
    <mergeCell ref="A39:E40"/>
    <mergeCell ref="A9:F9"/>
    <mergeCell ref="A10:F10"/>
  </mergeCells>
  <phoneticPr fontId="17" type="noConversion"/>
  <dataValidations count="1">
    <dataValidation allowBlank="1" showInputMessage="1" showErrorMessage="1" promptTitle="Date Format" prompt="E.g:  &quot;August 1, 2011&quot;" sqref="F7"/>
  </dataValidations>
  <pageMargins left="0.74803149606299213" right="0.74803149606299213" top="0.98425196850393704" bottom="0.98425196850393704" header="0.51181102362204722" footer="0.51181102362204722"/>
  <pageSetup scale="74" fitToHeight="2" orientation="portrait" r:id="rId1"/>
  <headerFooter alignWithMargins="0"/>
  <rowBreaks count="1" manualBreakCount="1">
    <brk id="60" max="5"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61"/>
  <sheetViews>
    <sheetView showGridLines="0" topLeftCell="A29" zoomScaleNormal="100" workbookViewId="0">
      <selection activeCell="A29" sqref="A29"/>
    </sheetView>
  </sheetViews>
  <sheetFormatPr defaultRowHeight="12.75" x14ac:dyDescent="0.2"/>
  <cols>
    <col min="1" max="1" width="32" style="140" customWidth="1"/>
    <col min="2" max="2" width="21.5703125" style="140" customWidth="1"/>
    <col min="3" max="4" width="21" style="140" customWidth="1"/>
    <col min="5" max="5" width="19.7109375" style="140" customWidth="1"/>
    <col min="6" max="6" width="15" style="140" customWidth="1"/>
    <col min="7" max="16384" width="9.140625" style="140"/>
  </cols>
  <sheetData>
    <row r="1" spans="1:6" x14ac:dyDescent="0.2">
      <c r="E1" s="757" t="s">
        <v>394</v>
      </c>
      <c r="F1" s="136" t="s">
        <v>2341</v>
      </c>
    </row>
    <row r="2" spans="1:6" x14ac:dyDescent="0.2">
      <c r="E2" s="757" t="s">
        <v>395</v>
      </c>
      <c r="F2" s="136">
        <v>8</v>
      </c>
    </row>
    <row r="3" spans="1:6" x14ac:dyDescent="0.2">
      <c r="E3" s="757" t="s">
        <v>396</v>
      </c>
      <c r="F3" s="136" t="s">
        <v>2456</v>
      </c>
    </row>
    <row r="4" spans="1:6" x14ac:dyDescent="0.2">
      <c r="E4" s="757" t="s">
        <v>397</v>
      </c>
      <c r="F4" s="136" t="s">
        <v>2422</v>
      </c>
    </row>
    <row r="5" spans="1:6" x14ac:dyDescent="0.2">
      <c r="E5" s="757" t="s">
        <v>398</v>
      </c>
      <c r="F5" s="1514">
        <v>5</v>
      </c>
    </row>
    <row r="6" spans="1:6" x14ac:dyDescent="0.2">
      <c r="E6" s="757"/>
      <c r="F6" s="1513"/>
    </row>
    <row r="7" spans="1:6" x14ac:dyDescent="0.2">
      <c r="E7" s="757" t="s">
        <v>399</v>
      </c>
      <c r="F7" s="1838" t="s">
        <v>2455</v>
      </c>
    </row>
    <row r="9" spans="1:6" ht="18" x14ac:dyDescent="0.25">
      <c r="A9" s="1979" t="s">
        <v>1940</v>
      </c>
      <c r="B9" s="1979"/>
      <c r="C9" s="1979"/>
      <c r="D9" s="1979"/>
      <c r="E9" s="1979"/>
      <c r="F9" s="1979"/>
    </row>
    <row r="10" spans="1:6" ht="18" x14ac:dyDescent="0.25">
      <c r="A10" s="1979" t="s">
        <v>1941</v>
      </c>
      <c r="B10" s="1979"/>
      <c r="C10" s="1979"/>
      <c r="D10" s="1979"/>
      <c r="E10" s="1979"/>
      <c r="F10" s="1979"/>
    </row>
    <row r="12" spans="1:6" x14ac:dyDescent="0.2">
      <c r="A12" s="158" t="s">
        <v>1942</v>
      </c>
    </row>
    <row r="14" spans="1:6" x14ac:dyDescent="0.2">
      <c r="A14" s="334" t="s">
        <v>1943</v>
      </c>
      <c r="B14" s="334"/>
      <c r="D14"/>
    </row>
    <row r="15" spans="1:6" ht="13.5" thickBot="1" x14ac:dyDescent="0.25"/>
    <row r="16" spans="1:6" ht="18" customHeight="1" x14ac:dyDescent="0.2">
      <c r="A16" s="2337" t="s">
        <v>1944</v>
      </c>
      <c r="B16" s="2338"/>
      <c r="C16" s="158"/>
    </row>
    <row r="17" spans="1:5" ht="12.75" customHeight="1" x14ac:dyDescent="0.2">
      <c r="A17" s="1131" t="s">
        <v>1945</v>
      </c>
      <c r="B17" s="1132">
        <f>+'[21]Forecast Data For 2016'!$C$7</f>
        <v>33751</v>
      </c>
    </row>
    <row r="18" spans="1:5" ht="12.75" customHeight="1" thickBot="1" x14ac:dyDescent="0.25">
      <c r="A18" s="1133" t="s">
        <v>110</v>
      </c>
      <c r="B18" s="1134">
        <f>+'[21]Forecast Data For 2016'!$C$8</f>
        <v>311504507.10565919</v>
      </c>
    </row>
    <row r="19" spans="1:5" ht="12.75" customHeight="1" thickBot="1" x14ac:dyDescent="0.25"/>
    <row r="20" spans="1:5" ht="33.75" customHeight="1" thickBot="1" x14ac:dyDescent="0.25">
      <c r="A20" s="1135" t="s">
        <v>1946</v>
      </c>
      <c r="B20" s="1136">
        <f>+'[21]Cost Allocation Study'!$K$7</f>
        <v>10962581.267557979</v>
      </c>
    </row>
    <row r="21" spans="1:5" ht="12.75" customHeight="1" thickBot="1" x14ac:dyDescent="0.25"/>
    <row r="22" spans="1:5" ht="15.75" customHeight="1" x14ac:dyDescent="0.2">
      <c r="A22" s="2337" t="s">
        <v>1947</v>
      </c>
      <c r="B22" s="2338"/>
    </row>
    <row r="23" spans="1:5" ht="12.75" customHeight="1" x14ac:dyDescent="0.2">
      <c r="A23" s="1131" t="s">
        <v>1948</v>
      </c>
      <c r="B23" s="1137">
        <v>15.51</v>
      </c>
    </row>
    <row r="24" spans="1:5" ht="12.75" customHeight="1" thickBot="1" x14ac:dyDescent="0.25">
      <c r="A24" s="1133" t="s">
        <v>1949</v>
      </c>
      <c r="B24" s="1138">
        <v>1.44E-2</v>
      </c>
    </row>
    <row r="25" spans="1:5" ht="12.75" customHeight="1" x14ac:dyDescent="0.2"/>
    <row r="26" spans="1:5" ht="12.75" customHeight="1" x14ac:dyDescent="0.2">
      <c r="A26" s="334" t="s">
        <v>1950</v>
      </c>
    </row>
    <row r="27" spans="1:5" ht="12.75" customHeight="1" thickBot="1" x14ac:dyDescent="0.25"/>
    <row r="28" spans="1:5" ht="12.75" customHeight="1" x14ac:dyDescent="0.2">
      <c r="A28" s="1139"/>
      <c r="B28" s="1140" t="s">
        <v>1951</v>
      </c>
      <c r="C28" s="1141" t="s">
        <v>1952</v>
      </c>
      <c r="D28" s="1142" t="s">
        <v>1953</v>
      </c>
      <c r="E28" s="1506" t="s">
        <v>1954</v>
      </c>
    </row>
    <row r="29" spans="1:5" ht="12.75" customHeight="1" x14ac:dyDescent="0.2">
      <c r="A29" s="1131" t="s">
        <v>1955</v>
      </c>
      <c r="B29" s="371">
        <f>IF(B23="","",B23)</f>
        <v>15.51</v>
      </c>
      <c r="C29" s="1143">
        <f>IF(B17="","",B17)</f>
        <v>33751</v>
      </c>
      <c r="D29" s="1144">
        <f>IF(ISERROR(B29*C29*12),"",B29*C29*12)</f>
        <v>6281736.1200000001</v>
      </c>
      <c r="E29" s="1100">
        <f>IF(ISERROR(D29/D31),"",D29/D31)</f>
        <v>0.58340319144588093</v>
      </c>
    </row>
    <row r="30" spans="1:5" ht="12.75" customHeight="1" x14ac:dyDescent="0.2">
      <c r="A30" s="1131" t="s">
        <v>1956</v>
      </c>
      <c r="B30" s="371">
        <f>IF(B24="","",B24)</f>
        <v>1.44E-2</v>
      </c>
      <c r="C30" s="1145">
        <f>IF(B18="","",B18)</f>
        <v>311504507.10565919</v>
      </c>
      <c r="D30" s="1144">
        <f>IF(ISERROR(B30*C30),"",B30*C30)</f>
        <v>4485664.9023214923</v>
      </c>
      <c r="E30" s="1100">
        <f>IF(ISERROR(D30/D31),"",D30/D31)</f>
        <v>0.41659680855411901</v>
      </c>
    </row>
    <row r="31" spans="1:5" ht="12.75" customHeight="1" thickBot="1" x14ac:dyDescent="0.25">
      <c r="A31" s="1146" t="s">
        <v>1957</v>
      </c>
      <c r="B31" s="1147" t="s">
        <v>1958</v>
      </c>
      <c r="C31" s="1148" t="s">
        <v>1958</v>
      </c>
      <c r="D31" s="1149">
        <f>IF(ISERROR(D29+D30),"",D29+D30)</f>
        <v>10767401.022321492</v>
      </c>
      <c r="E31" s="1150" t="s">
        <v>1958</v>
      </c>
    </row>
    <row r="32" spans="1:5" ht="12.75" customHeight="1" x14ac:dyDescent="0.2">
      <c r="A32" s="158"/>
    </row>
    <row r="33" spans="1:6" ht="12.75" customHeight="1" x14ac:dyDescent="0.2">
      <c r="A33" s="1151" t="s">
        <v>1959</v>
      </c>
    </row>
    <row r="34" spans="1:6" ht="12.75" customHeight="1" thickBot="1" x14ac:dyDescent="0.25">
      <c r="A34" s="158"/>
    </row>
    <row r="35" spans="1:6" ht="33.75" customHeight="1" thickBot="1" x14ac:dyDescent="0.25">
      <c r="A35" s="1152" t="s">
        <v>1960</v>
      </c>
      <c r="B35" s="1153">
        <v>4</v>
      </c>
      <c r="C35" s="158"/>
    </row>
    <row r="36" spans="1:6" ht="12.75" customHeight="1" thickBot="1" x14ac:dyDescent="0.25">
      <c r="A36" s="158"/>
    </row>
    <row r="37" spans="1:6" ht="39" customHeight="1" x14ac:dyDescent="0.2">
      <c r="A37" s="1154"/>
      <c r="B37" s="1155" t="s">
        <v>1961</v>
      </c>
      <c r="C37" s="1156" t="s">
        <v>1962</v>
      </c>
      <c r="D37" s="1157" t="s">
        <v>1963</v>
      </c>
    </row>
    <row r="38" spans="1:6" ht="12.75" customHeight="1" x14ac:dyDescent="0.2">
      <c r="A38" s="1131" t="s">
        <v>1955</v>
      </c>
      <c r="B38" s="1144">
        <f>IF(ISERROR(B$20*E29),"",B$20*E29)</f>
        <v>6395604.8979781559</v>
      </c>
      <c r="C38" s="1158">
        <f>IF(ISERROR(ROUND(B38/B17/12,2)),"",ROUND(B38/B17/12,2))</f>
        <v>15.79</v>
      </c>
      <c r="D38" s="1159">
        <f>IF(ISERROR(C38*B17*12),"",C38*B17*12)</f>
        <v>6395139.4799999986</v>
      </c>
    </row>
    <row r="39" spans="1:6" ht="12.75" customHeight="1" x14ac:dyDescent="0.2">
      <c r="A39" s="1160" t="s">
        <v>1956</v>
      </c>
      <c r="B39" s="1161">
        <f>IF(ISERROR(B$20*E30),"",B$20*E30)</f>
        <v>4566976.3695798228</v>
      </c>
      <c r="C39" s="1162">
        <f>IF(ISERROR(ROUND(B39/B18,4)),"",ROUND(B39/B18,4))</f>
        <v>1.47E-2</v>
      </c>
      <c r="D39" s="1159">
        <f>IF(ISERROR(C39*B18),"",C39*B18)</f>
        <v>4579116.2544531897</v>
      </c>
    </row>
    <row r="40" spans="1:6" ht="12.75" customHeight="1" thickBot="1" x14ac:dyDescent="0.25">
      <c r="A40" s="1163" t="s">
        <v>1957</v>
      </c>
      <c r="B40" s="1164">
        <f>IF(ISERROR(B38+B39),"",B38+B39)</f>
        <v>10962581.267557979</v>
      </c>
      <c r="C40" s="1165" t="s">
        <v>1958</v>
      </c>
      <c r="D40" s="1166">
        <f>IF(ISERROR(D38+D39),"",D38+D39)</f>
        <v>10974255.734453188</v>
      </c>
    </row>
    <row r="41" spans="1:6" ht="12.75" customHeight="1" thickBot="1" x14ac:dyDescent="0.25">
      <c r="A41" s="158"/>
    </row>
    <row r="42" spans="1:6" ht="27" customHeight="1" x14ac:dyDescent="0.2">
      <c r="A42" s="1154"/>
      <c r="B42" s="1141" t="s">
        <v>1964</v>
      </c>
      <c r="C42" s="1167" t="s">
        <v>1965</v>
      </c>
      <c r="D42" s="1168" t="s">
        <v>1966</v>
      </c>
      <c r="E42" s="1169" t="s">
        <v>1967</v>
      </c>
      <c r="F42" s="158"/>
    </row>
    <row r="43" spans="1:6" ht="12.75" customHeight="1" x14ac:dyDescent="0.2">
      <c r="A43" s="1131" t="s">
        <v>1955</v>
      </c>
      <c r="B43" s="1099">
        <f>IF(ISERROR(((1-E29)/B35)+E29),"",((1-E29)/B35)+E29)</f>
        <v>0.68755239358441067</v>
      </c>
      <c r="C43" s="1170">
        <f>IF(ISERROR(B43*B$20),"",B43*B$20)</f>
        <v>7537348.9903731113</v>
      </c>
      <c r="D43" s="1903">
        <f>IF(ISERROR(ROUND(C43/B17/12,2)),"",ROUND(C43/B17/12,2))</f>
        <v>18.61</v>
      </c>
      <c r="E43" s="1159">
        <f>IF(ISERROR(D43*12*B17),"",D43*12*B17)</f>
        <v>7537273.3199999994</v>
      </c>
      <c r="F43" s="158"/>
    </row>
    <row r="44" spans="1:6" ht="12.75" customHeight="1" x14ac:dyDescent="0.2">
      <c r="A44" s="1160" t="s">
        <v>1956</v>
      </c>
      <c r="B44" s="1171">
        <f>IF(ISERROR(1-B43),"",1-B43)</f>
        <v>0.31244760641558933</v>
      </c>
      <c r="C44" s="1172">
        <f>IF(ISERROR(B44*B$20),"",B44*B$20)</f>
        <v>3425232.2771848678</v>
      </c>
      <c r="D44" s="1913">
        <f>IF(ISERROR(ROUND(C44/B18,4)),"",ROUND(C44/B18,4))</f>
        <v>1.0999999999999999E-2</v>
      </c>
      <c r="E44" s="1173">
        <f>IF(ISERROR(D44*B18),"",D44*B18)</f>
        <v>3426549.578162251</v>
      </c>
      <c r="F44" s="158"/>
    </row>
    <row r="45" spans="1:6" ht="12.75" customHeight="1" thickBot="1" x14ac:dyDescent="0.25">
      <c r="A45" s="1163" t="s">
        <v>1957</v>
      </c>
      <c r="B45" s="1174" t="s">
        <v>1958</v>
      </c>
      <c r="C45" s="1149">
        <f>IF(ISERROR(SUM(C43:C44)),"",SUM(C43:C44))</f>
        <v>10962581.267557979</v>
      </c>
      <c r="D45" s="1165" t="s">
        <v>1958</v>
      </c>
      <c r="E45" s="1175">
        <f>IF(ISERROR(E43+E44),"",E43+E44)</f>
        <v>10963822.898162249</v>
      </c>
    </row>
    <row r="46" spans="1:6" ht="12.75" customHeight="1" thickBot="1" x14ac:dyDescent="0.25">
      <c r="A46" s="158"/>
    </row>
    <row r="47" spans="1:6" ht="14.25" customHeight="1" x14ac:dyDescent="0.2">
      <c r="A47" s="2339" t="s">
        <v>1968</v>
      </c>
      <c r="B47" s="2340"/>
    </row>
    <row r="48" spans="1:6" ht="12.75" customHeight="1" x14ac:dyDescent="0.2">
      <c r="A48" s="1131" t="s">
        <v>1969</v>
      </c>
      <c r="B48" s="1159">
        <f>IF(ISERROR(D43-C38),"",D43-C38)</f>
        <v>2.8200000000000003</v>
      </c>
    </row>
    <row r="49" spans="1:6" ht="18" customHeight="1" x14ac:dyDescent="0.2">
      <c r="A49" s="2341" t="s">
        <v>1970</v>
      </c>
      <c r="B49" s="1173">
        <f>IF(ISERROR((D43*12*B17)+(D44*B18)-B20),"",(D43*12*B17)+(D44*B18)-B20)</f>
        <v>1241.6306042708457</v>
      </c>
    </row>
    <row r="50" spans="1:6" ht="21.75" customHeight="1" thickBot="1" x14ac:dyDescent="0.25">
      <c r="A50" s="2342"/>
      <c r="B50" s="1176">
        <f>IF(ISERROR(B49/B20), "", B49/B20)</f>
        <v>1.1326078903927989E-4</v>
      </c>
    </row>
    <row r="51" spans="1:6" ht="12.75" customHeight="1" x14ac:dyDescent="0.2">
      <c r="A51" s="158"/>
    </row>
    <row r="52" spans="1:6" ht="12.75" customHeight="1" x14ac:dyDescent="0.2">
      <c r="A52" s="334" t="s">
        <v>13</v>
      </c>
    </row>
    <row r="54" spans="1:6" ht="12.75" customHeight="1" x14ac:dyDescent="0.2">
      <c r="A54" s="2336" t="s">
        <v>1971</v>
      </c>
      <c r="B54" s="2336"/>
      <c r="C54" s="2336"/>
      <c r="D54" s="2336"/>
      <c r="E54" s="2336"/>
    </row>
    <row r="55" spans="1:6" x14ac:dyDescent="0.2">
      <c r="A55" s="2336"/>
      <c r="B55" s="2336"/>
      <c r="C55" s="2336"/>
      <c r="D55" s="2336"/>
      <c r="E55" s="2336"/>
    </row>
    <row r="56" spans="1:6" x14ac:dyDescent="0.2">
      <c r="B56" s="1177"/>
      <c r="C56" s="1177"/>
      <c r="D56" s="1177"/>
      <c r="E56" s="1177"/>
      <c r="F56" s="1177"/>
    </row>
    <row r="57" spans="1:6" ht="12.75" customHeight="1" x14ac:dyDescent="0.2">
      <c r="A57" s="1988" t="s">
        <v>1972</v>
      </c>
      <c r="B57" s="1988"/>
      <c r="C57" s="1988"/>
      <c r="D57" s="1988"/>
      <c r="E57" s="1988"/>
      <c r="F57" s="1177"/>
    </row>
    <row r="58" spans="1:6" x14ac:dyDescent="0.2">
      <c r="A58" s="1988"/>
      <c r="B58" s="1988"/>
      <c r="C58" s="1988"/>
      <c r="D58" s="1988"/>
      <c r="E58" s="1988"/>
      <c r="F58" s="1470"/>
    </row>
    <row r="59" spans="1:6" x14ac:dyDescent="0.2">
      <c r="A59" s="1988"/>
      <c r="B59" s="1988"/>
      <c r="C59" s="1988"/>
      <c r="D59" s="1988"/>
      <c r="E59" s="1988"/>
      <c r="F59" s="1470"/>
    </row>
    <row r="60" spans="1:6" ht="12.75" customHeight="1" x14ac:dyDescent="0.2">
      <c r="A60" s="1988" t="s">
        <v>1973</v>
      </c>
      <c r="B60" s="1988"/>
      <c r="C60" s="1988"/>
      <c r="D60" s="1988"/>
      <c r="E60" s="1988"/>
      <c r="F60" s="1178"/>
    </row>
    <row r="61" spans="1:6" x14ac:dyDescent="0.2">
      <c r="A61" s="1988"/>
      <c r="B61" s="1988"/>
      <c r="C61" s="1988"/>
      <c r="D61" s="1988"/>
      <c r="E61" s="1988"/>
    </row>
  </sheetData>
  <mergeCells count="9">
    <mergeCell ref="A54:E55"/>
    <mergeCell ref="A57:E59"/>
    <mergeCell ref="A60:E61"/>
    <mergeCell ref="A9:F9"/>
    <mergeCell ref="A10:F10"/>
    <mergeCell ref="A16:B16"/>
    <mergeCell ref="A22:B22"/>
    <mergeCell ref="A47:B47"/>
    <mergeCell ref="A49:A50"/>
  </mergeCells>
  <dataValidations count="1">
    <dataValidation allowBlank="1" showInputMessage="1" showErrorMessage="1" promptTitle="Date Format" prompt="E.g:  &quot;August 1, 2011&quot;" sqref="F7"/>
  </dataValidations>
  <pageMargins left="0.7" right="0.7" top="0.75" bottom="0.75" header="0.3" footer="0.3"/>
  <pageSetup scale="7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N61"/>
  <sheetViews>
    <sheetView showGridLines="0" zoomScale="85" zoomScaleNormal="85" workbookViewId="0"/>
  </sheetViews>
  <sheetFormatPr defaultRowHeight="12.75" x14ac:dyDescent="0.2"/>
  <cols>
    <col min="1" max="1" width="19" style="61" customWidth="1"/>
    <col min="2" max="2" width="17.7109375" style="61" customWidth="1"/>
    <col min="3" max="3" width="22.85546875" style="61" customWidth="1"/>
    <col min="4" max="4" width="21.5703125" style="61" customWidth="1"/>
    <col min="5" max="5" width="21.28515625" style="61" customWidth="1"/>
    <col min="6" max="6" width="21.140625" style="61" customWidth="1"/>
    <col min="7" max="7" width="21.42578125" style="61" customWidth="1"/>
    <col min="8" max="8" width="9.140625" style="61"/>
    <col min="9" max="9" width="17.5703125" style="61" customWidth="1"/>
    <col min="10" max="10" width="9.140625" style="61"/>
    <col min="11" max="11" width="12.28515625" style="61" customWidth="1"/>
    <col min="12" max="12" width="16.140625" style="61" customWidth="1"/>
    <col min="13" max="13" width="9.140625" style="61"/>
    <col min="14" max="14" width="14.85546875" style="61" customWidth="1"/>
    <col min="15" max="16384" width="9.140625" style="61"/>
  </cols>
  <sheetData>
    <row r="1" spans="1:14" x14ac:dyDescent="0.2">
      <c r="F1" s="715" t="s">
        <v>394</v>
      </c>
      <c r="G1" s="253" t="str">
        <f>EBNUMBER</f>
        <v>EB-2015-0089</v>
      </c>
      <c r="L1" s="1179"/>
      <c r="M1" s="1180"/>
      <c r="N1" s="1180"/>
    </row>
    <row r="2" spans="1:14" x14ac:dyDescent="0.2">
      <c r="F2" s="715" t="s">
        <v>395</v>
      </c>
      <c r="G2" s="254"/>
      <c r="L2" s="1179"/>
      <c r="M2" s="1180"/>
      <c r="N2" s="1180"/>
    </row>
    <row r="3" spans="1:14" x14ac:dyDescent="0.2">
      <c r="F3" s="715" t="s">
        <v>396</v>
      </c>
      <c r="G3" s="254"/>
      <c r="L3" s="1179"/>
      <c r="M3" s="1180"/>
      <c r="N3" s="1180"/>
    </row>
    <row r="4" spans="1:14" x14ac:dyDescent="0.2">
      <c r="F4" s="715" t="s">
        <v>397</v>
      </c>
      <c r="G4" s="254"/>
      <c r="L4" s="1179"/>
      <c r="M4" s="1180"/>
      <c r="N4" s="1180"/>
    </row>
    <row r="5" spans="1:14" x14ac:dyDescent="0.2">
      <c r="F5" s="715" t="s">
        <v>398</v>
      </c>
      <c r="G5" s="255"/>
      <c r="L5" s="1179"/>
      <c r="M5" s="1180"/>
      <c r="N5" s="1180"/>
    </row>
    <row r="6" spans="1:14" x14ac:dyDescent="0.2">
      <c r="F6" s="715"/>
      <c r="G6" s="253"/>
      <c r="L6" s="1179"/>
      <c r="M6" s="1180"/>
      <c r="N6" s="1180"/>
    </row>
    <row r="7" spans="1:14" x14ac:dyDescent="0.2">
      <c r="F7" s="715" t="s">
        <v>399</v>
      </c>
      <c r="G7" s="255"/>
      <c r="L7" s="1179"/>
      <c r="M7" s="1181"/>
      <c r="N7" s="1181"/>
    </row>
    <row r="8" spans="1:14" x14ac:dyDescent="0.2">
      <c r="A8" s="264"/>
      <c r="L8" s="252"/>
    </row>
    <row r="9" spans="1:14" ht="18" x14ac:dyDescent="0.25">
      <c r="A9" s="1941" t="s">
        <v>58</v>
      </c>
      <c r="B9" s="1941"/>
      <c r="C9" s="1941"/>
      <c r="D9" s="1941"/>
      <c r="E9" s="1941"/>
      <c r="F9" s="1941"/>
      <c r="G9" s="1941"/>
      <c r="H9" s="256"/>
      <c r="I9" s="256"/>
      <c r="J9" s="256"/>
      <c r="K9" s="256"/>
      <c r="L9" s="256"/>
    </row>
    <row r="10" spans="1:14" ht="18" x14ac:dyDescent="0.2">
      <c r="A10" s="1941" t="s">
        <v>334</v>
      </c>
      <c r="B10" s="1941"/>
      <c r="C10" s="1941"/>
      <c r="D10" s="1941"/>
      <c r="E10" s="1941"/>
      <c r="F10" s="1941"/>
      <c r="G10" s="1941"/>
      <c r="H10" s="1941"/>
      <c r="I10" s="1941"/>
      <c r="J10" s="1941"/>
      <c r="K10" s="1941"/>
      <c r="L10" s="1941"/>
    </row>
    <row r="11" spans="1:14" ht="18" x14ac:dyDescent="0.2">
      <c r="A11" s="1182"/>
      <c r="B11" s="1182"/>
      <c r="C11" s="1182"/>
      <c r="D11" s="1182"/>
      <c r="E11" s="1182"/>
      <c r="F11" s="1182"/>
      <c r="G11" s="1182"/>
      <c r="H11" s="1182"/>
      <c r="I11" s="1182"/>
      <c r="J11" s="1182"/>
      <c r="K11" s="1182"/>
      <c r="L11" s="1182"/>
    </row>
    <row r="12" spans="1:14" ht="18.75" x14ac:dyDescent="0.2">
      <c r="A12" s="2347" t="s">
        <v>1845</v>
      </c>
      <c r="B12" s="2347"/>
      <c r="C12" s="2347"/>
      <c r="D12" s="2347"/>
      <c r="E12" s="2347"/>
      <c r="F12" s="2347"/>
      <c r="G12" s="2347"/>
      <c r="H12" s="1183"/>
      <c r="I12" s="1183"/>
      <c r="J12" s="1183"/>
      <c r="K12" s="1183"/>
      <c r="L12" s="1183"/>
    </row>
    <row r="13" spans="1:14" ht="18.75" x14ac:dyDescent="0.2">
      <c r="A13" s="2347" t="s">
        <v>579</v>
      </c>
      <c r="B13" s="2347"/>
      <c r="C13" s="2347"/>
      <c r="D13" s="2347"/>
      <c r="E13" s="2347"/>
      <c r="F13" s="2347"/>
      <c r="G13" s="2347"/>
      <c r="H13" s="1183"/>
      <c r="I13" s="1183"/>
      <c r="J13" s="1183"/>
      <c r="K13" s="1183"/>
      <c r="L13" s="1183"/>
    </row>
    <row r="14" spans="1:14" ht="18" x14ac:dyDescent="0.25">
      <c r="A14" s="1184"/>
      <c r="B14" s="1462"/>
      <c r="C14" s="1462"/>
      <c r="D14" s="1462"/>
      <c r="E14" s="1462"/>
      <c r="F14" s="1462"/>
      <c r="G14" s="1462"/>
      <c r="H14" s="1462"/>
      <c r="I14" s="1462"/>
      <c r="J14" s="1462"/>
      <c r="K14" s="1462"/>
      <c r="L14" s="1462"/>
    </row>
    <row r="15" spans="1:14" x14ac:dyDescent="0.2">
      <c r="A15" s="252"/>
      <c r="B15" s="252"/>
      <c r="C15" s="252"/>
      <c r="D15" s="264"/>
      <c r="E15" s="264"/>
      <c r="F15" s="264"/>
      <c r="G15" s="579"/>
      <c r="H15" s="579"/>
      <c r="I15" s="579"/>
      <c r="J15" s="579"/>
      <c r="K15" s="579"/>
      <c r="L15" s="579"/>
      <c r="M15" s="264"/>
      <c r="N15" s="264"/>
    </row>
    <row r="16" spans="1:14" ht="24" customHeight="1" x14ac:dyDescent="0.2">
      <c r="A16" s="2291" t="s">
        <v>335</v>
      </c>
      <c r="B16" s="2291"/>
      <c r="C16" s="2343"/>
      <c r="D16" s="2344"/>
      <c r="F16" s="1487"/>
      <c r="G16" s="1487"/>
      <c r="H16" s="579"/>
      <c r="I16" s="264"/>
      <c r="J16" s="264"/>
      <c r="K16" s="264"/>
      <c r="L16" s="264"/>
      <c r="M16" s="264"/>
      <c r="N16" s="264"/>
    </row>
    <row r="17" spans="1:14" x14ac:dyDescent="0.2">
      <c r="A17" s="252"/>
      <c r="B17" s="252"/>
      <c r="C17" s="252"/>
      <c r="D17" s="264"/>
      <c r="E17" s="264"/>
      <c r="F17" s="264"/>
      <c r="G17" s="1487"/>
      <c r="H17" s="579"/>
      <c r="I17" s="264"/>
      <c r="J17" s="264"/>
      <c r="K17" s="264"/>
      <c r="L17" s="264"/>
      <c r="M17" s="264"/>
      <c r="N17" s="264"/>
    </row>
    <row r="18" spans="1:14" x14ac:dyDescent="0.2">
      <c r="A18" s="1185" t="s">
        <v>336</v>
      </c>
      <c r="B18" s="1185"/>
      <c r="C18" s="1185"/>
      <c r="D18" s="283"/>
      <c r="E18" s="283"/>
      <c r="F18" s="283"/>
      <c r="G18" s="1487"/>
      <c r="H18" s="579"/>
      <c r="I18" s="264"/>
      <c r="J18" s="264"/>
      <c r="K18" s="264"/>
      <c r="L18" s="264"/>
      <c r="M18" s="264"/>
      <c r="N18" s="264"/>
    </row>
    <row r="19" spans="1:14" x14ac:dyDescent="0.2">
      <c r="A19" s="283"/>
      <c r="B19" s="283"/>
      <c r="C19" s="283"/>
      <c r="D19" s="283"/>
      <c r="E19" s="283"/>
      <c r="F19" s="283"/>
      <c r="G19" s="283"/>
      <c r="H19" s="579"/>
      <c r="I19" s="264"/>
      <c r="J19" s="264"/>
      <c r="K19" s="264"/>
      <c r="L19" s="264"/>
      <c r="M19" s="264"/>
      <c r="N19" s="264"/>
    </row>
    <row r="20" spans="1:14" x14ac:dyDescent="0.2">
      <c r="A20" s="1186" t="s">
        <v>403</v>
      </c>
      <c r="B20" s="1186" t="s">
        <v>12</v>
      </c>
      <c r="C20" s="1186" t="s">
        <v>60</v>
      </c>
      <c r="D20" s="1186" t="s">
        <v>61</v>
      </c>
      <c r="E20" s="1186" t="s">
        <v>62</v>
      </c>
      <c r="F20" s="1187" t="s">
        <v>63</v>
      </c>
      <c r="G20" s="1188"/>
      <c r="H20" s="579"/>
      <c r="I20" s="264"/>
      <c r="J20" s="264"/>
      <c r="K20" s="264"/>
      <c r="L20" s="264"/>
      <c r="M20" s="264"/>
      <c r="N20" s="264"/>
    </row>
    <row r="21" spans="1:14" ht="38.25" x14ac:dyDescent="0.2">
      <c r="A21" s="1189" t="s">
        <v>64</v>
      </c>
      <c r="B21" s="1503" t="s">
        <v>337</v>
      </c>
      <c r="C21" s="1503" t="s">
        <v>338</v>
      </c>
      <c r="D21" s="1503" t="s">
        <v>339</v>
      </c>
      <c r="E21" s="1503" t="s">
        <v>340</v>
      </c>
      <c r="F21" s="308" t="s">
        <v>341</v>
      </c>
      <c r="G21" s="1188"/>
      <c r="H21" s="579"/>
      <c r="L21" s="264"/>
      <c r="M21" s="264"/>
      <c r="N21" s="264"/>
    </row>
    <row r="22" spans="1:14" ht="25.5" x14ac:dyDescent="0.2">
      <c r="A22" s="1190" t="s">
        <v>342</v>
      </c>
      <c r="B22" s="1191" t="s">
        <v>402</v>
      </c>
      <c r="C22" s="1191" t="s">
        <v>402</v>
      </c>
      <c r="D22" s="1191" t="s">
        <v>402</v>
      </c>
      <c r="E22" s="1191" t="s">
        <v>402</v>
      </c>
      <c r="F22" s="1191"/>
      <c r="G22" s="1188"/>
      <c r="H22" s="579"/>
      <c r="I22" s="264"/>
      <c r="J22" s="264"/>
      <c r="K22" s="264"/>
      <c r="L22" s="264"/>
      <c r="M22" s="264"/>
      <c r="N22" s="264"/>
    </row>
    <row r="23" spans="1:14" ht="25.5" x14ac:dyDescent="0.2">
      <c r="A23" s="1192" t="s">
        <v>65</v>
      </c>
      <c r="B23" s="1193"/>
      <c r="C23" s="1193"/>
      <c r="D23" s="1193"/>
      <c r="E23" s="1193"/>
      <c r="F23" s="1194">
        <f t="shared" ref="F23:F29" si="0">C23+D23</f>
        <v>0</v>
      </c>
      <c r="G23" s="1188"/>
      <c r="H23" s="1195"/>
      <c r="I23" s="658"/>
      <c r="J23" s="579"/>
      <c r="K23" s="579"/>
      <c r="L23" s="579"/>
      <c r="M23" s="264"/>
      <c r="N23" s="264"/>
    </row>
    <row r="24" spans="1:14" x14ac:dyDescent="0.2">
      <c r="A24" s="1192" t="s">
        <v>343</v>
      </c>
      <c r="B24" s="1193"/>
      <c r="C24" s="1193"/>
      <c r="D24" s="1193"/>
      <c r="E24" s="1193"/>
      <c r="F24" s="1194">
        <f t="shared" si="0"/>
        <v>0</v>
      </c>
      <c r="G24" s="1188"/>
      <c r="H24" s="1195"/>
      <c r="I24" s="658"/>
      <c r="J24" s="579"/>
      <c r="K24" s="579"/>
      <c r="L24" s="579"/>
      <c r="M24" s="264"/>
      <c r="N24" s="264"/>
    </row>
    <row r="25" spans="1:14" ht="25.5" x14ac:dyDescent="0.2">
      <c r="A25" s="1196" t="s">
        <v>558</v>
      </c>
      <c r="B25" s="1193"/>
      <c r="C25" s="1193"/>
      <c r="D25" s="1193"/>
      <c r="E25" s="1193"/>
      <c r="F25" s="1194">
        <f t="shared" si="0"/>
        <v>0</v>
      </c>
      <c r="G25" s="1188"/>
      <c r="H25" s="264"/>
      <c r="I25" s="264"/>
      <c r="J25" s="264"/>
      <c r="K25" s="264"/>
      <c r="L25" s="264"/>
      <c r="M25" s="264"/>
      <c r="N25" s="264"/>
    </row>
    <row r="26" spans="1:14" ht="27" customHeight="1" x14ac:dyDescent="0.2">
      <c r="A26" s="1197" t="s">
        <v>344</v>
      </c>
      <c r="B26" s="1193"/>
      <c r="C26" s="1193"/>
      <c r="D26" s="1193"/>
      <c r="E26" s="1193"/>
      <c r="F26" s="1194">
        <f t="shared" si="0"/>
        <v>0</v>
      </c>
      <c r="G26" s="1188"/>
      <c r="J26" s="264"/>
      <c r="K26" s="264"/>
      <c r="L26" s="264"/>
      <c r="M26" s="264"/>
      <c r="N26" s="264"/>
    </row>
    <row r="27" spans="1:14" ht="25.5" x14ac:dyDescent="0.2">
      <c r="A27" s="1197" t="s">
        <v>345</v>
      </c>
      <c r="B27" s="1193"/>
      <c r="C27" s="1193"/>
      <c r="D27" s="1193"/>
      <c r="E27" s="1193"/>
      <c r="F27" s="1194">
        <f t="shared" si="0"/>
        <v>0</v>
      </c>
      <c r="G27" s="1188"/>
      <c r="H27" s="1116"/>
      <c r="I27" s="1116"/>
      <c r="J27" s="264"/>
      <c r="K27" s="264"/>
      <c r="L27" s="264"/>
      <c r="M27" s="264"/>
      <c r="N27" s="264"/>
    </row>
    <row r="28" spans="1:14" x14ac:dyDescent="0.2">
      <c r="A28" s="1192"/>
      <c r="B28" s="1193"/>
      <c r="C28" s="1193"/>
      <c r="D28" s="1193"/>
      <c r="E28" s="1193"/>
      <c r="F28" s="1194">
        <f t="shared" si="0"/>
        <v>0</v>
      </c>
      <c r="G28" s="1188"/>
      <c r="H28" s="1198"/>
      <c r="I28" s="1198"/>
      <c r="J28" s="264"/>
      <c r="K28" s="264"/>
      <c r="L28" s="264"/>
      <c r="M28" s="264"/>
      <c r="N28" s="264"/>
    </row>
    <row r="29" spans="1:14" x14ac:dyDescent="0.2">
      <c r="A29" s="1192"/>
      <c r="B29" s="1193"/>
      <c r="C29" s="1193"/>
      <c r="D29" s="1193"/>
      <c r="E29" s="1193"/>
      <c r="F29" s="1194">
        <f t="shared" si="0"/>
        <v>0</v>
      </c>
      <c r="G29" s="1188"/>
      <c r="H29" s="283"/>
      <c r="I29" s="283"/>
      <c r="J29" s="264"/>
      <c r="K29" s="264"/>
      <c r="L29" s="264"/>
      <c r="M29" s="264"/>
      <c r="N29" s="264"/>
    </row>
    <row r="30" spans="1:14" x14ac:dyDescent="0.2">
      <c r="A30" s="1199"/>
      <c r="B30" s="1200"/>
      <c r="C30" s="1200"/>
      <c r="D30" s="1200"/>
      <c r="E30" s="1200"/>
      <c r="F30" s="1200"/>
      <c r="G30" s="608"/>
    </row>
    <row r="31" spans="1:14" x14ac:dyDescent="0.2">
      <c r="A31" s="1187" t="s">
        <v>403</v>
      </c>
      <c r="B31" s="1187" t="s">
        <v>66</v>
      </c>
      <c r="C31" s="1187" t="s">
        <v>67</v>
      </c>
      <c r="D31" s="1187" t="s">
        <v>68</v>
      </c>
      <c r="E31" s="1187" t="s">
        <v>69</v>
      </c>
      <c r="F31" s="1187" t="s">
        <v>70</v>
      </c>
      <c r="G31" s="1188"/>
    </row>
    <row r="32" spans="1:14" ht="63.75" x14ac:dyDescent="0.2">
      <c r="A32" s="1201" t="str">
        <f>A21</f>
        <v>Asset Class</v>
      </c>
      <c r="B32" s="308" t="s">
        <v>71</v>
      </c>
      <c r="C32" s="1503" t="s">
        <v>346</v>
      </c>
      <c r="D32" s="308" t="s">
        <v>347</v>
      </c>
      <c r="E32" s="308" t="s">
        <v>348</v>
      </c>
      <c r="F32" s="308" t="s">
        <v>578</v>
      </c>
      <c r="G32" s="1202"/>
    </row>
    <row r="33" spans="1:9" ht="25.5" x14ac:dyDescent="0.2">
      <c r="A33" s="1203" t="s">
        <v>349</v>
      </c>
      <c r="B33" s="1204" t="s">
        <v>72</v>
      </c>
      <c r="C33" s="1204" t="s">
        <v>73</v>
      </c>
      <c r="D33" s="1204" t="s">
        <v>74</v>
      </c>
      <c r="E33" s="1204" t="s">
        <v>74</v>
      </c>
      <c r="F33" s="1204" t="s">
        <v>75</v>
      </c>
    </row>
    <row r="34" spans="1:9" x14ac:dyDescent="0.2">
      <c r="A34" s="1203" t="s">
        <v>65</v>
      </c>
      <c r="B34" s="1205"/>
      <c r="C34" s="1205"/>
      <c r="D34" s="1206"/>
      <c r="E34" s="1206"/>
      <c r="F34" s="1207">
        <f>IF(D34=0,0,(C34/B34)*(E34/D34))</f>
        <v>0</v>
      </c>
    </row>
    <row r="35" spans="1:9" x14ac:dyDescent="0.2">
      <c r="A35" s="1203" t="s">
        <v>343</v>
      </c>
      <c r="B35" s="1205"/>
      <c r="C35" s="1205"/>
      <c r="D35" s="1206"/>
      <c r="E35" s="1206"/>
      <c r="F35" s="1207">
        <f>IF(D35=0,0,(C35/B35)*(E35/D35))</f>
        <v>0</v>
      </c>
    </row>
    <row r="36" spans="1:9" ht="25.5" x14ac:dyDescent="0.2">
      <c r="A36" s="1203" t="s">
        <v>350</v>
      </c>
      <c r="B36" s="1205"/>
      <c r="C36" s="1205"/>
      <c r="D36" s="1206"/>
      <c r="E36" s="1206"/>
      <c r="F36" s="1207">
        <f>IF(D36=0,0,(C36/B36)*(E36/D36))</f>
        <v>0</v>
      </c>
    </row>
    <row r="37" spans="1:9" x14ac:dyDescent="0.2">
      <c r="A37" s="1208" t="s">
        <v>344</v>
      </c>
      <c r="B37" s="1205"/>
      <c r="C37" s="1205"/>
      <c r="D37" s="1206"/>
      <c r="E37" s="1206"/>
      <c r="F37" s="1207">
        <f>IF(D37=0,0,(C37/B37)*(E37/D37))</f>
        <v>0</v>
      </c>
    </row>
    <row r="38" spans="1:9" ht="25.5" x14ac:dyDescent="0.2">
      <c r="A38" s="1208" t="s">
        <v>351</v>
      </c>
      <c r="B38" s="1205"/>
      <c r="C38" s="1205"/>
      <c r="D38" s="1206"/>
      <c r="E38" s="1206"/>
      <c r="F38" s="1207">
        <f>IF(D38=0,0,(C38/B38)*(E38/D38))</f>
        <v>0</v>
      </c>
      <c r="H38" s="300"/>
    </row>
    <row r="39" spans="1:9" x14ac:dyDescent="0.2">
      <c r="A39" s="1199"/>
      <c r="B39" s="1200"/>
      <c r="C39" s="1200"/>
      <c r="D39" s="1200"/>
      <c r="E39" s="1200"/>
      <c r="F39" s="1200"/>
      <c r="H39" s="300"/>
    </row>
    <row r="40" spans="1:9" ht="22.5" customHeight="1" x14ac:dyDescent="0.2">
      <c r="A40" s="1187" t="s">
        <v>403</v>
      </c>
      <c r="B40" s="1187" t="s">
        <v>76</v>
      </c>
      <c r="C40" s="1187" t="s">
        <v>77</v>
      </c>
      <c r="D40" s="1187" t="s">
        <v>78</v>
      </c>
      <c r="E40" s="1187" t="s">
        <v>79</v>
      </c>
      <c r="F40" s="1186" t="s">
        <v>80</v>
      </c>
      <c r="G40" s="1187" t="s">
        <v>261</v>
      </c>
    </row>
    <row r="41" spans="1:9" ht="51" x14ac:dyDescent="0.2">
      <c r="A41" s="1209" t="str">
        <f>A32</f>
        <v>Asset Class</v>
      </c>
      <c r="B41" s="308" t="s">
        <v>81</v>
      </c>
      <c r="C41" s="308" t="s">
        <v>82</v>
      </c>
      <c r="D41" s="308" t="s">
        <v>83</v>
      </c>
      <c r="E41" s="308" t="s">
        <v>84</v>
      </c>
      <c r="F41" s="308" t="s">
        <v>85</v>
      </c>
      <c r="G41" s="1503" t="s">
        <v>352</v>
      </c>
    </row>
    <row r="42" spans="1:9" x14ac:dyDescent="0.2">
      <c r="A42" s="1210"/>
      <c r="B42" s="1211" t="s">
        <v>402</v>
      </c>
      <c r="C42" s="1211" t="s">
        <v>402</v>
      </c>
      <c r="D42" s="1211" t="s">
        <v>402</v>
      </c>
      <c r="E42" s="1211" t="s">
        <v>402</v>
      </c>
      <c r="F42" s="1212" t="s">
        <v>402</v>
      </c>
      <c r="G42" s="1211" t="s">
        <v>86</v>
      </c>
      <c r="H42" s="1213"/>
      <c r="I42" s="608"/>
    </row>
    <row r="43" spans="1:9" x14ac:dyDescent="0.2">
      <c r="A43" s="1203" t="s">
        <v>65</v>
      </c>
      <c r="B43" s="1214">
        <f>E$54*(F23+B23*E$59)*F34</f>
        <v>0</v>
      </c>
      <c r="C43" s="1214">
        <f>(B43-(B$54*C$54*F34*(F23+B23*E57)+B$55*C$55*F34*(F23+B23*E$57)))*E$57/(1-E$57)</f>
        <v>0</v>
      </c>
      <c r="D43" s="1215">
        <f>E23*F34</f>
        <v>0</v>
      </c>
      <c r="E43" s="1215">
        <f>B23*F34</f>
        <v>0</v>
      </c>
      <c r="F43" s="1216">
        <f>SUM(B43:E43)</f>
        <v>0</v>
      </c>
      <c r="G43" s="1217">
        <f>IF(E34=0,0,(D43/E34))</f>
        <v>0</v>
      </c>
    </row>
    <row r="44" spans="1:9" x14ac:dyDescent="0.2">
      <c r="A44" s="1203" t="s">
        <v>343</v>
      </c>
      <c r="B44" s="1214">
        <f>E$54*(F24+B24*E$59)*F35</f>
        <v>0</v>
      </c>
      <c r="C44" s="1214">
        <f>(B44-(B$54*C$54*F35*(F24+B24*E58)+B$55*C$55*F35*(F24+B24*E58)))*E$57/(1-E$57)</f>
        <v>0</v>
      </c>
      <c r="D44" s="1215">
        <f>E24*F35</f>
        <v>0</v>
      </c>
      <c r="E44" s="1215">
        <f>B24*F35</f>
        <v>0</v>
      </c>
      <c r="F44" s="1216">
        <f>SUM(B44:E44)</f>
        <v>0</v>
      </c>
      <c r="G44" s="1217">
        <f>IF(E35=0,0,(D44/E35))</f>
        <v>0</v>
      </c>
    </row>
    <row r="45" spans="1:9" ht="25.5" x14ac:dyDescent="0.2">
      <c r="A45" s="1203" t="s">
        <v>350</v>
      </c>
      <c r="B45" s="1214">
        <f>E$54*(F25+B25*E$59)*F36</f>
        <v>0</v>
      </c>
      <c r="C45" s="1214">
        <f>(B45-(B$54*C$54*F36*(F25+B25*E59)+B$55*C$55*F36*(F25+B25*E$59)))*E$57/(1-E$57)</f>
        <v>0</v>
      </c>
      <c r="D45" s="1215">
        <f>E25*F36</f>
        <v>0</v>
      </c>
      <c r="E45" s="1215">
        <f>B25*F36</f>
        <v>0</v>
      </c>
      <c r="F45" s="1216">
        <f>SUM(B45:E45)</f>
        <v>0</v>
      </c>
      <c r="G45" s="1217">
        <f>IF(E36=0,0,(D45/E36))</f>
        <v>0</v>
      </c>
    </row>
    <row r="46" spans="1:9" x14ac:dyDescent="0.2">
      <c r="A46" s="1208" t="s">
        <v>344</v>
      </c>
      <c r="B46" s="1214">
        <f>E$54*(F26+B26*E$59)*F37</f>
        <v>0</v>
      </c>
      <c r="C46" s="1214">
        <f>(B46-(B$54*C$54*F37*(F26+B26*E60)+B$55*C$55*F37*(F26+B26*E60)))*E$57/(1-E$57)</f>
        <v>0</v>
      </c>
      <c r="D46" s="1215">
        <f>E26*F37</f>
        <v>0</v>
      </c>
      <c r="E46" s="1215">
        <f>B26*F37</f>
        <v>0</v>
      </c>
      <c r="F46" s="1216">
        <f>SUM(B46:E46)</f>
        <v>0</v>
      </c>
      <c r="G46" s="1217">
        <f>IF(E37=0,0,(D46/E37))</f>
        <v>0</v>
      </c>
    </row>
    <row r="47" spans="1:9" ht="25.5" x14ac:dyDescent="0.2">
      <c r="A47" s="1208" t="s">
        <v>351</v>
      </c>
      <c r="B47" s="1214">
        <f>E$54*(F27+B27*E$59)*F38</f>
        <v>0</v>
      </c>
      <c r="C47" s="1214">
        <f>(B47-(B$54*C$54*F38*(F27+B27*I61)+B$55*C$55*F38*(F27+B27*I61)))*E$57/(1-E$57)</f>
        <v>0</v>
      </c>
      <c r="D47" s="1215">
        <f>E27*F38</f>
        <v>0</v>
      </c>
      <c r="E47" s="1215">
        <f>B27*F38</f>
        <v>0</v>
      </c>
      <c r="F47" s="1216">
        <f>SUM(B47:E47)</f>
        <v>0</v>
      </c>
      <c r="G47" s="1217">
        <f>IF(E38=0,0,(D47/E38))</f>
        <v>0</v>
      </c>
    </row>
    <row r="48" spans="1:9" x14ac:dyDescent="0.2">
      <c r="A48" s="1203"/>
      <c r="B48" s="1215"/>
      <c r="C48" s="1214"/>
      <c r="D48" s="1215"/>
      <c r="E48" s="1215"/>
      <c r="F48" s="1216"/>
      <c r="G48" s="1218"/>
    </row>
    <row r="49" spans="1:8" ht="24" customHeight="1" x14ac:dyDescent="0.2">
      <c r="A49" s="1219" t="s">
        <v>388</v>
      </c>
      <c r="B49" s="1220"/>
      <c r="C49" s="1221"/>
      <c r="D49" s="1220"/>
      <c r="E49" s="1220"/>
      <c r="F49" s="1222">
        <f>SUM(F43:F47)</f>
        <v>0</v>
      </c>
      <c r="G49" s="1223">
        <f>SUM(G43:G47)</f>
        <v>0</v>
      </c>
    </row>
    <row r="50" spans="1:8" ht="13.5" thickBot="1" x14ac:dyDescent="0.25">
      <c r="A50" s="264"/>
      <c r="B50" s="264"/>
      <c r="C50" s="1224"/>
      <c r="D50" s="264"/>
      <c r="E50" s="264"/>
      <c r="F50" s="264"/>
      <c r="G50" s="264"/>
      <c r="H50" s="300"/>
    </row>
    <row r="51" spans="1:8" x14ac:dyDescent="0.2">
      <c r="A51" s="1225" t="s">
        <v>87</v>
      </c>
      <c r="B51" s="1225" t="s">
        <v>88</v>
      </c>
      <c r="C51" s="1226" t="s">
        <v>89</v>
      </c>
      <c r="D51" s="1225" t="s">
        <v>262</v>
      </c>
      <c r="E51" s="1226" t="s">
        <v>90</v>
      </c>
      <c r="G51" s="264"/>
      <c r="H51" s="300"/>
    </row>
    <row r="52" spans="1:8" ht="12.75" customHeight="1" x14ac:dyDescent="0.2">
      <c r="A52" s="1227"/>
      <c r="B52" s="1228" t="s">
        <v>91</v>
      </c>
      <c r="C52" s="1229" t="s">
        <v>400</v>
      </c>
      <c r="D52" s="1227"/>
      <c r="E52" s="1230"/>
      <c r="G52" s="264"/>
      <c r="H52" s="300"/>
    </row>
    <row r="53" spans="1:8" ht="13.5" thickBot="1" x14ac:dyDescent="0.25">
      <c r="A53" s="1231"/>
      <c r="B53" s="1232" t="s">
        <v>401</v>
      </c>
      <c r="C53" s="1233" t="s">
        <v>401</v>
      </c>
      <c r="D53" s="1234"/>
      <c r="E53" s="1233" t="s">
        <v>401</v>
      </c>
      <c r="G53" s="264"/>
      <c r="H53" s="300"/>
    </row>
    <row r="54" spans="1:8" x14ac:dyDescent="0.2">
      <c r="A54" s="1235" t="s">
        <v>92</v>
      </c>
      <c r="B54" s="1236"/>
      <c r="C54" s="1236"/>
      <c r="D54" s="2345" t="s">
        <v>93</v>
      </c>
      <c r="E54" s="2350">
        <f>IF(B60=0%,0,SUMPRODUCT(B54:B58,C54:C58)/B60)</f>
        <v>0</v>
      </c>
      <c r="G54" s="264"/>
      <c r="H54" s="300"/>
    </row>
    <row r="55" spans="1:8" ht="13.5" thickBot="1" x14ac:dyDescent="0.25">
      <c r="A55" s="1231" t="s">
        <v>94</v>
      </c>
      <c r="B55" s="1237"/>
      <c r="C55" s="1238"/>
      <c r="D55" s="2346"/>
      <c r="E55" s="2351"/>
      <c r="G55" s="264"/>
      <c r="H55" s="300"/>
    </row>
    <row r="56" spans="1:8" ht="13.5" thickBot="1" x14ac:dyDescent="0.25">
      <c r="A56" s="1239"/>
      <c r="B56" s="1240"/>
      <c r="C56" s="1241"/>
      <c r="D56" s="1235"/>
      <c r="E56" s="1230"/>
      <c r="G56" s="264"/>
      <c r="H56" s="300"/>
    </row>
    <row r="57" spans="1:8" ht="12.75" customHeight="1" thickBot="1" x14ac:dyDescent="0.25">
      <c r="A57" s="1227" t="s">
        <v>95</v>
      </c>
      <c r="B57" s="1236"/>
      <c r="C57" s="1236"/>
      <c r="D57" s="1239" t="s">
        <v>96</v>
      </c>
      <c r="E57" s="1242"/>
      <c r="G57" s="264"/>
      <c r="H57" s="300"/>
    </row>
    <row r="58" spans="1:8" ht="13.5" thickBot="1" x14ac:dyDescent="0.25">
      <c r="A58" s="1231" t="s">
        <v>97</v>
      </c>
      <c r="B58" s="1237"/>
      <c r="C58" s="1238"/>
      <c r="D58" s="1239"/>
      <c r="E58" s="1241"/>
      <c r="G58" s="264"/>
      <c r="H58" s="300"/>
    </row>
    <row r="59" spans="1:8" x14ac:dyDescent="0.2">
      <c r="A59" s="1227"/>
      <c r="B59" s="1227"/>
      <c r="C59" s="1230"/>
      <c r="D59" s="2345" t="s">
        <v>98</v>
      </c>
      <c r="E59" s="2348"/>
      <c r="G59" s="264"/>
    </row>
    <row r="60" spans="1:8" ht="13.5" thickBot="1" x14ac:dyDescent="0.25">
      <c r="A60" s="1243" t="s">
        <v>388</v>
      </c>
      <c r="B60" s="1244">
        <f>SUM(B54:B58)</f>
        <v>0</v>
      </c>
      <c r="C60" s="1245"/>
      <c r="D60" s="2346"/>
      <c r="E60" s="2349"/>
      <c r="G60" s="264"/>
    </row>
    <row r="61" spans="1:8" x14ac:dyDescent="0.2">
      <c r="A61" s="264"/>
      <c r="B61" s="264"/>
      <c r="C61" s="264"/>
      <c r="D61" s="264"/>
      <c r="E61" s="264"/>
      <c r="F61" s="264"/>
      <c r="G61" s="264"/>
    </row>
  </sheetData>
  <mergeCells count="11">
    <mergeCell ref="H10:L10"/>
    <mergeCell ref="A13:G13"/>
    <mergeCell ref="A12:G12"/>
    <mergeCell ref="D59:D60"/>
    <mergeCell ref="E59:E60"/>
    <mergeCell ref="E54:E55"/>
    <mergeCell ref="A9:G9"/>
    <mergeCell ref="A10:G10"/>
    <mergeCell ref="A16:B16"/>
    <mergeCell ref="C16:D16"/>
    <mergeCell ref="D54:D55"/>
  </mergeCells>
  <phoneticPr fontId="0" type="noConversion"/>
  <dataValidations xWindow="95" yWindow="494" count="8">
    <dataValidation operator="lessThanOrEqual" allowBlank="1" showInputMessage="1" showErrorMessage="1" promptTitle="Annual depreciation expense" prompt="Enter annual depreciation expense as a negative amount." sqref="IY36:IY39 SU36:SU39 ACQ36:ACQ39 AMM36:AMM39 AWI36:AWI39 BGE36:BGE39 BQA36:BQA39 BZW36:BZW39 CJS36:CJS39 CTO36:CTO39 DDK36:DDK39 DNG36:DNG39 DXC36:DXC39 EGY36:EGY39 EQU36:EQU39 FAQ36:FAQ39 FKM36:FKM39 FUI36:FUI39 GEE36:GEE39 GOA36:GOA39 GXW36:GXW39 HHS36:HHS39 HRO36:HRO39 IBK36:IBK39 ILG36:ILG39 IVC36:IVC39 JEY36:JEY39 JOU36:JOU39 JYQ36:JYQ39 KIM36:KIM39 KSI36:KSI39 LCE36:LCE39 LMA36:LMA39 LVW36:LVW39 MFS36:MFS39 MPO36:MPO39 MZK36:MZK39 NJG36:NJG39 NTC36:NTC39 OCY36:OCY39 OMU36:OMU39 OWQ36:OWQ39 PGM36:PGM39 PQI36:PQI39 QAE36:QAE39 QKA36:QKA39 QTW36:QTW39 RDS36:RDS39 RNO36:RNO39 RXK36:RXK39 SHG36:SHG39 SRC36:SRC39 TAY36:TAY39 TKU36:TKU39 TUQ36:TUQ39 UEM36:UEM39 UOI36:UOI39 UYE36:UYE39 VIA36:VIA39 VRW36:VRW39 WBS36:WBS39 WLO36:WLO39 WVK36:WVK39"/>
    <dataValidation allowBlank="1" showInputMessage="1" showErrorMessage="1" promptTitle="Name of Embedded Distributor" prompt="Input name of embedded Distributor" sqref="JC26:JC28 SY26:SY28 ACU26:ACU28 AMQ26:AMQ28 AWM26:AWM28 BGI26:BGI28 BQE26:BQE28 CAA26:CAA28 CJW26:CJW28 CTS26:CTS28 DDO26:DDO28 DNK26:DNK28 DXG26:DXG28 EHC26:EHC28 EQY26:EQY28 FAU26:FAU28 FKQ26:FKQ28 FUM26:FUM28 GEI26:GEI28 GOE26:GOE28 GYA26:GYA28 HHW26:HHW28 HRS26:HRS28 IBO26:IBO28 ILK26:ILK28 IVG26:IVG28 JFC26:JFC28 JOY26:JOY28 JYU26:JYU28 KIQ26:KIQ28 KSM26:KSM28 LCI26:LCI28 LME26:LME28 LWA26:LWA28 MFW26:MFW28 MPS26:MPS28 MZO26:MZO28 NJK26:NJK28 NTG26:NTG28 ODC26:ODC28 OMY26:OMY28 OWU26:OWU28 PGQ26:PGQ28 PQM26:PQM28 QAI26:QAI28 QKE26:QKE28 QUA26:QUA28 RDW26:RDW28 RNS26:RNS28 RXO26:RXO28 SHK26:SHK28 SRG26:SRG28 TBC26:TBC28 TKY26:TKY28 TUU26:TUU28 UEQ26:UEQ28 UOM26:UOM28 UYI26:UYI28 VIE26:VIE28 VSA26:VSA28 WBW26:WBW28 WLS26:WLS28 WVO26:WVO28 C16 G17:G18"/>
    <dataValidation allowBlank="1" showInputMessage="1" showErrorMessage="1" promptTitle="Date Format" prompt="E.g:  &quot;August 1, 2011&quot;" sqref="M7:N7 G7"/>
    <dataValidation operator="lessThanOrEqual" allowBlank="1" showErrorMessage="1" promptTitle="Annual depreciation expense" prompt="Enter annual depreciation expense as a negative amount." sqref="IY33:IY35 SU33:SU35 ACQ33:ACQ35 AMM33:AMM35 AWI33:AWI35 BGE33:BGE35 BQA33:BQA35 BZW33:BZW35 CJS33:CJS35 CTO33:CTO35 DDK33:DDK35 DNG33:DNG35 DXC33:DXC35 EGY33:EGY35 EQU33:EQU35 FAQ33:FAQ35 FKM33:FKM35 FUI33:FUI35 GEE33:GEE35 GOA33:GOA35 GXW33:GXW35 HHS33:HHS35 HRO33:HRO35 IBK33:IBK35 ILG33:ILG35 IVC33:IVC35 JEY33:JEY35 JOU33:JOU35 JYQ33:JYQ35 KIM33:KIM35 KSI33:KSI35 LCE33:LCE35 LMA33:LMA35 LVW33:LVW35 MFS33:MFS35 MPO33:MPO35 MZK33:MZK35 NJG33:NJG35 NTC33:NTC35 OCY33:OCY35 OMU33:OMU35 OWQ33:OWQ35 PGM33:PGM35 PQI33:PQI35 QAE33:QAE35 QKA33:QKA35 QTW33:QTW35 RDS33:RDS35 RNO33:RNO35 RXK33:RXK35 SHG33:SHG35 SRC33:SRC35 TAY33:TAY35 TKU33:TKU35 TUQ33:TUQ35 UEM33:UEM35 UOI33:UOI35 UYE33:UYE35 VIA33:VIA35 VRW33:VRW35 WBS33:WBS35 WLO33:WLO35 WVK33:WVK35"/>
    <dataValidation allowBlank="1" showInputMessage="1" showErrorMessage="1" promptTitle="Gross Book Value" prompt="Enter original (Gross Book Value) of assets in dollars ($)" sqref="WVF33:WVF39 IT33:IT39 SP33:SP39 ACL33:ACL39 AMH33:AMH39 AWD33:AWD39 BFZ33:BFZ39 BPV33:BPV39 BZR33:BZR39 CJN33:CJN39 CTJ33:CTJ39 DDF33:DDF39 DNB33:DNB39 DWX33:DWX39 EGT33:EGT39 EQP33:EQP39 FAL33:FAL39 FKH33:FKH39 FUD33:FUD39 GDZ33:GDZ39 GNV33:GNV39 GXR33:GXR39 HHN33:HHN39 HRJ33:HRJ39 IBF33:IBF39 ILB33:ILB39 IUX33:IUX39 JET33:JET39 JOP33:JOP39 JYL33:JYL39 KIH33:KIH39 KSD33:KSD39 LBZ33:LBZ39 LLV33:LLV39 LVR33:LVR39 MFN33:MFN39 MPJ33:MPJ39 MZF33:MZF39 NJB33:NJB39 NSX33:NSX39 OCT33:OCT39 OMP33:OMP39 OWL33:OWL39 PGH33:PGH39 PQD33:PQD39 PZZ33:PZZ39 QJV33:QJV39 QTR33:QTR39 RDN33:RDN39 RNJ33:RNJ39 RXF33:RXF39 SHB33:SHB39 SQX33:SQX39 TAT33:TAT39 TKP33:TKP39 TUL33:TUL39 UEH33:UEH39 UOD33:UOD39 UXZ33:UXZ39 VHV33:VHV39 VRR33:VRR39 WBN33:WBN39 WLJ33:WLJ39 C23:C29"/>
    <dataValidation allowBlank="1" showInputMessage="1" showErrorMessage="1" promptTitle="OM&amp;A expenses" prompt="Enter OM&amp;A expenses in dollars ($)" sqref="WBS18:WBS24 IR33:IR39 SN33:SN39 ACJ33:ACJ39 AMF33:AMF39 AWB33:AWB39 BFX33:BFX39 BPT33:BPT39 BZP33:BZP39 CJL33:CJL39 CTH33:CTH39 DDD33:DDD39 DMZ33:DMZ39 DWV33:DWV39 EGR33:EGR39 EQN33:EQN39 FAJ33:FAJ39 FKF33:FKF39 FUB33:FUB39 GDX33:GDX39 GNT33:GNT39 GXP33:GXP39 HHL33:HHL39 HRH33:HRH39 IBD33:IBD39 IKZ33:IKZ39 IUV33:IUV39 JER33:JER39 JON33:JON39 JYJ33:JYJ39 KIF33:KIF39 KSB33:KSB39 LBX33:LBX39 LLT33:LLT39 LVP33:LVP39 MFL33:MFL39 MPH33:MPH39 MZD33:MZD39 NIZ33:NIZ39 NSV33:NSV39 OCR33:OCR39 OMN33:OMN39 OWJ33:OWJ39 PGF33:PGF39 PQB33:PQB39 PZX33:PZX39 QJT33:QJT39 QTP33:QTP39 RDL33:RDL39 RNH33:RNH39 RXD33:RXD39 SGZ33:SGZ39 SQV33:SQV39 TAR33:TAR39 TKN33:TKN39 TUJ33:TUJ39 UEF33:UEF39 UOB33:UOB39 UXX33:UXX39 VHT33:VHT39 VRP33:VRP39 WBL33:WBL39 WLH33:WLH39 WVD33:WVD39 WLM18:WLM24 WVE18:WVE22 WLI18:WLI22 WBM18:WBM22 VRQ18:VRQ22 VHU18:VHU22 UXY18:UXY22 UOC18:UOC22 UEG18:UEG22 TUK18:TUK22 TKO18:TKO22 TAS18:TAS22 SQW18:SQW22 SHA18:SHA22 RXE18:RXE22 RNI18:RNI22 RDM18:RDM22 QTQ18:QTQ22 QJU18:QJU22 PZY18:PZY22 PQC18:PQC22 PGG18:PGG22 OWK18:OWK22 OMO18:OMO22 OCS18:OCS22 NSW18:NSW22 NJA18:NJA22 MZE18:MZE22 MPI18:MPI22 MFM18:MFM22 LVQ18:LVQ22 LLU18:LLU22 LBY18:LBY22 KSC18:KSC22 KIG18:KIG22 JYK18:JYK22 JOO18:JOO22 JES18:JES22 IUW18:IUW22 ILA18:ILA22 IBE18:IBE22 HRI18:HRI22 HHM18:HHM22 GXQ18:GXQ22 GNU18:GNU22 GDY18:GDY22 FUC18:FUC22 FKG18:FKG22 FAK18:FAK22 EQO18:EQO22 EGS18:EGS22 DWW18:DWW22 DNA18:DNA22 DDE18:DDE22 CTI18:CTI22 CJM18:CJM22 BZQ18:BZQ22 BPU18:BPU22 BFY18:BFY22 AWC18:AWC22 AMG18:AMG22 ACK18:ACK22 SO18:SO22 IS18:IS22 WVG18:WVG22 IU18:IU22 SQ18:SQ22 ACM18:ACM22 AMI18:AMI22 AWE18:AWE22 BGA18:BGA22 BPW18:BPW22 BZS18:BZS22 CJO18:CJO22 CTK18:CTK22 DDG18:DDG22 DNC18:DNC22 DWY18:DWY22 EGU18:EGU22 EQQ18:EQQ22 FAM18:FAM22 FKI18:FKI22 FUE18:FUE22 GEA18:GEA22 GNW18:GNW22 GXS18:GXS22 HHO18:HHO22 HRK18:HRK22 IBG18:IBG22 ILC18:ILC22 IUY18:IUY22 JEU18:JEU22 JOQ18:JOQ22 JYM18:JYM22 KII18:KII22 KSE18:KSE22 LCA18:LCA22 LLW18:LLW22 LVS18:LVS22 MFO18:MFO22 MPK18:MPK22 MZG18:MZG22 NJC18:NJC22 NSY18:NSY22 OCU18:OCU22 OMQ18:OMQ22 OWM18:OWM22 PGI18:PGI22 PQE18:PQE22 QAA18:QAA22 QJW18:QJW22 QTS18:QTS22 RDO18:RDO22 RNK18:RNK22 RXG18:RXG22 SHC18:SHC22 SQY18:SQY22 TAU18:TAU22 TKQ18:TKQ22 TUM18:TUM22 UEI18:UEI22 UOE18:UOE22 UYA18:UYA22 VHW18:VHW22 VRS18:VRS22 WBO18:WBO22 WLK18:WLK22 WLO18:WLO24 WVQ23:WVQ24 WLU23:WLU24 WBY23:WBY24 VSC23:VSC24 VIG23:VIG24 UYK23:UYK24 UOO23:UOO24 UES23:UES24 TUW23:TUW24 TLA23:TLA24 TBE23:TBE24 SRI23:SRI24 SHM23:SHM24 RXQ23:RXQ24 RNU23:RNU24 RDY23:RDY24 QUC23:QUC24 QKG23:QKG24 QAK23:QAK24 PQO23:PQO24 PGS23:PGS24 OWW23:OWW24 ONA23:ONA24 ODE23:ODE24 NTI23:NTI24 NJM23:NJM24 MZQ23:MZQ24 MPU23:MPU24 MFY23:MFY24 LWC23:LWC24 LMG23:LMG24 LCK23:LCK24 KSO23:KSO24 KIS23:KIS24 JYW23:JYW24 JPA23:JPA24 JFE23:JFE24 IVI23:IVI24 ILM23:ILM24 IBQ23:IBQ24 HRU23:HRU24 HHY23:HHY24 GYC23:GYC24 GOG23:GOG24 GEK23:GEK24 FUO23:FUO24 FKS23:FKS24 FAW23:FAW24 ERA23:ERA24 EHE23:EHE24 DXI23:DXI24 DNM23:DNM24 DDQ23:DDQ24 CTU23:CTU24 CJY23:CJY24 CAC23:CAC24 BQG23:BQG24 BGK23:BGK24 AWO23:AWO24 AMS23:AMS24 ACW23:ACW24 TA23:TA24 JE23:JE24 I23:I24 WBQ18:WBQ24 WVI18:WVI24 JC23:JC24 SY23:SY24 ACU23:ACU24 AMQ23:AMQ24 AWM23:AWM24 BGI23:BGI24 BQE23:BQE24 CAA23:CAA24 CJW23:CJW24 CTS23:CTS24 DDO23:DDO24 DNK23:DNK24 DXG23:DXG24 EHC23:EHC24 EQY23:EQY24 FAU23:FAU24 FKQ23:FKQ24 FUM23:FUM24 GEI23:GEI24 GOE23:GOE24 GYA23:GYA24 HHW23:HHW24 HRS23:HRS24 IBO23:IBO24 ILK23:ILK24 IVG23:IVG24 JFC23:JFC24 JOY23:JOY24 JYU23:JYU24 KIQ23:KIQ24 KSM23:KSM24 LCI23:LCI24 LME23:LME24 LWA23:LWA24 MFW23:MFW24 MPS23:MPS24 MZO23:MZO24 NJK23:NJK24 NTG23:NTG24 ODC23:ODC24 OMY23:OMY24 OWU23:OWU24 PGQ23:PGQ24 PQM23:PQM24 QAI23:QAI24 QKE23:QKE24 QUA23:QUA24 RDW23:RDW24 RNS23:RNS24 RXO23:RXO24 SHK23:SHK24 SRG23:SRG24 TBC23:TBC24 TKY23:TKY24 TUU23:TUU24 UEQ23:UEQ24 UOM23:UOM24 UYI23:UYI24 VIE23:VIE24 VSA23:VSA24 WBW23:WBW24 WLS23:WLS24 WVO23:WVO24 JA18:JA24 SW18:SW24 ACS18:ACS24 AMO18:AMO24 AWK18:AWK24 BGG18:BGG24 BQC18:BQC24 BZY18:BZY24 CJU18:CJU24 CTQ18:CTQ24 DDM18:DDM24 DNI18:DNI24 DXE18:DXE24 EHA18:EHA24 EQW18:EQW24 FAS18:FAS24 FKO18:FKO24 FUK18:FUK24 GEG18:GEG24 GOC18:GOC24 GXY18:GXY24 HHU18:HHU24 HRQ18:HRQ24 IBM18:IBM24 ILI18:ILI24 IVE18:IVE24 JFA18:JFA24 JOW18:JOW24 JYS18:JYS24 KIO18:KIO24 KSK18:KSK24 LCG18:LCG24 LMC18:LMC24 LVY18:LVY24 MFU18:MFU24 MPQ18:MPQ24 MZM18:MZM24 NJI18:NJI24 NTE18:NTE24 ODA18:ODA24 OMW18:OMW24 OWS18:OWS24 PGO18:PGO24 PQK18:PQK24 QAG18:QAG24 QKC18:QKC24 QTY18:QTY24 RDU18:RDU24 RNQ18:RNQ24 RXM18:RXM24 SHI18:SHI24 SRE18:SRE24 TBA18:TBA24 TKW18:TKW24 TUS18:TUS24 UEO18:UEO24 UOK18:UOK24 UYG18:UYG24 VIC18:VIC24 VRY18:VRY24 WBU18:WBU24 WLQ18:WLQ24 WVK18:WVK24 WVM18:WVM24 IW18:IW24 IY18:IY24 SS18:SS24 SU18:SU24 ACO18:ACO24 ACQ18:ACQ24 AMK18:AMK24 AMM18:AMM24 AWG18:AWG24 AWI18:AWI24 BGC18:BGC24 BGE18:BGE24 BPY18:BPY24 BQA18:BQA24 BZU18:BZU24 BZW18:BZW24 CJQ18:CJQ24 CJS18:CJS24 CTM18:CTM24 CTO18:CTO24 DDI18:DDI24 DDK18:DDK24 DNE18:DNE24 DNG18:DNG24 DXA18:DXA24 DXC18:DXC24 EGW18:EGW24 EGY18:EGY24 EQS18:EQS24 EQU18:EQU24 FAO18:FAO24 FAQ18:FAQ24 FKK18:FKK24 FKM18:FKM24 FUG18:FUG24 FUI18:FUI24 GEC18:GEC24 GEE18:GEE24 GNY18:GNY24 GOA18:GOA24 GXU18:GXU24 GXW18:GXW24 HHQ18:HHQ24 HHS18:HHS24 HRM18:HRM24 HRO18:HRO24 IBI18:IBI24 IBK18:IBK24 ILE18:ILE24 ILG18:ILG24 IVA18:IVA24 IVC18:IVC24 JEW18:JEW24 JEY18:JEY24 JOS18:JOS24 JOU18:JOU24 JYO18:JYO24 JYQ18:JYQ24 KIK18:KIK24 KIM18:KIM24 KSG18:KSG24 KSI18:KSI24 LCC18:LCC24 LCE18:LCE24 LLY18:LLY24 LMA18:LMA24 LVU18:LVU24 LVW18:LVW24 MFQ18:MFQ24 MFS18:MFS24 MPM18:MPM24 MPO18:MPO24 MZI18:MZI24 MZK18:MZK24 NJE18:NJE24 NJG18:NJG24 NTA18:NTA24 NTC18:NTC24 OCW18:OCW24 OCY18:OCY24 OMS18:OMS24 OMU18:OMU24 OWO18:OWO24 OWQ18:OWQ24 PGK18:PGK24 PGM18:PGM24 PQG18:PQG24 PQI18:PQI24 QAC18:QAC24 QAE18:QAE24 QJY18:QJY24 QKA18:QKA24 QTU18:QTU24 QTW18:QTW24 RDQ18:RDQ24 RDS18:RDS24 RNM18:RNM24 RNO18:RNO24 RXI18:RXI24 RXK18:RXK24 SHE18:SHE24 SHG18:SHG24 SRA18:SRA24 SRC18:SRC24 TAW18:TAW24 TAY18:TAY24 TKS18:TKS24 TKU18:TKU24 TUO18:TUO24 TUQ18:TUQ24 UEK18:UEK24 UEM18:UEM24 UOG18:UOG24 UOI18:UOI24 UYC18:UYC24 UYE18:UYE24 VHY18:VHY24 VIA18:VIA24 VRU18:VRU24 VRW18:VRW24 B23:B29"/>
    <dataValidation type="decimal" operator="lessThanOrEqual" allowBlank="1" showInputMessage="1" showErrorMessage="1" promptTitle="Annual depreciation expense" prompt="Enter annual depreciation expense as a negative amount." sqref="WVJ33:WVJ39 IX33:IX39 ST33:ST39 ACP33:ACP39 AML33:AML39 AWH33:AWH39 BGD33:BGD39 BPZ33:BPZ39 BZV33:BZV39 CJR33:CJR39 CTN33:CTN39 DDJ33:DDJ39 DNF33:DNF39 DXB33:DXB39 EGX33:EGX39 EQT33:EQT39 FAP33:FAP39 FKL33:FKL39 FUH33:FUH39 GED33:GED39 GNZ33:GNZ39 GXV33:GXV39 HHR33:HHR39 HRN33:HRN39 IBJ33:IBJ39 ILF33:ILF39 IVB33:IVB39 JEX33:JEX39 JOT33:JOT39 JYP33:JYP39 KIL33:KIL39 KSH33:KSH39 LCD33:LCD39 LLZ33:LLZ39 LVV33:LVV39 MFR33:MFR39 MPN33:MPN39 MZJ33:MZJ39 NJF33:NJF39 NTB33:NTB39 OCX33:OCX39 OMT33:OMT39 OWP33:OWP39 PGL33:PGL39 PQH33:PQH39 QAD33:QAD39 QJZ33:QJZ39 QTV33:QTV39 RDR33:RDR39 RNN33:RNN39 RXJ33:RXJ39 SHF33:SHF39 SRB33:SRB39 TAX33:TAX39 TKT33:TKT39 TUP33:TUP39 UEL33:UEL39 UOH33:UOH39 UYD33:UYD39 VHZ33:VHZ39 VRV33:VRV39 WBR33:WBR39 WLN33:WLN39 E23:E29">
      <formula1>0</formula1>
    </dataValidation>
    <dataValidation type="decimal" operator="lessThanOrEqual" allowBlank="1" showInputMessage="1" showErrorMessage="1" promptTitle="Accumulated depreciation" prompt="Enter accumulated depreciation as a negative amount." sqref="WVH33:WVH39 IV33:IV39 SR33:SR39 ACN33:ACN39 AMJ33:AMJ39 AWF33:AWF39 BGB33:BGB39 BPX33:BPX39 BZT33:BZT39 CJP33:CJP39 CTL33:CTL39 DDH33:DDH39 DND33:DND39 DWZ33:DWZ39 EGV33:EGV39 EQR33:EQR39 FAN33:FAN39 FKJ33:FKJ39 FUF33:FUF39 GEB33:GEB39 GNX33:GNX39 GXT33:GXT39 HHP33:HHP39 HRL33:HRL39 IBH33:IBH39 ILD33:ILD39 IUZ33:IUZ39 JEV33:JEV39 JOR33:JOR39 JYN33:JYN39 KIJ33:KIJ39 KSF33:KSF39 LCB33:LCB39 LLX33:LLX39 LVT33:LVT39 MFP33:MFP39 MPL33:MPL39 MZH33:MZH39 NJD33:NJD39 NSZ33:NSZ39 OCV33:OCV39 OMR33:OMR39 OWN33:OWN39 PGJ33:PGJ39 PQF33:PQF39 QAB33:QAB39 QJX33:QJX39 QTT33:QTT39 RDP33:RDP39 RNL33:RNL39 RXH33:RXH39 SHD33:SHD39 SQZ33:SQZ39 TAV33:TAV39 TKR33:TKR39 TUN33:TUN39 UEJ33:UEJ39 UOF33:UOF39 UYB33:UYB39 VHX33:VHX39 VRT33:VRT39 WBP33:WBP39 WLL33:WLL39 D23:D29">
      <formula1>0</formula1>
    </dataValidation>
  </dataValidations>
  <pageMargins left="0.75" right="0.75" top="1" bottom="1" header="0.5" footer="0.5"/>
  <pageSetup scale="67" fitToHeight="2" orientation="landscape" r:id="rId1"/>
  <headerFooter alignWithMargins="0"/>
  <rowBreaks count="1" manualBreakCount="1">
    <brk id="38" max="6"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H71"/>
  <sheetViews>
    <sheetView showGridLines="0" zoomScaleNormal="100" workbookViewId="0"/>
  </sheetViews>
  <sheetFormatPr defaultRowHeight="12.75" x14ac:dyDescent="0.2"/>
  <cols>
    <col min="1" max="1" width="8.7109375" style="61" customWidth="1"/>
    <col min="2" max="2" width="30.7109375" style="61" customWidth="1"/>
    <col min="3" max="7" width="12.7109375" style="61" customWidth="1"/>
    <col min="8" max="8" width="14.7109375" style="61" customWidth="1"/>
    <col min="9" max="16384" width="9.140625" style="61"/>
  </cols>
  <sheetData>
    <row r="1" spans="1:8" x14ac:dyDescent="0.2">
      <c r="G1" s="715" t="s">
        <v>394</v>
      </c>
      <c r="H1" s="253" t="str">
        <f>EBNUMBER</f>
        <v>EB-2015-0089</v>
      </c>
    </row>
    <row r="2" spans="1:8" x14ac:dyDescent="0.2">
      <c r="G2" s="715" t="s">
        <v>395</v>
      </c>
      <c r="H2" s="254">
        <v>8</v>
      </c>
    </row>
    <row r="3" spans="1:8" x14ac:dyDescent="0.2">
      <c r="G3" s="715" t="s">
        <v>396</v>
      </c>
      <c r="H3" s="254" t="s">
        <v>2456</v>
      </c>
    </row>
    <row r="4" spans="1:8" x14ac:dyDescent="0.2">
      <c r="G4" s="715" t="s">
        <v>397</v>
      </c>
      <c r="H4" s="254" t="s">
        <v>2423</v>
      </c>
    </row>
    <row r="5" spans="1:8" x14ac:dyDescent="0.2">
      <c r="G5" s="715" t="s">
        <v>398</v>
      </c>
      <c r="H5" s="255">
        <v>12</v>
      </c>
    </row>
    <row r="6" spans="1:8" x14ac:dyDescent="0.2">
      <c r="G6" s="715"/>
      <c r="H6" s="253"/>
    </row>
    <row r="7" spans="1:8" x14ac:dyDescent="0.2">
      <c r="G7" s="715" t="s">
        <v>399</v>
      </c>
      <c r="H7" s="1836" t="s">
        <v>2455</v>
      </c>
    </row>
    <row r="9" spans="1:8" ht="18" x14ac:dyDescent="0.25">
      <c r="A9" s="1940" t="s">
        <v>546</v>
      </c>
      <c r="B9" s="1940"/>
      <c r="C9" s="1940"/>
      <c r="D9" s="1940"/>
      <c r="E9" s="1940"/>
      <c r="F9" s="1940"/>
      <c r="G9" s="1940"/>
      <c r="H9" s="1940"/>
    </row>
    <row r="10" spans="1:8" ht="18" x14ac:dyDescent="0.25">
      <c r="A10" s="1940" t="s">
        <v>2446</v>
      </c>
      <c r="B10" s="1940"/>
      <c r="C10" s="1940"/>
      <c r="D10" s="1940"/>
      <c r="E10" s="1940"/>
      <c r="F10" s="1940"/>
      <c r="G10" s="1940"/>
      <c r="H10" s="1940"/>
    </row>
    <row r="11" spans="1:8" x14ac:dyDescent="0.2">
      <c r="A11" s="2352"/>
      <c r="B11" s="2352"/>
      <c r="C11" s="2352"/>
      <c r="D11" s="2352"/>
      <c r="E11" s="2352"/>
      <c r="F11" s="2352"/>
      <c r="G11" s="2352"/>
      <c r="H11" s="2352"/>
    </row>
    <row r="12" spans="1:8" ht="13.5" thickBot="1" x14ac:dyDescent="0.25"/>
    <row r="13" spans="1:8" x14ac:dyDescent="0.2">
      <c r="A13" s="2353" t="s">
        <v>2386</v>
      </c>
      <c r="B13" s="2354"/>
      <c r="C13" s="2357" t="s">
        <v>190</v>
      </c>
      <c r="D13" s="2358"/>
      <c r="E13" s="2358"/>
      <c r="F13" s="2358"/>
      <c r="G13" s="2359"/>
      <c r="H13" s="2360" t="s">
        <v>191</v>
      </c>
    </row>
    <row r="14" spans="1:8" x14ac:dyDescent="0.2">
      <c r="A14" s="2355"/>
      <c r="B14" s="2356"/>
      <c r="C14" s="1811">
        <f>IF(ISBLANK('LDC Info'!E26-5), "Year 5", 'LDC Info'!E26-5)</f>
        <v>2010</v>
      </c>
      <c r="D14" s="1811">
        <f>IF(ISBLANK('LDC Info'!E26-4), "Year 5", 'LDC Info'!E26-4)</f>
        <v>2011</v>
      </c>
      <c r="E14" s="1811">
        <f>IF(ISBLANK('LDC Info'!E26-3), "Year 5", 'LDC Info'!E26-3)</f>
        <v>2012</v>
      </c>
      <c r="F14" s="1811">
        <f>IF(ISBLANK('LDC Info'!E26-2), "Year 5", 'LDC Info'!E26-2)</f>
        <v>2013</v>
      </c>
      <c r="G14" s="1811">
        <f>IF(ISBLANK('LDC Info'!E26-1), "Year 5", 'LDC Info'!E26-1)</f>
        <v>2014</v>
      </c>
      <c r="H14" s="2361"/>
    </row>
    <row r="15" spans="1:8" x14ac:dyDescent="0.2">
      <c r="A15" s="1246"/>
      <c r="B15" s="2362" t="s">
        <v>192</v>
      </c>
      <c r="C15" s="2363"/>
      <c r="D15" s="2363"/>
      <c r="E15" s="2363"/>
      <c r="F15" s="2363"/>
      <c r="G15" s="2363"/>
      <c r="H15" s="2364"/>
    </row>
    <row r="16" spans="1:8" ht="25.5" x14ac:dyDescent="0.2">
      <c r="A16" s="1247" t="s">
        <v>193</v>
      </c>
      <c r="B16" s="985" t="s">
        <v>194</v>
      </c>
      <c r="C16" s="1812"/>
      <c r="D16" s="1812"/>
      <c r="E16" s="1812"/>
      <c r="F16" s="1812"/>
      <c r="G16" s="1812"/>
      <c r="H16" s="1248">
        <f>IF(SUM(C16:G16)=0,0,AVERAGE(C16:G16))</f>
        <v>0</v>
      </c>
    </row>
    <row r="17" spans="1:8" ht="25.5" x14ac:dyDescent="0.2">
      <c r="A17" s="1247" t="s">
        <v>195</v>
      </c>
      <c r="B17" s="985" t="s">
        <v>196</v>
      </c>
      <c r="C17" s="1528">
        <v>750296733</v>
      </c>
      <c r="D17" s="1528">
        <v>781246076</v>
      </c>
      <c r="E17" s="1528">
        <v>806378609</v>
      </c>
      <c r="F17" s="1528">
        <v>839775135</v>
      </c>
      <c r="G17" s="1528">
        <v>865028075</v>
      </c>
      <c r="H17" s="1248">
        <f>IF(SUM(C17:G17)=0,0,AVERAGE(C17:G17))</f>
        <v>808544925.60000002</v>
      </c>
    </row>
    <row r="18" spans="1:8" ht="38.25" x14ac:dyDescent="0.2">
      <c r="A18" s="1247" t="s">
        <v>197</v>
      </c>
      <c r="B18" s="985" t="s">
        <v>198</v>
      </c>
      <c r="C18" s="1528">
        <v>78217320.920000002</v>
      </c>
      <c r="D18" s="1528">
        <v>82338183.540000007</v>
      </c>
      <c r="E18" s="1528">
        <v>88611561.189999998</v>
      </c>
      <c r="F18" s="1528">
        <v>118739865.85620001</v>
      </c>
      <c r="G18" s="1528">
        <v>136770135.75999999</v>
      </c>
      <c r="H18" s="1248">
        <f>IF(SUM(C18:G18)=0,0,AVERAGE(C18:G18))</f>
        <v>100935413.45324001</v>
      </c>
    </row>
    <row r="19" spans="1:8" ht="25.5" x14ac:dyDescent="0.2">
      <c r="A19" s="1247" t="s">
        <v>199</v>
      </c>
      <c r="B19" s="985" t="s">
        <v>211</v>
      </c>
      <c r="C19" s="1528">
        <f t="shared" ref="C19:G19" si="0">C17-C18</f>
        <v>672079412.08000004</v>
      </c>
      <c r="D19" s="1528">
        <f t="shared" si="0"/>
        <v>698907892.46000004</v>
      </c>
      <c r="E19" s="1528">
        <f t="shared" si="0"/>
        <v>717767047.80999994</v>
      </c>
      <c r="F19" s="1528">
        <f t="shared" si="0"/>
        <v>721035269.14380002</v>
      </c>
      <c r="G19" s="1528">
        <f t="shared" si="0"/>
        <v>728257939.24000001</v>
      </c>
      <c r="H19" s="1249">
        <f t="shared" ref="H19" si="1">H17-H18</f>
        <v>707609512.14675999</v>
      </c>
    </row>
    <row r="20" spans="1:8" ht="14.25" customHeight="1" x14ac:dyDescent="0.2">
      <c r="A20" s="1247" t="s">
        <v>200</v>
      </c>
      <c r="B20" s="985" t="s">
        <v>201</v>
      </c>
      <c r="C20" s="1528">
        <v>728497481</v>
      </c>
      <c r="D20" s="1528">
        <v>757336720</v>
      </c>
      <c r="E20" s="1528">
        <v>785971317</v>
      </c>
      <c r="F20" s="1528">
        <v>816662708</v>
      </c>
      <c r="G20" s="1528">
        <v>839618256</v>
      </c>
      <c r="H20" s="1248">
        <f>IF(SUM(C20:G20)=0,0,AVERAGE(C20:G20))</f>
        <v>785617296.39999998</v>
      </c>
    </row>
    <row r="21" spans="1:8" ht="38.25" x14ac:dyDescent="0.2">
      <c r="A21" s="1247" t="s">
        <v>202</v>
      </c>
      <c r="B21" s="985" t="s">
        <v>203</v>
      </c>
      <c r="C21" s="1813">
        <v>77442892</v>
      </c>
      <c r="D21" s="1528">
        <v>81522954</v>
      </c>
      <c r="E21" s="1528">
        <v>87734219</v>
      </c>
      <c r="F21" s="1528">
        <v>117564223.62</v>
      </c>
      <c r="G21" s="1528">
        <v>135415976</v>
      </c>
      <c r="H21" s="1248">
        <f>IF(SUM(C21:G21)=0,0,AVERAGE(C21:G21))</f>
        <v>99936052.923999995</v>
      </c>
    </row>
    <row r="22" spans="1:8" ht="25.5" x14ac:dyDescent="0.2">
      <c r="A22" s="1247" t="s">
        <v>204</v>
      </c>
      <c r="B22" s="985" t="s">
        <v>212</v>
      </c>
      <c r="C22" s="1528">
        <f t="shared" ref="C22:G22" si="2">C20-C21</f>
        <v>651054589</v>
      </c>
      <c r="D22" s="1528">
        <f t="shared" si="2"/>
        <v>675813766</v>
      </c>
      <c r="E22" s="1528">
        <f t="shared" si="2"/>
        <v>698237098</v>
      </c>
      <c r="F22" s="1528">
        <f t="shared" si="2"/>
        <v>699098484.38</v>
      </c>
      <c r="G22" s="1528">
        <f t="shared" si="2"/>
        <v>704202280</v>
      </c>
      <c r="H22" s="1249">
        <f t="shared" ref="H22" si="3">H20-H21</f>
        <v>685681243.47599995</v>
      </c>
    </row>
    <row r="23" spans="1:8" ht="25.5" x14ac:dyDescent="0.2">
      <c r="A23" s="1247" t="s">
        <v>205</v>
      </c>
      <c r="B23" s="985" t="s">
        <v>213</v>
      </c>
      <c r="C23" s="1529">
        <f t="shared" ref="C23:G23" si="4">IF(C22=0,"",C19/C22)</f>
        <v>1.0322934872670102</v>
      </c>
      <c r="D23" s="1529">
        <f t="shared" si="4"/>
        <v>1.0341723232373459</v>
      </c>
      <c r="E23" s="1529">
        <f t="shared" si="4"/>
        <v>1.0279703697582678</v>
      </c>
      <c r="F23" s="1529">
        <f t="shared" si="4"/>
        <v>1.0313786759003702</v>
      </c>
      <c r="G23" s="1529">
        <f t="shared" si="4"/>
        <v>1.0341601552894717</v>
      </c>
      <c r="H23" s="1250">
        <f t="shared" ref="H23" si="5">IF(H22=0,"",H19/H22)</f>
        <v>1.0319802661650721</v>
      </c>
    </row>
    <row r="24" spans="1:8" ht="13.5" customHeight="1" x14ac:dyDescent="0.2">
      <c r="A24" s="1251"/>
      <c r="B24" s="2365" t="s">
        <v>207</v>
      </c>
      <c r="C24" s="2366"/>
      <c r="D24" s="2366"/>
      <c r="E24" s="2366"/>
      <c r="F24" s="2366"/>
      <c r="G24" s="2366"/>
      <c r="H24" s="2367"/>
    </row>
    <row r="25" spans="1:8" x14ac:dyDescent="0.2">
      <c r="A25" s="1247" t="s">
        <v>206</v>
      </c>
      <c r="B25" s="985" t="s">
        <v>208</v>
      </c>
      <c r="C25" s="1530">
        <v>1.0026197048796772</v>
      </c>
      <c r="D25" s="1530">
        <v>1.0026369221557796</v>
      </c>
      <c r="E25" s="1530">
        <v>1.0032663388810894</v>
      </c>
      <c r="F25" s="1530">
        <v>1.0101273229368035</v>
      </c>
      <c r="G25" s="1531">
        <v>1.0076385381191362</v>
      </c>
      <c r="H25" s="1252">
        <v>1.005380367645778</v>
      </c>
    </row>
    <row r="26" spans="1:8" x14ac:dyDescent="0.2">
      <c r="A26" s="1251"/>
      <c r="B26" s="2365" t="s">
        <v>209</v>
      </c>
      <c r="C26" s="2366"/>
      <c r="D26" s="2366"/>
      <c r="E26" s="2366"/>
      <c r="F26" s="2366"/>
      <c r="G26" s="2366"/>
      <c r="H26" s="2367"/>
    </row>
    <row r="27" spans="1:8" ht="13.5" thickBot="1" x14ac:dyDescent="0.25">
      <c r="A27" s="1253" t="s">
        <v>210</v>
      </c>
      <c r="B27" s="992" t="s">
        <v>214</v>
      </c>
      <c r="C27" s="1254">
        <f t="shared" ref="C27:H27" si="6">IF(C23="","",C23*C25)</f>
        <v>1.0349977915528625</v>
      </c>
      <c r="D27" s="1254">
        <f t="shared" si="6"/>
        <v>1.0368993551493846</v>
      </c>
      <c r="E27" s="1254">
        <f t="shared" si="6"/>
        <v>1.031328069345617</v>
      </c>
      <c r="F27" s="1254">
        <f t="shared" si="6"/>
        <v>1.0418237808213462</v>
      </c>
      <c r="G27" s="1254">
        <f t="shared" si="6"/>
        <v>1.0420596270569422</v>
      </c>
      <c r="H27" s="1814">
        <f t="shared" si="6"/>
        <v>1.0375326994002281</v>
      </c>
    </row>
    <row r="29" spans="1:8" x14ac:dyDescent="0.2">
      <c r="A29" s="582" t="s">
        <v>13</v>
      </c>
    </row>
    <row r="30" spans="1:8" ht="7.5" customHeight="1" x14ac:dyDescent="0.2"/>
    <row r="32" spans="1:8" x14ac:dyDescent="0.2">
      <c r="A32" s="579" t="s">
        <v>193</v>
      </c>
      <c r="B32" s="2368" t="s">
        <v>370</v>
      </c>
      <c r="C32" s="2368"/>
      <c r="D32" s="2368"/>
      <c r="E32" s="2368"/>
      <c r="F32" s="2368"/>
      <c r="G32" s="2368"/>
      <c r="H32" s="2368"/>
    </row>
    <row r="33" spans="1:8" x14ac:dyDescent="0.2">
      <c r="A33" s="1255"/>
      <c r="B33" s="2368"/>
      <c r="C33" s="2368"/>
      <c r="D33" s="2368"/>
      <c r="E33" s="2368"/>
      <c r="F33" s="2368"/>
      <c r="G33" s="2368"/>
      <c r="H33" s="2368"/>
    </row>
    <row r="34" spans="1:8" x14ac:dyDescent="0.2">
      <c r="A34" s="1255"/>
      <c r="B34" s="2368"/>
      <c r="C34" s="2368"/>
      <c r="D34" s="2368"/>
      <c r="E34" s="2368"/>
      <c r="F34" s="2368"/>
      <c r="G34" s="2368"/>
      <c r="H34" s="2368"/>
    </row>
    <row r="35" spans="1:8" ht="7.5" customHeight="1" x14ac:dyDescent="0.2">
      <c r="A35" s="1255"/>
      <c r="B35" s="1256"/>
      <c r="C35" s="1256"/>
      <c r="D35" s="1256"/>
      <c r="E35" s="1256"/>
      <c r="F35" s="1256"/>
      <c r="G35" s="1256"/>
      <c r="H35" s="1256"/>
    </row>
    <row r="36" spans="1:8" x14ac:dyDescent="0.2">
      <c r="A36" s="1255"/>
      <c r="B36" s="2368" t="s">
        <v>371</v>
      </c>
      <c r="C36" s="2368"/>
      <c r="D36" s="2368"/>
      <c r="E36" s="2368"/>
      <c r="F36" s="2368"/>
      <c r="G36" s="2368"/>
      <c r="H36" s="2368"/>
    </row>
    <row r="37" spans="1:8" x14ac:dyDescent="0.2">
      <c r="A37" s="1255"/>
      <c r="B37" s="2368"/>
      <c r="C37" s="2368"/>
      <c r="D37" s="2368"/>
      <c r="E37" s="2368"/>
      <c r="F37" s="2368"/>
      <c r="G37" s="2368"/>
      <c r="H37" s="2368"/>
    </row>
    <row r="38" spans="1:8" x14ac:dyDescent="0.2">
      <c r="A38" s="1255"/>
      <c r="B38" s="2368"/>
      <c r="C38" s="2368"/>
      <c r="D38" s="2368"/>
      <c r="E38" s="2368"/>
      <c r="F38" s="2368"/>
      <c r="G38" s="2368"/>
      <c r="H38" s="2368"/>
    </row>
    <row r="39" spans="1:8" x14ac:dyDescent="0.2">
      <c r="A39" s="1255"/>
      <c r="B39" s="2368"/>
      <c r="C39" s="2368"/>
      <c r="D39" s="2368"/>
      <c r="E39" s="2368"/>
      <c r="F39" s="2368"/>
      <c r="G39" s="2368"/>
      <c r="H39" s="2368"/>
    </row>
    <row r="40" spans="1:8" ht="7.5" customHeight="1" x14ac:dyDescent="0.2">
      <c r="A40" s="1255"/>
      <c r="B40" s="1256"/>
      <c r="C40" s="1256"/>
      <c r="D40" s="1256"/>
      <c r="E40" s="1256"/>
      <c r="F40" s="1256"/>
      <c r="G40" s="1256"/>
      <c r="H40" s="1256"/>
    </row>
    <row r="41" spans="1:8" x14ac:dyDescent="0.2">
      <c r="A41" s="1255"/>
      <c r="B41" s="1256" t="s">
        <v>321</v>
      </c>
      <c r="C41" s="1256"/>
      <c r="D41" s="1256"/>
      <c r="E41" s="1256"/>
      <c r="F41" s="1256"/>
      <c r="G41" s="1256"/>
      <c r="H41" s="1256"/>
    </row>
    <row r="42" spans="1:8" ht="7.5" customHeight="1" x14ac:dyDescent="0.2">
      <c r="A42" s="1255"/>
      <c r="B42" s="1256"/>
      <c r="C42" s="1256"/>
      <c r="D42" s="1256"/>
      <c r="E42" s="1256"/>
      <c r="F42" s="1256"/>
      <c r="G42" s="1256"/>
      <c r="H42" s="1256"/>
    </row>
    <row r="43" spans="1:8" x14ac:dyDescent="0.2">
      <c r="A43" s="579" t="s">
        <v>195</v>
      </c>
      <c r="B43" s="2368" t="s">
        <v>372</v>
      </c>
      <c r="C43" s="2368"/>
      <c r="D43" s="2368"/>
      <c r="E43" s="2368"/>
      <c r="F43" s="2368"/>
      <c r="G43" s="2368"/>
      <c r="H43" s="2368"/>
    </row>
    <row r="44" spans="1:8" x14ac:dyDescent="0.2">
      <c r="A44" s="1255"/>
      <c r="B44" s="2368"/>
      <c r="C44" s="2368"/>
      <c r="D44" s="2368"/>
      <c r="E44" s="2368"/>
      <c r="F44" s="2368"/>
      <c r="G44" s="2368"/>
      <c r="H44" s="2368"/>
    </row>
    <row r="45" spans="1:8" x14ac:dyDescent="0.2">
      <c r="A45" s="1255"/>
      <c r="B45" s="2368"/>
      <c r="C45" s="2368"/>
      <c r="D45" s="2368"/>
      <c r="E45" s="2368"/>
      <c r="F45" s="2368"/>
      <c r="G45" s="2368"/>
      <c r="H45" s="2368"/>
    </row>
    <row r="46" spans="1:8" ht="7.5" customHeight="1" x14ac:dyDescent="0.2">
      <c r="A46" s="1255"/>
      <c r="B46" s="1256"/>
      <c r="C46" s="1256"/>
      <c r="D46" s="1256"/>
      <c r="E46" s="1256"/>
      <c r="F46" s="1256"/>
      <c r="G46" s="1256"/>
      <c r="H46" s="1256"/>
    </row>
    <row r="47" spans="1:8" ht="12.75" customHeight="1" x14ac:dyDescent="0.2">
      <c r="A47" s="1255"/>
      <c r="B47" s="2369" t="s">
        <v>805</v>
      </c>
      <c r="C47" s="2369"/>
      <c r="D47" s="2369"/>
      <c r="E47" s="2369"/>
      <c r="F47" s="2369"/>
      <c r="G47" s="2369"/>
      <c r="H47" s="2369"/>
    </row>
    <row r="48" spans="1:8" x14ac:dyDescent="0.2">
      <c r="A48" s="1255"/>
      <c r="B48" s="2369"/>
      <c r="C48" s="2369"/>
      <c r="D48" s="2369"/>
      <c r="E48" s="2369"/>
      <c r="F48" s="2369"/>
      <c r="G48" s="2369"/>
      <c r="H48" s="2369"/>
    </row>
    <row r="49" spans="1:8" x14ac:dyDescent="0.2">
      <c r="A49" s="1255"/>
      <c r="B49" s="2369"/>
      <c r="C49" s="2369"/>
      <c r="D49" s="2369"/>
      <c r="E49" s="2369"/>
      <c r="F49" s="2369"/>
      <c r="G49" s="2369"/>
      <c r="H49" s="2369"/>
    </row>
    <row r="50" spans="1:8" x14ac:dyDescent="0.2">
      <c r="A50" s="1255"/>
      <c r="B50" s="2369"/>
      <c r="C50" s="2369"/>
      <c r="D50" s="2369"/>
      <c r="E50" s="2369"/>
      <c r="F50" s="2369"/>
      <c r="G50" s="2369"/>
      <c r="H50" s="2369"/>
    </row>
    <row r="51" spans="1:8" ht="7.5" customHeight="1" x14ac:dyDescent="0.2">
      <c r="A51" s="1255"/>
      <c r="B51" s="1256"/>
      <c r="C51" s="1256"/>
      <c r="D51" s="1256"/>
      <c r="E51" s="1256"/>
      <c r="F51" s="1256"/>
      <c r="G51" s="1256"/>
      <c r="H51" s="1256"/>
    </row>
    <row r="52" spans="1:8" x14ac:dyDescent="0.2">
      <c r="A52" s="1255"/>
      <c r="B52" s="2370" t="s">
        <v>321</v>
      </c>
      <c r="C52" s="2370"/>
      <c r="D52" s="2370"/>
      <c r="E52" s="2370"/>
      <c r="F52" s="2370"/>
      <c r="G52" s="2370"/>
      <c r="H52" s="2370"/>
    </row>
    <row r="53" spans="1:8" ht="7.5" customHeight="1" x14ac:dyDescent="0.2">
      <c r="A53" s="1255"/>
      <c r="B53" s="1256"/>
      <c r="C53" s="1256"/>
      <c r="D53" s="1256"/>
      <c r="E53" s="1256"/>
      <c r="F53" s="1256"/>
      <c r="G53" s="1256"/>
      <c r="H53" s="1256"/>
    </row>
    <row r="54" spans="1:8" x14ac:dyDescent="0.2">
      <c r="A54" s="1255"/>
      <c r="B54" s="2368" t="s">
        <v>373</v>
      </c>
      <c r="C54" s="2368"/>
      <c r="D54" s="2368"/>
      <c r="E54" s="2368"/>
      <c r="F54" s="2368"/>
      <c r="G54" s="2368"/>
      <c r="H54" s="2368"/>
    </row>
    <row r="55" spans="1:8" x14ac:dyDescent="0.2">
      <c r="A55" s="1255"/>
      <c r="B55" s="2368"/>
      <c r="C55" s="2368"/>
      <c r="D55" s="2368"/>
      <c r="E55" s="2368"/>
      <c r="F55" s="2368"/>
      <c r="G55" s="2368"/>
      <c r="H55" s="2368"/>
    </row>
    <row r="56" spans="1:8" ht="7.5" customHeight="1" x14ac:dyDescent="0.2">
      <c r="A56" s="1255"/>
      <c r="B56" s="1256"/>
      <c r="C56" s="1256"/>
      <c r="D56" s="1256"/>
      <c r="E56" s="1256"/>
      <c r="F56" s="1256"/>
      <c r="G56" s="1256"/>
      <c r="H56" s="1256"/>
    </row>
    <row r="57" spans="1:8" x14ac:dyDescent="0.2">
      <c r="A57" s="579" t="s">
        <v>197</v>
      </c>
      <c r="B57" s="2368" t="s">
        <v>374</v>
      </c>
      <c r="C57" s="2368"/>
      <c r="D57" s="2368"/>
      <c r="E57" s="2368"/>
      <c r="F57" s="2368"/>
      <c r="G57" s="2368"/>
      <c r="H57" s="2368"/>
    </row>
    <row r="58" spans="1:8" x14ac:dyDescent="0.2">
      <c r="A58" s="1255"/>
      <c r="B58" s="2368"/>
      <c r="C58" s="2368"/>
      <c r="D58" s="2368"/>
      <c r="E58" s="2368"/>
      <c r="F58" s="2368"/>
      <c r="G58" s="2368"/>
      <c r="H58" s="2368"/>
    </row>
    <row r="59" spans="1:8" ht="7.5" customHeight="1" x14ac:dyDescent="0.2">
      <c r="A59" s="1255"/>
      <c r="B59" s="1256"/>
      <c r="C59" s="1256"/>
      <c r="D59" s="1256"/>
      <c r="E59" s="1256"/>
      <c r="F59" s="1256"/>
      <c r="G59" s="1256"/>
      <c r="H59" s="1256"/>
    </row>
    <row r="60" spans="1:8" x14ac:dyDescent="0.2">
      <c r="A60" s="579" t="s">
        <v>200</v>
      </c>
      <c r="B60" s="2369" t="s">
        <v>575</v>
      </c>
      <c r="C60" s="2368"/>
      <c r="D60" s="2368"/>
      <c r="E60" s="2368"/>
      <c r="F60" s="2368"/>
      <c r="G60" s="2368"/>
      <c r="H60" s="2368"/>
    </row>
    <row r="61" spans="1:8" x14ac:dyDescent="0.2">
      <c r="A61" s="1255"/>
      <c r="B61" s="1256"/>
      <c r="C61" s="1256"/>
      <c r="D61" s="1256"/>
      <c r="E61" s="1256"/>
      <c r="F61" s="1256"/>
      <c r="G61" s="1256"/>
      <c r="H61" s="1256"/>
    </row>
    <row r="62" spans="1:8" x14ac:dyDescent="0.2">
      <c r="A62" s="579" t="s">
        <v>375</v>
      </c>
      <c r="B62" s="2370" t="s">
        <v>322</v>
      </c>
      <c r="C62" s="2370"/>
      <c r="D62" s="2370"/>
      <c r="E62" s="2370"/>
      <c r="F62" s="2370"/>
      <c r="G62" s="2370"/>
      <c r="H62" s="2370"/>
    </row>
    <row r="63" spans="1:8" x14ac:dyDescent="0.2">
      <c r="A63" s="1255"/>
      <c r="B63" s="1256"/>
      <c r="C63" s="1256"/>
      <c r="D63" s="1256"/>
      <c r="E63" s="1256"/>
      <c r="F63" s="1256"/>
      <c r="G63" s="1256"/>
      <c r="H63" s="1256"/>
    </row>
    <row r="64" spans="1:8" x14ac:dyDescent="0.2">
      <c r="A64" s="579" t="s">
        <v>206</v>
      </c>
      <c r="B64" s="2370" t="s">
        <v>368</v>
      </c>
      <c r="C64" s="2370"/>
      <c r="D64" s="2370"/>
      <c r="E64" s="2370"/>
      <c r="F64" s="2370"/>
      <c r="G64" s="2370"/>
      <c r="H64" s="2370"/>
    </row>
    <row r="65" spans="1:8" x14ac:dyDescent="0.2">
      <c r="A65" s="1256"/>
      <c r="B65" s="1256"/>
      <c r="C65" s="1256"/>
      <c r="D65" s="1256"/>
      <c r="E65" s="1256"/>
      <c r="F65" s="1256"/>
      <c r="G65" s="1256"/>
      <c r="H65" s="1256"/>
    </row>
    <row r="66" spans="1:8" x14ac:dyDescent="0.2">
      <c r="A66" s="1256"/>
      <c r="B66" s="2368" t="s">
        <v>369</v>
      </c>
      <c r="C66" s="2368"/>
      <c r="D66" s="2368"/>
      <c r="E66" s="2368"/>
      <c r="F66" s="2368"/>
      <c r="G66" s="2368"/>
      <c r="H66" s="1256"/>
    </row>
    <row r="67" spans="1:8" x14ac:dyDescent="0.2">
      <c r="A67" s="1256"/>
      <c r="B67" s="2368"/>
      <c r="C67" s="2368"/>
      <c r="D67" s="2368"/>
      <c r="E67" s="2368"/>
      <c r="F67" s="2368"/>
      <c r="G67" s="2368"/>
      <c r="H67" s="1256"/>
    </row>
    <row r="68" spans="1:8" x14ac:dyDescent="0.2">
      <c r="A68" s="1256"/>
      <c r="B68" s="2368"/>
      <c r="C68" s="2368"/>
      <c r="D68" s="2368"/>
      <c r="E68" s="2368"/>
      <c r="F68" s="2368"/>
      <c r="G68" s="2368"/>
      <c r="H68" s="1256"/>
    </row>
    <row r="69" spans="1:8" x14ac:dyDescent="0.2">
      <c r="A69" s="1256"/>
      <c r="B69" s="1256"/>
      <c r="C69" s="1256"/>
      <c r="D69" s="1256"/>
      <c r="E69" s="1256"/>
      <c r="F69" s="1256"/>
      <c r="G69" s="1256"/>
      <c r="H69" s="1256"/>
    </row>
    <row r="70" spans="1:8" x14ac:dyDescent="0.2">
      <c r="B70" s="2370" t="s">
        <v>376</v>
      </c>
      <c r="C70" s="2371"/>
      <c r="D70" s="2371"/>
      <c r="E70" s="2371"/>
      <c r="F70" s="2371"/>
      <c r="G70" s="2371"/>
      <c r="H70" s="2371"/>
    </row>
    <row r="71" spans="1:8" x14ac:dyDescent="0.2">
      <c r="B71" s="61" t="s">
        <v>377</v>
      </c>
    </row>
  </sheetData>
  <mergeCells count="21">
    <mergeCell ref="B57:H58"/>
    <mergeCell ref="B60:H60"/>
    <mergeCell ref="B32:H34"/>
    <mergeCell ref="B70:H70"/>
    <mergeCell ref="B62:H62"/>
    <mergeCell ref="B64:H64"/>
    <mergeCell ref="B66:G68"/>
    <mergeCell ref="B52:H52"/>
    <mergeCell ref="B15:H15"/>
    <mergeCell ref="B24:H24"/>
    <mergeCell ref="B26:H26"/>
    <mergeCell ref="B54:H55"/>
    <mergeCell ref="B36:H39"/>
    <mergeCell ref="B43:H45"/>
    <mergeCell ref="B47:H50"/>
    <mergeCell ref="A9:H9"/>
    <mergeCell ref="A10:H10"/>
    <mergeCell ref="A11:H11"/>
    <mergeCell ref="A13:B14"/>
    <mergeCell ref="C13:G13"/>
    <mergeCell ref="H13:H14"/>
  </mergeCells>
  <phoneticPr fontId="17" type="noConversion"/>
  <dataValidations count="1">
    <dataValidation allowBlank="1" showInputMessage="1" showErrorMessage="1" promptTitle="Date Format" prompt="E.g:  &quot;August 1, 2011&quot;" sqref="H7"/>
  </dataValidations>
  <pageMargins left="0.75" right="0.75" top="1" bottom="1" header="0.5" footer="0.5"/>
  <pageSetup scale="64"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H94"/>
  <sheetViews>
    <sheetView showGridLines="0" zoomScaleNormal="100" workbookViewId="0"/>
  </sheetViews>
  <sheetFormatPr defaultRowHeight="12.75" x14ac:dyDescent="0.2"/>
  <cols>
    <col min="1" max="1" width="6.7109375" style="61" customWidth="1"/>
    <col min="2" max="2" width="6.5703125" style="61" customWidth="1"/>
    <col min="3" max="5" width="13.7109375" style="61" customWidth="1"/>
    <col min="6" max="6" width="17.28515625" style="61" bestFit="1" customWidth="1"/>
    <col min="7" max="7" width="13.7109375" style="61" customWidth="1"/>
    <col min="8" max="8" width="16.42578125" style="61" customWidth="1"/>
    <col min="9" max="9" width="13.7109375" style="61" customWidth="1"/>
    <col min="10" max="16384" width="9.140625" style="61"/>
  </cols>
  <sheetData>
    <row r="1" spans="1:8" x14ac:dyDescent="0.2">
      <c r="A1" s="1748" t="s">
        <v>2313</v>
      </c>
      <c r="B1" s="1748"/>
      <c r="G1" s="715" t="s">
        <v>394</v>
      </c>
      <c r="H1" s="253" t="str">
        <f>EBNUMBER</f>
        <v>EB-2015-0089</v>
      </c>
    </row>
    <row r="2" spans="1:8" x14ac:dyDescent="0.2">
      <c r="G2" s="715" t="s">
        <v>395</v>
      </c>
      <c r="H2" s="254">
        <v>2</v>
      </c>
    </row>
    <row r="3" spans="1:8" x14ac:dyDescent="0.2">
      <c r="G3" s="715" t="s">
        <v>396</v>
      </c>
      <c r="H3" s="254"/>
    </row>
    <row r="4" spans="1:8" x14ac:dyDescent="0.2">
      <c r="G4" s="715" t="s">
        <v>397</v>
      </c>
      <c r="H4" s="254"/>
    </row>
    <row r="5" spans="1:8" x14ac:dyDescent="0.2">
      <c r="G5" s="715" t="s">
        <v>398</v>
      </c>
      <c r="H5" s="255">
        <v>38</v>
      </c>
    </row>
    <row r="6" spans="1:8" x14ac:dyDescent="0.2">
      <c r="G6" s="715"/>
      <c r="H6" s="253"/>
    </row>
    <row r="7" spans="1:8" x14ac:dyDescent="0.2">
      <c r="G7" s="715" t="s">
        <v>399</v>
      </c>
      <c r="H7" s="255"/>
    </row>
    <row r="9" spans="1:8" ht="18" x14ac:dyDescent="0.25">
      <c r="A9" s="1940" t="s">
        <v>269</v>
      </c>
      <c r="B9" s="1940"/>
      <c r="C9" s="1940"/>
      <c r="D9" s="1940"/>
      <c r="E9" s="1940"/>
      <c r="F9" s="1940"/>
      <c r="G9" s="1940"/>
      <c r="H9" s="1940"/>
    </row>
    <row r="10" spans="1:8" ht="18" x14ac:dyDescent="0.25">
      <c r="A10" s="1940" t="s">
        <v>229</v>
      </c>
      <c r="B10" s="1940"/>
      <c r="C10" s="1940"/>
      <c r="D10" s="1940"/>
      <c r="E10" s="1940"/>
      <c r="F10" s="1940"/>
      <c r="G10" s="1940"/>
      <c r="H10" s="1940"/>
    </row>
    <row r="11" spans="1:8" ht="13.5" thickBot="1" x14ac:dyDescent="0.25"/>
    <row r="12" spans="1:8" ht="51" x14ac:dyDescent="0.2">
      <c r="A12" s="1257" t="s">
        <v>39</v>
      </c>
      <c r="B12" s="1258" t="s">
        <v>404</v>
      </c>
      <c r="C12" s="258" t="s">
        <v>40</v>
      </c>
      <c r="D12" s="258" t="s">
        <v>41</v>
      </c>
      <c r="E12" s="258" t="s">
        <v>307</v>
      </c>
      <c r="F12" s="258" t="s">
        <v>42</v>
      </c>
      <c r="G12" s="258" t="s">
        <v>43</v>
      </c>
      <c r="H12" s="1259" t="s">
        <v>44</v>
      </c>
    </row>
    <row r="13" spans="1:8" x14ac:dyDescent="0.2">
      <c r="A13" s="1260"/>
      <c r="B13" s="746"/>
      <c r="C13" s="1186" t="s">
        <v>45</v>
      </c>
      <c r="D13" s="1186" t="s">
        <v>46</v>
      </c>
      <c r="E13" s="1186" t="s">
        <v>308</v>
      </c>
      <c r="F13" s="1186" t="s">
        <v>146</v>
      </c>
      <c r="G13" s="1186" t="s">
        <v>48</v>
      </c>
      <c r="H13" s="1261" t="s">
        <v>309</v>
      </c>
    </row>
    <row r="14" spans="1:8" x14ac:dyDescent="0.2">
      <c r="A14" s="1262">
        <v>2006</v>
      </c>
      <c r="B14" s="1263"/>
      <c r="C14" s="356"/>
      <c r="D14" s="356"/>
      <c r="E14" s="356"/>
      <c r="F14" s="357">
        <f t="shared" ref="F14:F23" si="0">C14-D14-E14</f>
        <v>0</v>
      </c>
      <c r="G14" s="356"/>
      <c r="H14" s="1264">
        <f t="shared" ref="H14:H23" si="1">F14-G14</f>
        <v>0</v>
      </c>
    </row>
    <row r="15" spans="1:8" x14ac:dyDescent="0.2">
      <c r="A15" s="1262">
        <v>2007</v>
      </c>
      <c r="B15" s="1263"/>
      <c r="C15" s="356"/>
      <c r="D15" s="356"/>
      <c r="E15" s="356"/>
      <c r="F15" s="357">
        <f t="shared" si="0"/>
        <v>0</v>
      </c>
      <c r="G15" s="356"/>
      <c r="H15" s="1264">
        <f t="shared" si="1"/>
        <v>0</v>
      </c>
    </row>
    <row r="16" spans="1:8" x14ac:dyDescent="0.2">
      <c r="A16" s="1262">
        <v>2008</v>
      </c>
      <c r="B16" s="1263"/>
      <c r="C16" s="356"/>
      <c r="D16" s="356"/>
      <c r="E16" s="356"/>
      <c r="F16" s="357">
        <f t="shared" si="0"/>
        <v>0</v>
      </c>
      <c r="G16" s="356"/>
      <c r="H16" s="1264">
        <f t="shared" si="1"/>
        <v>0</v>
      </c>
    </row>
    <row r="17" spans="1:8" x14ac:dyDescent="0.2">
      <c r="A17" s="1262">
        <v>2009</v>
      </c>
      <c r="B17" s="1263"/>
      <c r="C17" s="356"/>
      <c r="D17" s="356"/>
      <c r="E17" s="356"/>
      <c r="F17" s="357">
        <f t="shared" si="0"/>
        <v>0</v>
      </c>
      <c r="G17" s="356"/>
      <c r="H17" s="1264">
        <f t="shared" si="1"/>
        <v>0</v>
      </c>
    </row>
    <row r="18" spans="1:8" x14ac:dyDescent="0.2">
      <c r="A18" s="1262">
        <v>2010</v>
      </c>
      <c r="B18" s="1263"/>
      <c r="C18" s="356"/>
      <c r="D18" s="356"/>
      <c r="E18" s="356"/>
      <c r="F18" s="357">
        <f t="shared" si="0"/>
        <v>0</v>
      </c>
      <c r="G18" s="356"/>
      <c r="H18" s="1264">
        <f t="shared" si="1"/>
        <v>0</v>
      </c>
    </row>
    <row r="19" spans="1:8" x14ac:dyDescent="0.2">
      <c r="A19" s="1262">
        <v>2011</v>
      </c>
      <c r="B19" s="1263"/>
      <c r="C19" s="356"/>
      <c r="D19" s="356"/>
      <c r="E19" s="356"/>
      <c r="F19" s="357">
        <f t="shared" si="0"/>
        <v>0</v>
      </c>
      <c r="G19" s="356"/>
      <c r="H19" s="1264">
        <f t="shared" si="1"/>
        <v>0</v>
      </c>
    </row>
    <row r="20" spans="1:8" x14ac:dyDescent="0.2">
      <c r="A20" s="1265">
        <v>2012</v>
      </c>
      <c r="B20" s="1266"/>
      <c r="C20" s="953"/>
      <c r="D20" s="953"/>
      <c r="E20" s="953"/>
      <c r="F20" s="357">
        <f t="shared" si="0"/>
        <v>0</v>
      </c>
      <c r="G20" s="953"/>
      <c r="H20" s="1264">
        <f t="shared" si="1"/>
        <v>0</v>
      </c>
    </row>
    <row r="21" spans="1:8" x14ac:dyDescent="0.2">
      <c r="A21" s="1265">
        <v>2013</v>
      </c>
      <c r="B21" s="1266"/>
      <c r="C21" s="953"/>
      <c r="D21" s="953"/>
      <c r="E21" s="953"/>
      <c r="F21" s="357">
        <f t="shared" ref="F21:F22" si="2">C21-D21-E21</f>
        <v>0</v>
      </c>
      <c r="G21" s="953"/>
      <c r="H21" s="1264">
        <f t="shared" ref="H21:H22" si="3">F21-G21</f>
        <v>0</v>
      </c>
    </row>
    <row r="22" spans="1:8" x14ac:dyDescent="0.2">
      <c r="A22" s="1265">
        <v>2014</v>
      </c>
      <c r="B22" s="1266"/>
      <c r="C22" s="953"/>
      <c r="D22" s="953"/>
      <c r="E22" s="953"/>
      <c r="F22" s="357">
        <f t="shared" si="2"/>
        <v>0</v>
      </c>
      <c r="G22" s="953"/>
      <c r="H22" s="1264">
        <f t="shared" si="3"/>
        <v>0</v>
      </c>
    </row>
    <row r="23" spans="1:8" ht="13.5" thickBot="1" x14ac:dyDescent="0.25">
      <c r="A23" s="1267">
        <v>2015</v>
      </c>
      <c r="B23" s="1268" t="s">
        <v>403</v>
      </c>
      <c r="C23" s="1269"/>
      <c r="D23" s="1269"/>
      <c r="E23" s="1269"/>
      <c r="F23" s="1104">
        <f t="shared" si="0"/>
        <v>0</v>
      </c>
      <c r="G23" s="1269"/>
      <c r="H23" s="1270">
        <f t="shared" si="1"/>
        <v>0</v>
      </c>
    </row>
    <row r="25" spans="1:8" x14ac:dyDescent="0.2">
      <c r="A25" s="252" t="s">
        <v>13</v>
      </c>
    </row>
    <row r="26" spans="1:8" x14ac:dyDescent="0.2">
      <c r="A26" s="252"/>
    </row>
    <row r="27" spans="1:8" x14ac:dyDescent="0.2">
      <c r="A27" s="1271" t="s">
        <v>403</v>
      </c>
      <c r="B27" s="1272" t="s">
        <v>1847</v>
      </c>
      <c r="C27" s="1272"/>
      <c r="D27" s="1272"/>
      <c r="E27" s="1272"/>
      <c r="F27" s="1272"/>
      <c r="G27" s="1272"/>
    </row>
    <row r="29" spans="1:8" x14ac:dyDescent="0.2">
      <c r="A29" s="1943" t="s">
        <v>254</v>
      </c>
      <c r="B29" s="1943"/>
      <c r="C29" s="1943"/>
      <c r="D29" s="1943"/>
      <c r="E29" s="1943"/>
      <c r="F29" s="1943"/>
      <c r="G29" s="1943"/>
      <c r="H29" s="1943"/>
    </row>
    <row r="30" spans="1:8" x14ac:dyDescent="0.2">
      <c r="A30" s="1943"/>
      <c r="B30" s="1943"/>
      <c r="C30" s="1943"/>
      <c r="D30" s="1943"/>
      <c r="E30" s="1943"/>
      <c r="F30" s="1943"/>
      <c r="G30" s="1943"/>
      <c r="H30" s="1943"/>
    </row>
    <row r="31" spans="1:8" x14ac:dyDescent="0.2">
      <c r="A31" s="1943"/>
      <c r="B31" s="1943"/>
      <c r="C31" s="1943"/>
      <c r="D31" s="1943"/>
      <c r="E31" s="1943"/>
      <c r="F31" s="1943"/>
      <c r="G31" s="1943"/>
      <c r="H31" s="1943"/>
    </row>
    <row r="32" spans="1:8" x14ac:dyDescent="0.2">
      <c r="A32" s="1943"/>
      <c r="B32" s="1943"/>
      <c r="C32" s="1943"/>
      <c r="D32" s="1943"/>
      <c r="E32" s="1943"/>
      <c r="F32" s="1943"/>
      <c r="G32" s="1943"/>
      <c r="H32" s="1943"/>
    </row>
    <row r="34" spans="1:8" x14ac:dyDescent="0.2">
      <c r="A34" s="2372" t="s">
        <v>798</v>
      </c>
      <c r="B34" s="2373"/>
      <c r="C34" s="2373"/>
      <c r="D34" s="2373"/>
      <c r="E34" s="2373"/>
      <c r="F34" s="2373"/>
      <c r="G34" s="2373"/>
      <c r="H34" s="2373"/>
    </row>
    <row r="35" spans="1:8" x14ac:dyDescent="0.2">
      <c r="A35" s="2373"/>
      <c r="B35" s="2373"/>
      <c r="C35" s="2373"/>
      <c r="D35" s="2373"/>
      <c r="E35" s="2373"/>
      <c r="F35" s="2373"/>
      <c r="G35" s="2373"/>
      <c r="H35" s="2373"/>
    </row>
    <row r="37" spans="1:8" x14ac:dyDescent="0.2">
      <c r="A37" s="1491">
        <v>1</v>
      </c>
      <c r="B37" s="2236" t="s">
        <v>255</v>
      </c>
      <c r="C37" s="2236"/>
      <c r="D37" s="2236"/>
      <c r="E37" s="2236"/>
      <c r="F37" s="2236"/>
      <c r="G37" s="2236"/>
      <c r="H37" s="2236"/>
    </row>
    <row r="38" spans="1:8" x14ac:dyDescent="0.2">
      <c r="B38" s="2236"/>
      <c r="C38" s="2236"/>
      <c r="D38" s="2236"/>
      <c r="E38" s="2236"/>
      <c r="F38" s="2236"/>
      <c r="G38" s="2236"/>
      <c r="H38" s="2236"/>
    </row>
    <row r="40" spans="1:8" ht="12.75" customHeight="1" x14ac:dyDescent="0.2">
      <c r="A40" s="1491">
        <v>2</v>
      </c>
      <c r="B40" s="2369" t="s">
        <v>310</v>
      </c>
      <c r="C40" s="2369"/>
      <c r="D40" s="2369"/>
      <c r="E40" s="2369"/>
      <c r="F40" s="2369"/>
      <c r="G40" s="2369"/>
      <c r="H40" s="2369"/>
    </row>
    <row r="41" spans="1:8" x14ac:dyDescent="0.2">
      <c r="B41" s="2369"/>
      <c r="C41" s="2369"/>
      <c r="D41" s="2369"/>
      <c r="E41" s="2369"/>
      <c r="F41" s="2369"/>
      <c r="G41" s="2369"/>
      <c r="H41" s="2369"/>
    </row>
    <row r="42" spans="1:8" x14ac:dyDescent="0.2">
      <c r="B42" s="2369"/>
      <c r="C42" s="2369"/>
      <c r="D42" s="2369"/>
      <c r="E42" s="2369"/>
      <c r="F42" s="2369"/>
      <c r="G42" s="2369"/>
      <c r="H42" s="2369"/>
    </row>
    <row r="44" spans="1:8" x14ac:dyDescent="0.2">
      <c r="A44" s="1491">
        <v>3</v>
      </c>
      <c r="B44" s="2236" t="s">
        <v>256</v>
      </c>
      <c r="C44" s="2236"/>
      <c r="D44" s="2236"/>
      <c r="E44" s="2236"/>
      <c r="F44" s="2236"/>
      <c r="G44" s="2236"/>
      <c r="H44" s="2236"/>
    </row>
    <row r="45" spans="1:8" x14ac:dyDescent="0.2">
      <c r="B45" s="2236"/>
      <c r="C45" s="2236"/>
      <c r="D45" s="2236"/>
      <c r="E45" s="2236"/>
      <c r="F45" s="2236"/>
      <c r="G45" s="2236"/>
      <c r="H45" s="2236"/>
    </row>
    <row r="46" spans="1:8" x14ac:dyDescent="0.2">
      <c r="B46" s="2236"/>
      <c r="C46" s="2236"/>
      <c r="D46" s="2236"/>
      <c r="E46" s="2236"/>
      <c r="F46" s="2236"/>
      <c r="G46" s="2236"/>
      <c r="H46" s="2236"/>
    </row>
    <row r="47" spans="1:8" x14ac:dyDescent="0.2">
      <c r="B47" s="2236"/>
      <c r="C47" s="2236"/>
      <c r="D47" s="2236"/>
      <c r="E47" s="2236"/>
      <c r="F47" s="2236"/>
      <c r="G47" s="2236"/>
      <c r="H47" s="2236"/>
    </row>
    <row r="49" spans="2:8" x14ac:dyDescent="0.2">
      <c r="B49" s="2236" t="s">
        <v>123</v>
      </c>
      <c r="C49" s="2236"/>
      <c r="D49" s="2236"/>
      <c r="E49" s="2236"/>
      <c r="F49" s="2236"/>
      <c r="G49" s="2236"/>
      <c r="H49" s="2236"/>
    </row>
    <row r="50" spans="2:8" x14ac:dyDescent="0.2">
      <c r="B50" s="2236"/>
      <c r="C50" s="2236"/>
      <c r="D50" s="2236"/>
      <c r="E50" s="2236"/>
      <c r="F50" s="2236"/>
      <c r="G50" s="2236"/>
      <c r="H50" s="2236"/>
    </row>
    <row r="51" spans="2:8" x14ac:dyDescent="0.2">
      <c r="B51" s="2236"/>
      <c r="C51" s="2236"/>
      <c r="D51" s="2236"/>
      <c r="E51" s="2236"/>
      <c r="F51" s="2236"/>
      <c r="G51" s="2236"/>
      <c r="H51" s="2236"/>
    </row>
    <row r="52" spans="2:8" x14ac:dyDescent="0.2">
      <c r="B52" s="2236"/>
      <c r="C52" s="2236"/>
      <c r="D52" s="2236"/>
      <c r="E52" s="2236"/>
      <c r="F52" s="2236"/>
      <c r="G52" s="2236"/>
      <c r="H52" s="2236"/>
    </row>
    <row r="54" spans="2:8" x14ac:dyDescent="0.2">
      <c r="B54" s="61" t="s">
        <v>251</v>
      </c>
      <c r="C54" s="2236" t="s">
        <v>259</v>
      </c>
      <c r="D54" s="2236"/>
      <c r="E54" s="2236"/>
      <c r="F54" s="2236"/>
      <c r="G54" s="2236"/>
      <c r="H54" s="2236"/>
    </row>
    <row r="55" spans="2:8" x14ac:dyDescent="0.2">
      <c r="C55" s="2236"/>
      <c r="D55" s="2236"/>
      <c r="E55" s="2236"/>
      <c r="F55" s="2236"/>
      <c r="G55" s="2236"/>
      <c r="H55" s="2236"/>
    </row>
    <row r="57" spans="2:8" x14ac:dyDescent="0.2">
      <c r="B57" s="61" t="s">
        <v>252</v>
      </c>
      <c r="C57" s="1943" t="s">
        <v>260</v>
      </c>
      <c r="D57" s="1943"/>
      <c r="E57" s="1943"/>
      <c r="F57" s="1943"/>
      <c r="G57" s="1943"/>
      <c r="H57" s="1943"/>
    </row>
    <row r="58" spans="2:8" x14ac:dyDescent="0.2">
      <c r="C58" s="1943"/>
      <c r="D58" s="1943"/>
      <c r="E58" s="1943"/>
      <c r="F58" s="1943"/>
      <c r="G58" s="1943"/>
      <c r="H58" s="1943"/>
    </row>
    <row r="59" spans="2:8" x14ac:dyDescent="0.2">
      <c r="C59" s="1943"/>
      <c r="D59" s="1943"/>
      <c r="E59" s="1943"/>
      <c r="F59" s="1943"/>
      <c r="G59" s="1943"/>
      <c r="H59" s="1943"/>
    </row>
    <row r="60" spans="2:8" x14ac:dyDescent="0.2">
      <c r="C60" s="1943"/>
      <c r="D60" s="1943"/>
      <c r="E60" s="1943"/>
      <c r="F60" s="1943"/>
      <c r="G60" s="1943"/>
      <c r="H60" s="1943"/>
    </row>
    <row r="62" spans="2:8" x14ac:dyDescent="0.2">
      <c r="B62" s="61" t="s">
        <v>253</v>
      </c>
      <c r="C62" s="1943" t="s">
        <v>312</v>
      </c>
      <c r="D62" s="1943"/>
      <c r="E62" s="1943"/>
      <c r="F62" s="1943"/>
      <c r="G62" s="1943"/>
      <c r="H62" s="1943"/>
    </row>
    <row r="63" spans="2:8" x14ac:dyDescent="0.2">
      <c r="C63" s="1943"/>
      <c r="D63" s="1943"/>
      <c r="E63" s="1943"/>
      <c r="F63" s="1943"/>
      <c r="G63" s="1943"/>
      <c r="H63" s="1943"/>
    </row>
    <row r="64" spans="2:8" x14ac:dyDescent="0.2">
      <c r="C64" s="1943"/>
      <c r="D64" s="1943"/>
      <c r="E64" s="1943"/>
      <c r="F64" s="1943"/>
      <c r="G64" s="1943"/>
      <c r="H64" s="1943"/>
    </row>
    <row r="66" spans="1:8" x14ac:dyDescent="0.2">
      <c r="A66" s="2372" t="s">
        <v>797</v>
      </c>
      <c r="B66" s="2373"/>
      <c r="C66" s="2373"/>
      <c r="D66" s="2373"/>
      <c r="E66" s="2373"/>
      <c r="F66" s="2373"/>
      <c r="G66" s="2373"/>
      <c r="H66" s="2373"/>
    </row>
    <row r="67" spans="1:8" x14ac:dyDescent="0.2">
      <c r="A67" s="2373"/>
      <c r="B67" s="2373"/>
      <c r="C67" s="2373"/>
      <c r="D67" s="2373"/>
      <c r="E67" s="2373"/>
      <c r="F67" s="2373"/>
      <c r="G67" s="2373"/>
      <c r="H67" s="2373"/>
    </row>
    <row r="69" spans="1:8" x14ac:dyDescent="0.2">
      <c r="A69" s="1491">
        <v>1</v>
      </c>
      <c r="B69" s="2236" t="s">
        <v>255</v>
      </c>
      <c r="C69" s="2236"/>
      <c r="D69" s="2236"/>
      <c r="E69" s="2236"/>
      <c r="F69" s="2236"/>
      <c r="G69" s="2236"/>
      <c r="H69" s="2236"/>
    </row>
    <row r="70" spans="1:8" x14ac:dyDescent="0.2">
      <c r="A70" s="1491"/>
      <c r="B70" s="2236"/>
      <c r="C70" s="2236"/>
      <c r="D70" s="2236"/>
      <c r="E70" s="2236"/>
      <c r="F70" s="2236"/>
      <c r="G70" s="2236"/>
      <c r="H70" s="2236"/>
    </row>
    <row r="71" spans="1:8" x14ac:dyDescent="0.2">
      <c r="A71" s="1491"/>
    </row>
    <row r="72" spans="1:8" ht="12.75" customHeight="1" x14ac:dyDescent="0.2">
      <c r="A72" s="1491">
        <v>2</v>
      </c>
      <c r="B72" s="2246" t="s">
        <v>311</v>
      </c>
      <c r="C72" s="2246"/>
      <c r="D72" s="2246"/>
      <c r="E72" s="2246"/>
      <c r="F72" s="2246"/>
      <c r="G72" s="2246"/>
      <c r="H72" s="2246"/>
    </row>
    <row r="73" spans="1:8" x14ac:dyDescent="0.2">
      <c r="A73" s="1491"/>
      <c r="B73" s="2246"/>
      <c r="C73" s="2246"/>
      <c r="D73" s="2246"/>
      <c r="E73" s="2246"/>
      <c r="F73" s="2246"/>
      <c r="G73" s="2246"/>
      <c r="H73" s="2246"/>
    </row>
    <row r="74" spans="1:8" x14ac:dyDescent="0.2">
      <c r="A74" s="1491"/>
      <c r="B74" s="2246"/>
      <c r="C74" s="2246"/>
      <c r="D74" s="2246"/>
      <c r="E74" s="2246"/>
      <c r="F74" s="2246"/>
      <c r="G74" s="2246"/>
      <c r="H74" s="2246"/>
    </row>
    <row r="75" spans="1:8" x14ac:dyDescent="0.2">
      <c r="A75" s="1491"/>
      <c r="B75" s="1497"/>
      <c r="C75" s="1497"/>
      <c r="D75" s="1497"/>
      <c r="E75" s="1497"/>
      <c r="F75" s="1497"/>
      <c r="G75" s="1497"/>
      <c r="H75" s="1497"/>
    </row>
    <row r="76" spans="1:8" x14ac:dyDescent="0.2">
      <c r="A76" s="1491">
        <v>3</v>
      </c>
      <c r="B76" s="2236" t="s">
        <v>124</v>
      </c>
      <c r="C76" s="2236"/>
      <c r="D76" s="2236"/>
      <c r="E76" s="2236"/>
      <c r="F76" s="2236"/>
      <c r="G76" s="2236"/>
      <c r="H76" s="2236"/>
    </row>
    <row r="77" spans="1:8" x14ac:dyDescent="0.2">
      <c r="A77" s="1491"/>
      <c r="B77" s="2236"/>
      <c r="C77" s="2236"/>
      <c r="D77" s="2236"/>
      <c r="E77" s="2236"/>
      <c r="F77" s="2236"/>
      <c r="G77" s="2236"/>
      <c r="H77" s="2236"/>
    </row>
    <row r="78" spans="1:8" x14ac:dyDescent="0.2">
      <c r="A78" s="1491"/>
      <c r="B78" s="2236"/>
      <c r="C78" s="2236"/>
      <c r="D78" s="2236"/>
      <c r="E78" s="2236"/>
      <c r="F78" s="2236"/>
      <c r="G78" s="2236"/>
      <c r="H78" s="2236"/>
    </row>
    <row r="79" spans="1:8" x14ac:dyDescent="0.2">
      <c r="A79" s="1491"/>
    </row>
    <row r="80" spans="1:8" x14ac:dyDescent="0.2">
      <c r="A80" s="1491">
        <v>4</v>
      </c>
      <c r="B80" s="2236" t="s">
        <v>263</v>
      </c>
      <c r="C80" s="2236"/>
      <c r="D80" s="2236"/>
      <c r="E80" s="2236"/>
      <c r="F80" s="2236"/>
      <c r="G80" s="2236"/>
      <c r="H80" s="2236"/>
    </row>
    <row r="81" spans="1:8" x14ac:dyDescent="0.2">
      <c r="A81" s="1491"/>
      <c r="B81" s="2236"/>
      <c r="C81" s="2236"/>
      <c r="D81" s="2236"/>
      <c r="E81" s="2236"/>
      <c r="F81" s="2236"/>
      <c r="G81" s="2236"/>
      <c r="H81" s="2236"/>
    </row>
    <row r="82" spans="1:8" x14ac:dyDescent="0.2">
      <c r="A82" s="1491"/>
      <c r="B82" s="2236"/>
      <c r="C82" s="2236"/>
      <c r="D82" s="2236"/>
      <c r="E82" s="2236"/>
      <c r="F82" s="2236"/>
      <c r="G82" s="2236"/>
      <c r="H82" s="2236"/>
    </row>
    <row r="83" spans="1:8" x14ac:dyDescent="0.2">
      <c r="A83" s="1491"/>
    </row>
    <row r="84" spans="1:8" x14ac:dyDescent="0.2">
      <c r="A84" s="1491">
        <v>5</v>
      </c>
      <c r="B84" s="2236" t="s">
        <v>125</v>
      </c>
      <c r="C84" s="2236"/>
      <c r="D84" s="2236"/>
      <c r="E84" s="2236"/>
      <c r="F84" s="2236"/>
      <c r="G84" s="2236"/>
      <c r="H84" s="2236"/>
    </row>
    <row r="85" spans="1:8" x14ac:dyDescent="0.2">
      <c r="A85" s="1491"/>
      <c r="B85" s="2236"/>
      <c r="C85" s="2236"/>
      <c r="D85" s="2236"/>
      <c r="E85" s="2236"/>
      <c r="F85" s="2236"/>
      <c r="G85" s="2236"/>
      <c r="H85" s="2236"/>
    </row>
    <row r="86" spans="1:8" x14ac:dyDescent="0.2">
      <c r="A86" s="1491"/>
      <c r="B86" s="2236"/>
      <c r="C86" s="2236"/>
      <c r="D86" s="2236"/>
      <c r="E86" s="2236"/>
      <c r="F86" s="2236"/>
      <c r="G86" s="2236"/>
      <c r="H86" s="2236"/>
    </row>
    <row r="87" spans="1:8" x14ac:dyDescent="0.2">
      <c r="A87" s="1491"/>
    </row>
    <row r="88" spans="1:8" x14ac:dyDescent="0.2">
      <c r="A88" s="1491">
        <v>6</v>
      </c>
      <c r="B88" s="2236" t="s">
        <v>126</v>
      </c>
      <c r="C88" s="2236"/>
      <c r="D88" s="2236"/>
      <c r="E88" s="2236"/>
      <c r="F88" s="2236"/>
      <c r="G88" s="2236"/>
      <c r="H88" s="2236"/>
    </row>
    <row r="89" spans="1:8" x14ac:dyDescent="0.2">
      <c r="A89" s="1491"/>
      <c r="B89" s="2236"/>
      <c r="C89" s="2236"/>
      <c r="D89" s="2236"/>
      <c r="E89" s="2236"/>
      <c r="F89" s="2236"/>
      <c r="G89" s="2236"/>
      <c r="H89" s="2236"/>
    </row>
    <row r="90" spans="1:8" ht="15" customHeight="1" x14ac:dyDescent="0.2"/>
    <row r="91" spans="1:8" ht="12.75" customHeight="1" x14ac:dyDescent="0.2">
      <c r="A91" s="2120" t="s">
        <v>1846</v>
      </c>
      <c r="B91" s="2239"/>
      <c r="C91" s="2239"/>
      <c r="D91" s="2239"/>
      <c r="E91" s="2239"/>
      <c r="F91" s="2239"/>
      <c r="G91" s="2239"/>
      <c r="H91" s="2239"/>
    </row>
    <row r="92" spans="1:8" x14ac:dyDescent="0.2">
      <c r="A92" s="2239"/>
      <c r="B92" s="2239"/>
      <c r="C92" s="2239"/>
      <c r="D92" s="2239"/>
      <c r="E92" s="2239"/>
      <c r="F92" s="2239"/>
      <c r="G92" s="2239"/>
      <c r="H92" s="2239"/>
    </row>
    <row r="93" spans="1:8" x14ac:dyDescent="0.2">
      <c r="A93" s="2239"/>
      <c r="B93" s="2239"/>
      <c r="C93" s="2239"/>
      <c r="D93" s="2239"/>
      <c r="E93" s="2239"/>
      <c r="F93" s="2239"/>
      <c r="G93" s="2239"/>
      <c r="H93" s="2239"/>
    </row>
    <row r="94" spans="1:8" x14ac:dyDescent="0.2">
      <c r="A94" s="2239"/>
      <c r="B94" s="2239"/>
      <c r="C94" s="2239"/>
      <c r="D94" s="2239"/>
      <c r="E94" s="2239"/>
      <c r="F94" s="2239"/>
      <c r="G94" s="2239"/>
      <c r="H94" s="2239"/>
    </row>
  </sheetData>
  <mergeCells count="19">
    <mergeCell ref="A9:H9"/>
    <mergeCell ref="A10:H10"/>
    <mergeCell ref="A29:H32"/>
    <mergeCell ref="A34:H35"/>
    <mergeCell ref="C54:H55"/>
    <mergeCell ref="C62:H64"/>
    <mergeCell ref="A66:H67"/>
    <mergeCell ref="B37:H38"/>
    <mergeCell ref="B40:H42"/>
    <mergeCell ref="B44:H47"/>
    <mergeCell ref="B49:H52"/>
    <mergeCell ref="C57:H60"/>
    <mergeCell ref="A91:H94"/>
    <mergeCell ref="B84:H86"/>
    <mergeCell ref="B88:H89"/>
    <mergeCell ref="B69:H70"/>
    <mergeCell ref="B76:H78"/>
    <mergeCell ref="B80:H82"/>
    <mergeCell ref="B72:H74"/>
  </mergeCells>
  <phoneticPr fontId="17" type="noConversion"/>
  <dataValidations count="1">
    <dataValidation allowBlank="1" showInputMessage="1" showErrorMessage="1" promptTitle="Date Format" prompt="E.g:  &quot;August 1, 2011&quot;" sqref="H7"/>
  </dataValidations>
  <pageMargins left="0.74803149606299213" right="0.74803149606299213" top="0.98425196850393704" bottom="0.98425196850393704" header="0.51181102362204722" footer="0.51181102362204722"/>
  <pageSetup scale="77" fitToHeight="0" orientation="portrait" r:id="rId1"/>
  <headerFooter alignWithMargins="0"/>
  <rowBreaks count="1" manualBreakCount="1">
    <brk id="64" max="7"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K59"/>
  <sheetViews>
    <sheetView showGridLines="0" topLeftCell="B1" zoomScaleNormal="100" workbookViewId="0"/>
  </sheetViews>
  <sheetFormatPr defaultRowHeight="12.75" x14ac:dyDescent="0.2"/>
  <cols>
    <col min="1" max="1" width="5" style="140" customWidth="1"/>
    <col min="2" max="2" width="62" style="140" customWidth="1"/>
    <col min="3" max="3" width="12.7109375" style="140" bestFit="1" customWidth="1"/>
    <col min="4" max="4" width="1.7109375" style="140" customWidth="1"/>
    <col min="5" max="5" width="16.7109375" style="140" customWidth="1"/>
    <col min="6" max="6" width="13.7109375" style="140" customWidth="1"/>
    <col min="7" max="16384" width="9.140625" style="140"/>
  </cols>
  <sheetData>
    <row r="1" spans="1:11" x14ac:dyDescent="0.2">
      <c r="B1" s="1680" t="s">
        <v>2313</v>
      </c>
      <c r="C1" s="757" t="s">
        <v>394</v>
      </c>
      <c r="E1" s="1513" t="str">
        <f>EBNUMBER</f>
        <v>EB-2015-0089</v>
      </c>
      <c r="F1" s="337"/>
    </row>
    <row r="2" spans="1:11" x14ac:dyDescent="0.2">
      <c r="C2" s="757" t="s">
        <v>395</v>
      </c>
      <c r="E2" s="136"/>
      <c r="F2" s="337"/>
    </row>
    <row r="3" spans="1:11" x14ac:dyDescent="0.2">
      <c r="C3" s="757" t="s">
        <v>396</v>
      </c>
      <c r="E3" s="136"/>
      <c r="F3" s="337"/>
    </row>
    <row r="4" spans="1:11" x14ac:dyDescent="0.2">
      <c r="C4" s="757" t="s">
        <v>397</v>
      </c>
      <c r="E4" s="136"/>
      <c r="F4" s="337"/>
    </row>
    <row r="5" spans="1:11" x14ac:dyDescent="0.2">
      <c r="C5" s="757" t="s">
        <v>398</v>
      </c>
      <c r="E5" s="1514"/>
      <c r="F5" s="337"/>
    </row>
    <row r="6" spans="1:11" x14ac:dyDescent="0.2">
      <c r="C6" s="757"/>
      <c r="E6" s="1513"/>
      <c r="F6" s="337"/>
    </row>
    <row r="7" spans="1:11" x14ac:dyDescent="0.2">
      <c r="C7" s="757" t="s">
        <v>399</v>
      </c>
      <c r="E7" s="1514"/>
      <c r="F7" s="337"/>
    </row>
    <row r="9" spans="1:11" ht="18" x14ac:dyDescent="0.25">
      <c r="A9" s="1979" t="s">
        <v>679</v>
      </c>
      <c r="B9" s="1979"/>
      <c r="C9" s="1979"/>
      <c r="D9" s="1979"/>
      <c r="E9" s="1979"/>
    </row>
    <row r="10" spans="1:11" ht="18" customHeight="1" x14ac:dyDescent="0.25">
      <c r="A10" s="2392" t="s">
        <v>680</v>
      </c>
      <c r="B10" s="2392"/>
      <c r="C10" s="2392"/>
      <c r="D10" s="2392"/>
      <c r="E10" s="2392"/>
      <c r="F10" s="1508"/>
      <c r="G10" s="1508"/>
      <c r="H10" s="1508"/>
      <c r="I10" s="1508"/>
      <c r="J10" s="1508"/>
      <c r="K10" s="1508"/>
    </row>
    <row r="12" spans="1:11" ht="27" customHeight="1" x14ac:dyDescent="0.2">
      <c r="A12" s="2393" t="s">
        <v>127</v>
      </c>
      <c r="B12" s="2393"/>
      <c r="C12" s="2393"/>
      <c r="D12" s="2393"/>
      <c r="E12" s="2393"/>
    </row>
    <row r="13" spans="1:11" ht="13.5" thickBot="1" x14ac:dyDescent="0.25"/>
    <row r="14" spans="1:11" x14ac:dyDescent="0.2">
      <c r="A14" s="2088" t="s">
        <v>230</v>
      </c>
      <c r="B14" s="2394"/>
      <c r="C14" s="2394"/>
      <c r="D14" s="1273"/>
      <c r="E14" s="1274" t="s">
        <v>231</v>
      </c>
    </row>
    <row r="15" spans="1:11" x14ac:dyDescent="0.2">
      <c r="A15" s="2089"/>
      <c r="B15" s="2395"/>
      <c r="C15" s="2395"/>
      <c r="D15" s="1275"/>
      <c r="E15" s="1276" t="s">
        <v>232</v>
      </c>
    </row>
    <row r="16" spans="1:11" x14ac:dyDescent="0.2">
      <c r="A16" s="2090"/>
      <c r="B16" s="2396"/>
      <c r="C16" s="2396"/>
      <c r="D16" s="1275"/>
      <c r="E16" s="502" t="s">
        <v>129</v>
      </c>
    </row>
    <row r="17" spans="1:5" ht="27" customHeight="1" x14ac:dyDescent="0.2">
      <c r="A17" s="2385" t="s">
        <v>233</v>
      </c>
      <c r="B17" s="2386"/>
      <c r="C17" s="2387"/>
      <c r="D17" s="358"/>
      <c r="E17" s="730"/>
    </row>
    <row r="18" spans="1:5" ht="39.75" customHeight="1" x14ac:dyDescent="0.2">
      <c r="A18" s="2382" t="s">
        <v>128</v>
      </c>
      <c r="B18" s="2383"/>
      <c r="C18" s="2384"/>
      <c r="D18" s="358"/>
      <c r="E18" s="730"/>
    </row>
    <row r="19" spans="1:5" ht="13.5" customHeight="1" x14ac:dyDescent="0.2">
      <c r="A19" s="2385" t="s">
        <v>234</v>
      </c>
      <c r="B19" s="2386"/>
      <c r="C19" s="2387"/>
      <c r="D19" s="358"/>
      <c r="E19" s="730"/>
    </row>
    <row r="20" spans="1:5" ht="13.5" customHeight="1" x14ac:dyDescent="0.2">
      <c r="A20" s="2388" t="s">
        <v>235</v>
      </c>
      <c r="B20" s="2389"/>
      <c r="C20" s="2390"/>
      <c r="D20" s="358"/>
      <c r="E20" s="730"/>
    </row>
    <row r="21" spans="1:5" ht="13.5" customHeight="1" x14ac:dyDescent="0.2">
      <c r="A21" s="2382" t="s">
        <v>236</v>
      </c>
      <c r="B21" s="2383"/>
      <c r="C21" s="2384"/>
      <c r="D21" s="358"/>
      <c r="E21" s="730"/>
    </row>
    <row r="22" spans="1:5" ht="13.5" customHeight="1" x14ac:dyDescent="0.2">
      <c r="A22" s="2382" t="s">
        <v>237</v>
      </c>
      <c r="B22" s="2383"/>
      <c r="C22" s="2384"/>
      <c r="D22" s="358"/>
      <c r="E22" s="730"/>
    </row>
    <row r="23" spans="1:5" ht="13.5" customHeight="1" x14ac:dyDescent="0.2">
      <c r="A23" s="2385" t="s">
        <v>1564</v>
      </c>
      <c r="B23" s="2386"/>
      <c r="C23" s="2387"/>
      <c r="D23" s="358"/>
      <c r="E23" s="730"/>
    </row>
    <row r="24" spans="1:5" ht="13.5" customHeight="1" x14ac:dyDescent="0.2">
      <c r="A24" s="2388" t="s">
        <v>1565</v>
      </c>
      <c r="B24" s="2389"/>
      <c r="C24" s="2390"/>
      <c r="D24" s="358"/>
      <c r="E24" s="730"/>
    </row>
    <row r="25" spans="1:5" ht="13.5" customHeight="1" x14ac:dyDescent="0.2">
      <c r="A25" s="2388" t="s">
        <v>1590</v>
      </c>
      <c r="B25" s="2389"/>
      <c r="C25" s="2390"/>
      <c r="D25" s="358"/>
      <c r="E25" s="730"/>
    </row>
    <row r="26" spans="1:5" ht="13.5" customHeight="1" x14ac:dyDescent="0.2">
      <c r="A26" s="2388" t="s">
        <v>238</v>
      </c>
      <c r="B26" s="2389"/>
      <c r="C26" s="2390"/>
      <c r="D26" s="358"/>
      <c r="E26" s="730"/>
    </row>
    <row r="27" spans="1:5" ht="13.5" customHeight="1" x14ac:dyDescent="0.2">
      <c r="A27" s="2388" t="s">
        <v>239</v>
      </c>
      <c r="B27" s="2389"/>
      <c r="C27" s="2390"/>
      <c r="D27" s="358"/>
      <c r="E27" s="730"/>
    </row>
    <row r="28" spans="1:5" ht="13.5" customHeight="1" x14ac:dyDescent="0.2">
      <c r="A28" s="2382" t="s">
        <v>240</v>
      </c>
      <c r="B28" s="2383"/>
      <c r="C28" s="2384"/>
      <c r="D28" s="358"/>
      <c r="E28" s="730"/>
    </row>
    <row r="29" spans="1:5" ht="13.5" customHeight="1" x14ac:dyDescent="0.2">
      <c r="A29" s="2385" t="s">
        <v>241</v>
      </c>
      <c r="B29" s="2386"/>
      <c r="C29" s="2387"/>
      <c r="D29" s="358"/>
      <c r="E29" s="730"/>
    </row>
    <row r="30" spans="1:5" ht="13.5" customHeight="1" x14ac:dyDescent="0.2">
      <c r="A30" s="2382" t="s">
        <v>242</v>
      </c>
      <c r="B30" s="2383"/>
      <c r="C30" s="2384"/>
      <c r="D30" s="358"/>
      <c r="E30" s="730"/>
    </row>
    <row r="31" spans="1:5" ht="13.5" customHeight="1" x14ac:dyDescent="0.2">
      <c r="A31" s="2391" t="s">
        <v>604</v>
      </c>
      <c r="B31" s="2383"/>
      <c r="C31" s="2384"/>
      <c r="D31" s="358"/>
      <c r="E31" s="730"/>
    </row>
    <row r="32" spans="1:5" ht="13.5" customHeight="1" x14ac:dyDescent="0.2">
      <c r="A32" s="2391" t="s">
        <v>681</v>
      </c>
      <c r="B32" s="2383"/>
      <c r="C32" s="2384"/>
      <c r="D32" s="358"/>
      <c r="E32" s="730"/>
    </row>
    <row r="33" spans="1:7" ht="13.5" customHeight="1" x14ac:dyDescent="0.2">
      <c r="A33" s="2391" t="s">
        <v>1591</v>
      </c>
      <c r="B33" s="2383"/>
      <c r="C33" s="2384"/>
      <c r="D33" s="358"/>
      <c r="E33" s="730"/>
    </row>
    <row r="34" spans="1:7" ht="27" customHeight="1" x14ac:dyDescent="0.2">
      <c r="A34" s="2382" t="s">
        <v>243</v>
      </c>
      <c r="B34" s="2383"/>
      <c r="C34" s="2384"/>
      <c r="D34" s="358"/>
      <c r="E34" s="730"/>
    </row>
    <row r="35" spans="1:7" ht="13.5" thickBot="1" x14ac:dyDescent="0.25">
      <c r="A35" s="2376" t="s">
        <v>244</v>
      </c>
      <c r="B35" s="2377"/>
      <c r="C35" s="2378"/>
      <c r="D35" s="358"/>
      <c r="E35" s="1111"/>
    </row>
    <row r="36" spans="1:7" ht="14.25" thickTop="1" thickBot="1" x14ac:dyDescent="0.25">
      <c r="A36" s="2379" t="s">
        <v>388</v>
      </c>
      <c r="B36" s="2380"/>
      <c r="C36" s="2381"/>
      <c r="D36" s="1277"/>
      <c r="E36" s="1278">
        <f>SUM(E17:E35)</f>
        <v>0</v>
      </c>
    </row>
    <row r="38" spans="1:7" x14ac:dyDescent="0.2">
      <c r="A38" s="334" t="s">
        <v>13</v>
      </c>
      <c r="B38" s="334"/>
      <c r="C38" s="334"/>
      <c r="D38" s="158"/>
      <c r="E38" s="158"/>
    </row>
    <row r="39" spans="1:7" x14ac:dyDescent="0.2">
      <c r="A39" s="158"/>
      <c r="B39" s="158"/>
      <c r="C39" s="158"/>
      <c r="D39" s="158"/>
      <c r="E39" s="158"/>
    </row>
    <row r="40" spans="1:7" ht="13.5" customHeight="1" x14ac:dyDescent="0.2">
      <c r="A40" s="2374">
        <v>1</v>
      </c>
      <c r="B40" s="1987" t="s">
        <v>245</v>
      </c>
      <c r="C40" s="2099"/>
      <c r="D40" s="2099"/>
      <c r="E40" s="2099"/>
      <c r="F40" s="1468"/>
    </row>
    <row r="41" spans="1:7" x14ac:dyDescent="0.2">
      <c r="A41" s="2374"/>
      <c r="B41" s="2099"/>
      <c r="C41" s="2099"/>
      <c r="D41" s="2099"/>
      <c r="E41" s="2099"/>
      <c r="F41" s="1509"/>
    </row>
    <row r="42" spans="1:7" x14ac:dyDescent="0.2">
      <c r="A42" s="1279"/>
      <c r="B42" s="158"/>
      <c r="C42" s="158"/>
      <c r="D42" s="158"/>
      <c r="E42" s="158"/>
    </row>
    <row r="43" spans="1:7" x14ac:dyDescent="0.2">
      <c r="A43" s="2374">
        <v>2</v>
      </c>
      <c r="B43" s="1987" t="s">
        <v>246</v>
      </c>
      <c r="C43" s="1987"/>
      <c r="D43" s="1987"/>
      <c r="E43" s="1987"/>
      <c r="F43" s="386"/>
    </row>
    <row r="44" spans="1:7" x14ac:dyDescent="0.2">
      <c r="A44" s="2374"/>
      <c r="B44" s="158"/>
      <c r="C44" s="158"/>
      <c r="D44" s="158"/>
      <c r="E44" s="158"/>
    </row>
    <row r="45" spans="1:7" ht="12.75" customHeight="1" x14ac:dyDescent="0.2">
      <c r="A45" s="2374">
        <v>3</v>
      </c>
      <c r="B45" s="2068" t="s">
        <v>247</v>
      </c>
      <c r="C45" s="2068"/>
      <c r="D45" s="2068"/>
      <c r="E45" s="2068"/>
      <c r="F45" s="1509"/>
    </row>
    <row r="46" spans="1:7" x14ac:dyDescent="0.2">
      <c r="A46" s="2374"/>
      <c r="B46" s="2068"/>
      <c r="C46" s="2068"/>
      <c r="D46" s="2068"/>
      <c r="E46" s="2068"/>
      <c r="F46" s="1509"/>
    </row>
    <row r="47" spans="1:7" x14ac:dyDescent="0.2">
      <c r="A47" s="1279"/>
      <c r="B47" s="158"/>
      <c r="C47" s="158"/>
      <c r="D47" s="158"/>
      <c r="E47" s="158"/>
    </row>
    <row r="48" spans="1:7" ht="12.75" customHeight="1" x14ac:dyDescent="0.2">
      <c r="A48" s="2374">
        <v>4</v>
      </c>
      <c r="B48" s="2068" t="s">
        <v>248</v>
      </c>
      <c r="C48" s="2068"/>
      <c r="D48" s="2068"/>
      <c r="E48" s="2068"/>
      <c r="F48" s="1509"/>
      <c r="G48" s="1509"/>
    </row>
    <row r="49" spans="1:7" x14ac:dyDescent="0.2">
      <c r="A49" s="2374"/>
      <c r="B49" s="2099"/>
      <c r="C49" s="2099"/>
      <c r="D49" s="2099"/>
      <c r="E49" s="2099"/>
      <c r="F49" s="1509"/>
      <c r="G49" s="1509"/>
    </row>
    <row r="50" spans="1:7" ht="12.75" customHeight="1" x14ac:dyDescent="0.2">
      <c r="A50" s="1279"/>
      <c r="B50" s="1480"/>
      <c r="C50" s="1480"/>
      <c r="D50" s="1480"/>
      <c r="E50" s="1480"/>
      <c r="F50" s="1509"/>
      <c r="G50" s="1509"/>
    </row>
    <row r="51" spans="1:7" x14ac:dyDescent="0.2">
      <c r="A51" s="2375">
        <v>5</v>
      </c>
      <c r="B51" s="2068" t="s">
        <v>682</v>
      </c>
      <c r="C51" s="2068"/>
      <c r="D51" s="2068"/>
      <c r="E51" s="2068"/>
      <c r="F51" s="1509"/>
      <c r="G51" s="1509"/>
    </row>
    <row r="52" spans="1:7" x14ac:dyDescent="0.2">
      <c r="A52" s="2375"/>
      <c r="B52" s="2068"/>
      <c r="C52" s="2068"/>
      <c r="D52" s="2068"/>
      <c r="E52" s="2068"/>
      <c r="F52" s="1509"/>
      <c r="G52" s="1509"/>
    </row>
    <row r="53" spans="1:7" x14ac:dyDescent="0.2">
      <c r="A53" s="2375"/>
      <c r="B53" s="2099"/>
      <c r="C53" s="2099"/>
      <c r="D53" s="2099"/>
      <c r="E53" s="2099"/>
      <c r="F53" s="1509"/>
      <c r="G53" s="1509"/>
    </row>
    <row r="54" spans="1:7" x14ac:dyDescent="0.2">
      <c r="A54" s="2375"/>
      <c r="B54" s="2099"/>
      <c r="C54" s="2099"/>
      <c r="D54" s="2099"/>
      <c r="E54" s="2099"/>
      <c r="F54" s="1509"/>
      <c r="G54" s="1509"/>
    </row>
    <row r="55" spans="1:7" x14ac:dyDescent="0.2">
      <c r="A55" s="1279"/>
      <c r="B55" s="158"/>
      <c r="C55" s="158"/>
      <c r="D55" s="158"/>
      <c r="E55" s="158"/>
    </row>
    <row r="56" spans="1:7" ht="12.75" customHeight="1" x14ac:dyDescent="0.2">
      <c r="A56" s="2374">
        <v>6</v>
      </c>
      <c r="B56" s="2068" t="s">
        <v>250</v>
      </c>
      <c r="C56" s="2068"/>
      <c r="D56" s="2068"/>
      <c r="E56" s="2068"/>
      <c r="F56" s="1509"/>
      <c r="G56" s="1509"/>
    </row>
    <row r="57" spans="1:7" x14ac:dyDescent="0.2">
      <c r="A57" s="2374"/>
      <c r="B57" s="2068"/>
      <c r="C57" s="2068"/>
      <c r="D57" s="2068"/>
      <c r="E57" s="2068"/>
      <c r="F57" s="1509"/>
      <c r="G57" s="1509"/>
    </row>
    <row r="59" spans="1:7" ht="12.75" customHeight="1" x14ac:dyDescent="0.2"/>
  </sheetData>
  <mergeCells count="36">
    <mergeCell ref="A18:C18"/>
    <mergeCell ref="A9:E9"/>
    <mergeCell ref="A10:E10"/>
    <mergeCell ref="A12:E12"/>
    <mergeCell ref="A14:C16"/>
    <mergeCell ref="A17:C17"/>
    <mergeCell ref="A34:C34"/>
    <mergeCell ref="A19:C19"/>
    <mergeCell ref="A20:C20"/>
    <mergeCell ref="A21:C21"/>
    <mergeCell ref="A22:C22"/>
    <mergeCell ref="A26:C26"/>
    <mergeCell ref="A27:C27"/>
    <mergeCell ref="A28:C28"/>
    <mergeCell ref="A29:C29"/>
    <mergeCell ref="A30:C30"/>
    <mergeCell ref="A31:C31"/>
    <mergeCell ref="A32:C32"/>
    <mergeCell ref="A23:C23"/>
    <mergeCell ref="A24:C24"/>
    <mergeCell ref="A25:C25"/>
    <mergeCell ref="A33:C33"/>
    <mergeCell ref="A35:C35"/>
    <mergeCell ref="A36:C36"/>
    <mergeCell ref="A40:A41"/>
    <mergeCell ref="B40:E41"/>
    <mergeCell ref="A43:A44"/>
    <mergeCell ref="B43:E43"/>
    <mergeCell ref="A56:A57"/>
    <mergeCell ref="B56:E57"/>
    <mergeCell ref="A45:A46"/>
    <mergeCell ref="B45:E46"/>
    <mergeCell ref="A48:A49"/>
    <mergeCell ref="B48:E49"/>
    <mergeCell ref="A51:A54"/>
    <mergeCell ref="B51:E54"/>
  </mergeCells>
  <dataValidations disablePrompts="1" count="1">
    <dataValidation allowBlank="1" showInputMessage="1" showErrorMessage="1" promptTitle="Date Format" prompt="E.g:  &quot;August 1, 2011&quot;" sqref="E7"/>
  </dataValidations>
  <pageMargins left="0.75" right="0.75" top="1" bottom="1" header="0.5" footer="0.5"/>
  <pageSetup scale="81"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L32"/>
  <sheetViews>
    <sheetView showGridLines="0" zoomScaleNormal="100" workbookViewId="0"/>
  </sheetViews>
  <sheetFormatPr defaultRowHeight="12.75" x14ac:dyDescent="0.2"/>
  <cols>
    <col min="1" max="1" width="3" style="140" customWidth="1"/>
    <col min="2" max="2" width="23.5703125" style="140" customWidth="1"/>
    <col min="3" max="11" width="14.7109375" style="140" customWidth="1"/>
    <col min="12" max="16384" width="9.140625" style="140"/>
  </cols>
  <sheetData>
    <row r="1" spans="1:11" x14ac:dyDescent="0.2">
      <c r="B1" s="1680" t="s">
        <v>2313</v>
      </c>
      <c r="D1" s="337"/>
      <c r="E1" s="337"/>
      <c r="G1" s="757" t="s">
        <v>394</v>
      </c>
      <c r="H1" s="757"/>
      <c r="J1" s="1513" t="str">
        <f>EBNUMBER</f>
        <v>EB-2015-0089</v>
      </c>
    </row>
    <row r="2" spans="1:11" x14ac:dyDescent="0.2">
      <c r="D2" s="337"/>
      <c r="E2" s="337"/>
      <c r="G2" s="757" t="s">
        <v>395</v>
      </c>
      <c r="H2" s="757"/>
      <c r="J2" s="136"/>
    </row>
    <row r="3" spans="1:11" x14ac:dyDescent="0.2">
      <c r="D3" s="337"/>
      <c r="E3" s="337"/>
      <c r="G3" s="757" t="s">
        <v>396</v>
      </c>
      <c r="H3" s="757"/>
      <c r="J3" s="136"/>
    </row>
    <row r="4" spans="1:11" x14ac:dyDescent="0.2">
      <c r="D4" s="337"/>
      <c r="E4" s="337"/>
      <c r="I4" s="757"/>
      <c r="J4" s="757" t="s">
        <v>397</v>
      </c>
      <c r="K4" s="136"/>
    </row>
    <row r="5" spans="1:11" x14ac:dyDescent="0.2">
      <c r="D5" s="337"/>
      <c r="E5" s="337"/>
      <c r="I5" s="757"/>
      <c r="J5" s="757" t="s">
        <v>398</v>
      </c>
      <c r="K5" s="1514"/>
    </row>
    <row r="6" spans="1:11" x14ac:dyDescent="0.2">
      <c r="D6" s="337"/>
      <c r="E6" s="337"/>
      <c r="I6" s="757"/>
      <c r="J6" s="757"/>
      <c r="K6" s="1513"/>
    </row>
    <row r="7" spans="1:11" x14ac:dyDescent="0.2">
      <c r="D7" s="337"/>
      <c r="E7" s="337"/>
      <c r="I7" s="757"/>
      <c r="J7" s="757" t="s">
        <v>399</v>
      </c>
      <c r="K7" s="1514"/>
    </row>
    <row r="9" spans="1:11" ht="18" x14ac:dyDescent="0.25">
      <c r="A9" s="1979" t="s">
        <v>683</v>
      </c>
      <c r="B9" s="1979"/>
      <c r="C9" s="1979"/>
      <c r="D9" s="1979"/>
      <c r="E9" s="1979"/>
      <c r="F9" s="1979"/>
      <c r="G9" s="1979"/>
      <c r="H9" s="1979"/>
      <c r="I9" s="1979"/>
      <c r="J9" s="1979"/>
    </row>
    <row r="10" spans="1:11" ht="18" customHeight="1" x14ac:dyDescent="0.25">
      <c r="A10" s="2392" t="s">
        <v>684</v>
      </c>
      <c r="B10" s="2392"/>
      <c r="C10" s="2392"/>
      <c r="D10" s="2392"/>
      <c r="E10" s="2392"/>
      <c r="F10" s="2392"/>
      <c r="G10" s="2392"/>
      <c r="H10" s="2392"/>
      <c r="I10" s="2392"/>
      <c r="J10" s="2392"/>
    </row>
    <row r="11" spans="1:11" ht="18" x14ac:dyDescent="0.25">
      <c r="A11" s="1979" t="s">
        <v>685</v>
      </c>
      <c r="B11" s="1979"/>
      <c r="C11" s="1979"/>
      <c r="D11" s="1979"/>
      <c r="E11" s="1979"/>
      <c r="F11" s="1979"/>
      <c r="G11" s="1979"/>
      <c r="H11" s="1979"/>
      <c r="I11" s="1979"/>
      <c r="J11" s="1979"/>
    </row>
    <row r="13" spans="1:11" ht="18.75" customHeight="1" x14ac:dyDescent="0.2">
      <c r="A13" s="1984" t="s">
        <v>686</v>
      </c>
      <c r="B13" s="1984"/>
      <c r="C13" s="1984"/>
      <c r="D13" s="1984"/>
      <c r="E13" s="1984"/>
      <c r="F13" s="1984"/>
      <c r="G13" s="1984"/>
      <c r="H13" s="1984"/>
      <c r="I13" s="1984"/>
      <c r="J13" s="1984"/>
    </row>
    <row r="14" spans="1:11" x14ac:dyDescent="0.2">
      <c r="A14" s="1981" t="s">
        <v>687</v>
      </c>
      <c r="B14" s="1981"/>
      <c r="C14" s="1981"/>
      <c r="D14" s="1981"/>
      <c r="E14" s="1981"/>
      <c r="F14" s="1981"/>
      <c r="G14" s="1981"/>
      <c r="H14" s="1981"/>
      <c r="I14" s="1981"/>
      <c r="J14" s="1981"/>
    </row>
    <row r="15" spans="1:11" x14ac:dyDescent="0.2">
      <c r="A15" s="1981"/>
      <c r="B15" s="1981"/>
      <c r="C15" s="1981"/>
      <c r="D15" s="1981"/>
      <c r="E15" s="1981"/>
      <c r="F15" s="1981"/>
      <c r="G15" s="1981"/>
      <c r="H15" s="1981"/>
      <c r="I15" s="1981"/>
      <c r="J15" s="1981"/>
    </row>
    <row r="16" spans="1:11" x14ac:dyDescent="0.2">
      <c r="A16" s="1468"/>
      <c r="B16" s="1468"/>
      <c r="C16" s="1468"/>
      <c r="D16" s="1468"/>
      <c r="E16" s="1468"/>
      <c r="F16" s="1468"/>
      <c r="G16" s="1468"/>
      <c r="H16" s="1468"/>
      <c r="I16" s="1468"/>
      <c r="J16" s="1468"/>
    </row>
    <row r="17" spans="1:12" x14ac:dyDescent="0.2">
      <c r="A17" s="2118" t="s">
        <v>688</v>
      </c>
      <c r="B17" s="2118"/>
      <c r="C17" s="2118"/>
      <c r="D17" s="2118"/>
      <c r="E17" s="2118"/>
      <c r="F17" s="2118"/>
      <c r="G17" s="2118"/>
      <c r="H17" s="2118"/>
      <c r="I17" s="2118"/>
      <c r="J17" s="2118"/>
    </row>
    <row r="18" spans="1:12" x14ac:dyDescent="0.2">
      <c r="A18" s="1484"/>
      <c r="B18" s="1484"/>
      <c r="C18" s="1484"/>
      <c r="D18" s="1484"/>
      <c r="E18" s="1484"/>
      <c r="F18" s="1484"/>
      <c r="G18" s="1484"/>
      <c r="H18" s="1484"/>
      <c r="I18" s="1484"/>
      <c r="J18" s="1484"/>
    </row>
    <row r="19" spans="1:12" ht="63.75" x14ac:dyDescent="0.2">
      <c r="A19" s="158"/>
      <c r="B19" s="158"/>
      <c r="C19" s="1510" t="s">
        <v>694</v>
      </c>
      <c r="D19" s="1510" t="s">
        <v>695</v>
      </c>
      <c r="E19" s="1510" t="s">
        <v>696</v>
      </c>
      <c r="F19" s="1510" t="s">
        <v>697</v>
      </c>
      <c r="G19" s="1510" t="s">
        <v>1566</v>
      </c>
      <c r="H19" s="1510" t="s">
        <v>1848</v>
      </c>
      <c r="I19" s="1510" t="s">
        <v>1849</v>
      </c>
      <c r="J19" s="1510" t="s">
        <v>1850</v>
      </c>
      <c r="K19" s="1510" t="s">
        <v>689</v>
      </c>
      <c r="L19" s="1482"/>
    </row>
    <row r="20" spans="1:12" x14ac:dyDescent="0.2">
      <c r="A20" s="158"/>
      <c r="B20" s="158"/>
      <c r="C20" s="1480"/>
      <c r="D20" s="1480"/>
      <c r="E20" s="1480"/>
      <c r="F20" s="1480"/>
      <c r="G20" s="1480"/>
      <c r="H20" s="1480"/>
      <c r="I20" s="1280"/>
      <c r="J20" s="1280"/>
      <c r="K20" s="1280"/>
    </row>
    <row r="21" spans="1:12" x14ac:dyDescent="0.2">
      <c r="A21" s="1281"/>
      <c r="B21" s="158"/>
      <c r="C21" s="158"/>
      <c r="D21" s="158"/>
      <c r="E21" s="158"/>
      <c r="F21" s="158"/>
      <c r="G21" s="158"/>
      <c r="H21" s="158"/>
      <c r="I21" s="158"/>
      <c r="J21" s="158"/>
      <c r="K21" s="158"/>
    </row>
    <row r="22" spans="1:12" ht="13.5" thickBot="1" x14ac:dyDescent="0.25">
      <c r="A22" s="1282"/>
      <c r="B22" s="158"/>
      <c r="C22" s="158"/>
      <c r="D22" s="158"/>
      <c r="E22" s="158"/>
      <c r="F22" s="158"/>
      <c r="G22" s="158"/>
      <c r="H22" s="158"/>
      <c r="I22" s="158"/>
      <c r="J22" s="158"/>
      <c r="K22" s="158"/>
    </row>
    <row r="23" spans="1:12" ht="14.25" thickTop="1" thickBot="1" x14ac:dyDescent="0.25">
      <c r="A23" s="1281" t="s">
        <v>690</v>
      </c>
      <c r="B23" s="158"/>
      <c r="C23" s="503"/>
      <c r="D23" s="503"/>
      <c r="E23" s="503"/>
      <c r="F23" s="503"/>
      <c r="G23" s="503"/>
      <c r="H23" s="503"/>
      <c r="I23" s="503"/>
      <c r="J23" s="503"/>
      <c r="K23" s="1283">
        <f>SUM(C23:J23)</f>
        <v>0</v>
      </c>
    </row>
    <row r="24" spans="1:12" ht="14.25" thickTop="1" thickBot="1" x14ac:dyDescent="0.25">
      <c r="A24" s="1281" t="s">
        <v>691</v>
      </c>
      <c r="B24" s="158"/>
      <c r="C24" s="503"/>
      <c r="D24" s="503"/>
      <c r="E24" s="503"/>
      <c r="F24" s="503"/>
      <c r="G24" s="503"/>
      <c r="H24" s="503"/>
      <c r="I24" s="503"/>
      <c r="J24" s="503"/>
      <c r="K24" s="1283">
        <f>SUM(C24:J24)</f>
        <v>0</v>
      </c>
    </row>
    <row r="25" spans="1:12" ht="15.75" thickTop="1" thickBot="1" x14ac:dyDescent="0.25">
      <c r="A25" s="1281" t="s">
        <v>692</v>
      </c>
      <c r="B25" s="158"/>
      <c r="C25" s="1283">
        <f t="shared" ref="C25:K25" si="0">SUM(C23:C24)</f>
        <v>0</v>
      </c>
      <c r="D25" s="1283">
        <f t="shared" si="0"/>
        <v>0</v>
      </c>
      <c r="E25" s="1283">
        <f t="shared" si="0"/>
        <v>0</v>
      </c>
      <c r="F25" s="1283">
        <f t="shared" si="0"/>
        <v>0</v>
      </c>
      <c r="G25" s="1283"/>
      <c r="H25" s="1283"/>
      <c r="I25" s="1283">
        <f t="shared" si="0"/>
        <v>0</v>
      </c>
      <c r="J25" s="1283">
        <f t="shared" si="0"/>
        <v>0</v>
      </c>
      <c r="K25" s="1283">
        <f t="shared" si="0"/>
        <v>0</v>
      </c>
    </row>
    <row r="26" spans="1:12" x14ac:dyDescent="0.2">
      <c r="A26" s="1281"/>
      <c r="B26" s="158"/>
      <c r="C26" s="686"/>
      <c r="D26" s="686"/>
      <c r="E26" s="686"/>
      <c r="F26" s="686"/>
      <c r="G26" s="686"/>
      <c r="H26" s="686"/>
    </row>
    <row r="27" spans="1:12" x14ac:dyDescent="0.2">
      <c r="A27" s="1284" t="s">
        <v>13</v>
      </c>
      <c r="B27" s="158"/>
      <c r="C27" s="686"/>
      <c r="D27" s="686"/>
      <c r="E27" s="686"/>
      <c r="F27" s="686"/>
      <c r="G27" s="686"/>
      <c r="H27" s="686"/>
    </row>
    <row r="28" spans="1:12" x14ac:dyDescent="0.2">
      <c r="A28" s="1281"/>
      <c r="B28" s="158"/>
      <c r="C28" s="686"/>
      <c r="D28" s="686"/>
      <c r="E28" s="686"/>
      <c r="F28" s="686"/>
      <c r="G28" s="686"/>
      <c r="H28" s="686"/>
    </row>
    <row r="29" spans="1:12" ht="14.25" x14ac:dyDescent="0.2">
      <c r="A29" s="1281" t="s">
        <v>1851</v>
      </c>
      <c r="B29" s="158"/>
      <c r="C29" s="686"/>
      <c r="D29" s="686"/>
      <c r="E29" s="686"/>
      <c r="F29" s="686"/>
      <c r="G29" s="686"/>
      <c r="H29" s="686"/>
    </row>
    <row r="30" spans="1:12" ht="14.25" x14ac:dyDescent="0.2">
      <c r="A30" s="1281" t="s">
        <v>1852</v>
      </c>
      <c r="B30" s="158"/>
      <c r="C30" s="158"/>
      <c r="D30" s="158"/>
      <c r="E30" s="158"/>
      <c r="F30" s="158"/>
      <c r="G30" s="158"/>
      <c r="H30" s="158"/>
    </row>
    <row r="31" spans="1:12" x14ac:dyDescent="0.2">
      <c r="A31" s="1281"/>
      <c r="B31" s="158"/>
      <c r="C31" s="158"/>
      <c r="D31" s="158"/>
      <c r="E31" s="158"/>
      <c r="F31" s="158"/>
      <c r="G31" s="158"/>
      <c r="H31" s="158"/>
    </row>
    <row r="32" spans="1:12" x14ac:dyDescent="0.2">
      <c r="A32" s="2397" t="s">
        <v>693</v>
      </c>
      <c r="B32" s="2397"/>
      <c r="C32" s="2397"/>
      <c r="D32" s="2397"/>
      <c r="E32" s="2397"/>
      <c r="F32" s="2397"/>
      <c r="G32" s="2397"/>
      <c r="H32" s="2397"/>
      <c r="I32" s="2397"/>
      <c r="J32" s="2397"/>
      <c r="K32" s="2397"/>
    </row>
  </sheetData>
  <mergeCells count="7">
    <mergeCell ref="A32:K32"/>
    <mergeCell ref="A9:J9"/>
    <mergeCell ref="A10:J10"/>
    <mergeCell ref="A11:J11"/>
    <mergeCell ref="A14:J15"/>
    <mergeCell ref="A17:J17"/>
    <mergeCell ref="A13:J13"/>
  </mergeCells>
  <dataValidations count="1">
    <dataValidation allowBlank="1" showInputMessage="1" showErrorMessage="1" promptTitle="Date Format" prompt="E.g:  &quot;August 1, 2011&quot;" sqref="K7"/>
  </dataValidations>
  <pageMargins left="0.75" right="0.75" top="1" bottom="1" header="0.5" footer="0.5"/>
  <pageSetup scale="77"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2:S49"/>
  <sheetViews>
    <sheetView showGridLines="0" zoomScale="70" zoomScaleNormal="70" workbookViewId="0"/>
  </sheetViews>
  <sheetFormatPr defaultRowHeight="12.75" x14ac:dyDescent="0.2"/>
  <cols>
    <col min="1" max="1" width="5" style="140" customWidth="1"/>
    <col min="2" max="2" width="47.42578125" style="140" customWidth="1"/>
    <col min="3" max="3" width="12.7109375" style="140" bestFit="1" customWidth="1"/>
    <col min="4" max="4" width="1.7109375" style="140" customWidth="1"/>
    <col min="5" max="11" width="15.7109375" style="140" customWidth="1"/>
    <col min="12" max="12" width="16.85546875" style="140" customWidth="1"/>
    <col min="13" max="13" width="17" style="140" bestFit="1" customWidth="1"/>
    <col min="14" max="14" width="19.5703125" style="140" customWidth="1"/>
    <col min="15" max="16" width="19.28515625" style="140" customWidth="1"/>
    <col min="17" max="17" width="49.7109375" style="140" customWidth="1"/>
    <col min="18" max="18" width="13.7109375" style="140" customWidth="1"/>
    <col min="19" max="19" width="40.7109375" style="140" customWidth="1"/>
    <col min="20" max="262" width="9.140625" style="140"/>
    <col min="263" max="263" width="2.85546875" style="140" customWidth="1"/>
    <col min="264" max="264" width="5" style="140" customWidth="1"/>
    <col min="265" max="265" width="62" style="140" customWidth="1"/>
    <col min="266" max="266" width="12.7109375" style="140" bestFit="1" customWidth="1"/>
    <col min="267" max="267" width="1.7109375" style="140" customWidth="1"/>
    <col min="268" max="273" width="15.7109375" style="140" customWidth="1"/>
    <col min="274" max="274" width="13.7109375" style="140" customWidth="1"/>
    <col min="275" max="275" width="40.7109375" style="140" customWidth="1"/>
    <col min="276" max="518" width="9.140625" style="140"/>
    <col min="519" max="519" width="2.85546875" style="140" customWidth="1"/>
    <col min="520" max="520" width="5" style="140" customWidth="1"/>
    <col min="521" max="521" width="62" style="140" customWidth="1"/>
    <col min="522" max="522" width="12.7109375" style="140" bestFit="1" customWidth="1"/>
    <col min="523" max="523" width="1.7109375" style="140" customWidth="1"/>
    <col min="524" max="529" width="15.7109375" style="140" customWidth="1"/>
    <col min="530" max="530" width="13.7109375" style="140" customWidth="1"/>
    <col min="531" max="531" width="40.7109375" style="140" customWidth="1"/>
    <col min="532" max="774" width="9.140625" style="140"/>
    <col min="775" max="775" width="2.85546875" style="140" customWidth="1"/>
    <col min="776" max="776" width="5" style="140" customWidth="1"/>
    <col min="777" max="777" width="62" style="140" customWidth="1"/>
    <col min="778" max="778" width="12.7109375" style="140" bestFit="1" customWidth="1"/>
    <col min="779" max="779" width="1.7109375" style="140" customWidth="1"/>
    <col min="780" max="785" width="15.7109375" style="140" customWidth="1"/>
    <col min="786" max="786" width="13.7109375" style="140" customWidth="1"/>
    <col min="787" max="787" width="40.7109375" style="140" customWidth="1"/>
    <col min="788" max="1030" width="9.140625" style="140"/>
    <col min="1031" max="1031" width="2.85546875" style="140" customWidth="1"/>
    <col min="1032" max="1032" width="5" style="140" customWidth="1"/>
    <col min="1033" max="1033" width="62" style="140" customWidth="1"/>
    <col min="1034" max="1034" width="12.7109375" style="140" bestFit="1" customWidth="1"/>
    <col min="1035" max="1035" width="1.7109375" style="140" customWidth="1"/>
    <col min="1036" max="1041" width="15.7109375" style="140" customWidth="1"/>
    <col min="1042" max="1042" width="13.7109375" style="140" customWidth="1"/>
    <col min="1043" max="1043" width="40.7109375" style="140" customWidth="1"/>
    <col min="1044" max="1286" width="9.140625" style="140"/>
    <col min="1287" max="1287" width="2.85546875" style="140" customWidth="1"/>
    <col min="1288" max="1288" width="5" style="140" customWidth="1"/>
    <col min="1289" max="1289" width="62" style="140" customWidth="1"/>
    <col min="1290" max="1290" width="12.7109375" style="140" bestFit="1" customWidth="1"/>
    <col min="1291" max="1291" width="1.7109375" style="140" customWidth="1"/>
    <col min="1292" max="1297" width="15.7109375" style="140" customWidth="1"/>
    <col min="1298" max="1298" width="13.7109375" style="140" customWidth="1"/>
    <col min="1299" max="1299" width="40.7109375" style="140" customWidth="1"/>
    <col min="1300" max="1542" width="9.140625" style="140"/>
    <col min="1543" max="1543" width="2.85546875" style="140" customWidth="1"/>
    <col min="1544" max="1544" width="5" style="140" customWidth="1"/>
    <col min="1545" max="1545" width="62" style="140" customWidth="1"/>
    <col min="1546" max="1546" width="12.7109375" style="140" bestFit="1" customWidth="1"/>
    <col min="1547" max="1547" width="1.7109375" style="140" customWidth="1"/>
    <col min="1548" max="1553" width="15.7109375" style="140" customWidth="1"/>
    <col min="1554" max="1554" width="13.7109375" style="140" customWidth="1"/>
    <col min="1555" max="1555" width="40.7109375" style="140" customWidth="1"/>
    <col min="1556" max="1798" width="9.140625" style="140"/>
    <col min="1799" max="1799" width="2.85546875" style="140" customWidth="1"/>
    <col min="1800" max="1800" width="5" style="140" customWidth="1"/>
    <col min="1801" max="1801" width="62" style="140" customWidth="1"/>
    <col min="1802" max="1802" width="12.7109375" style="140" bestFit="1" customWidth="1"/>
    <col min="1803" max="1803" width="1.7109375" style="140" customWidth="1"/>
    <col min="1804" max="1809" width="15.7109375" style="140" customWidth="1"/>
    <col min="1810" max="1810" width="13.7109375" style="140" customWidth="1"/>
    <col min="1811" max="1811" width="40.7109375" style="140" customWidth="1"/>
    <col min="1812" max="2054" width="9.140625" style="140"/>
    <col min="2055" max="2055" width="2.85546875" style="140" customWidth="1"/>
    <col min="2056" max="2056" width="5" style="140" customWidth="1"/>
    <col min="2057" max="2057" width="62" style="140" customWidth="1"/>
    <col min="2058" max="2058" width="12.7109375" style="140" bestFit="1" customWidth="1"/>
    <col min="2059" max="2059" width="1.7109375" style="140" customWidth="1"/>
    <col min="2060" max="2065" width="15.7109375" style="140" customWidth="1"/>
    <col min="2066" max="2066" width="13.7109375" style="140" customWidth="1"/>
    <col min="2067" max="2067" width="40.7109375" style="140" customWidth="1"/>
    <col min="2068" max="2310" width="9.140625" style="140"/>
    <col min="2311" max="2311" width="2.85546875" style="140" customWidth="1"/>
    <col min="2312" max="2312" width="5" style="140" customWidth="1"/>
    <col min="2313" max="2313" width="62" style="140" customWidth="1"/>
    <col min="2314" max="2314" width="12.7109375" style="140" bestFit="1" customWidth="1"/>
    <col min="2315" max="2315" width="1.7109375" style="140" customWidth="1"/>
    <col min="2316" max="2321" width="15.7109375" style="140" customWidth="1"/>
    <col min="2322" max="2322" width="13.7109375" style="140" customWidth="1"/>
    <col min="2323" max="2323" width="40.7109375" style="140" customWidth="1"/>
    <col min="2324" max="2566" width="9.140625" style="140"/>
    <col min="2567" max="2567" width="2.85546875" style="140" customWidth="1"/>
    <col min="2568" max="2568" width="5" style="140" customWidth="1"/>
    <col min="2569" max="2569" width="62" style="140" customWidth="1"/>
    <col min="2570" max="2570" width="12.7109375" style="140" bestFit="1" customWidth="1"/>
    <col min="2571" max="2571" width="1.7109375" style="140" customWidth="1"/>
    <col min="2572" max="2577" width="15.7109375" style="140" customWidth="1"/>
    <col min="2578" max="2578" width="13.7109375" style="140" customWidth="1"/>
    <col min="2579" max="2579" width="40.7109375" style="140" customWidth="1"/>
    <col min="2580" max="2822" width="9.140625" style="140"/>
    <col min="2823" max="2823" width="2.85546875" style="140" customWidth="1"/>
    <col min="2824" max="2824" width="5" style="140" customWidth="1"/>
    <col min="2825" max="2825" width="62" style="140" customWidth="1"/>
    <col min="2826" max="2826" width="12.7109375" style="140" bestFit="1" customWidth="1"/>
    <col min="2827" max="2827" width="1.7109375" style="140" customWidth="1"/>
    <col min="2828" max="2833" width="15.7109375" style="140" customWidth="1"/>
    <col min="2834" max="2834" width="13.7109375" style="140" customWidth="1"/>
    <col min="2835" max="2835" width="40.7109375" style="140" customWidth="1"/>
    <col min="2836" max="3078" width="9.140625" style="140"/>
    <col min="3079" max="3079" width="2.85546875" style="140" customWidth="1"/>
    <col min="3080" max="3080" width="5" style="140" customWidth="1"/>
    <col min="3081" max="3081" width="62" style="140" customWidth="1"/>
    <col min="3082" max="3082" width="12.7109375" style="140" bestFit="1" customWidth="1"/>
    <col min="3083" max="3083" width="1.7109375" style="140" customWidth="1"/>
    <col min="3084" max="3089" width="15.7109375" style="140" customWidth="1"/>
    <col min="3090" max="3090" width="13.7109375" style="140" customWidth="1"/>
    <col min="3091" max="3091" width="40.7109375" style="140" customWidth="1"/>
    <col min="3092" max="3334" width="9.140625" style="140"/>
    <col min="3335" max="3335" width="2.85546875" style="140" customWidth="1"/>
    <col min="3336" max="3336" width="5" style="140" customWidth="1"/>
    <col min="3337" max="3337" width="62" style="140" customWidth="1"/>
    <col min="3338" max="3338" width="12.7109375" style="140" bestFit="1" customWidth="1"/>
    <col min="3339" max="3339" width="1.7109375" style="140" customWidth="1"/>
    <col min="3340" max="3345" width="15.7109375" style="140" customWidth="1"/>
    <col min="3346" max="3346" width="13.7109375" style="140" customWidth="1"/>
    <col min="3347" max="3347" width="40.7109375" style="140" customWidth="1"/>
    <col min="3348" max="3590" width="9.140625" style="140"/>
    <col min="3591" max="3591" width="2.85546875" style="140" customWidth="1"/>
    <col min="3592" max="3592" width="5" style="140" customWidth="1"/>
    <col min="3593" max="3593" width="62" style="140" customWidth="1"/>
    <col min="3594" max="3594" width="12.7109375" style="140" bestFit="1" customWidth="1"/>
    <col min="3595" max="3595" width="1.7109375" style="140" customWidth="1"/>
    <col min="3596" max="3601" width="15.7109375" style="140" customWidth="1"/>
    <col min="3602" max="3602" width="13.7109375" style="140" customWidth="1"/>
    <col min="3603" max="3603" width="40.7109375" style="140" customWidth="1"/>
    <col min="3604" max="3846" width="9.140625" style="140"/>
    <col min="3847" max="3847" width="2.85546875" style="140" customWidth="1"/>
    <col min="3848" max="3848" width="5" style="140" customWidth="1"/>
    <col min="3849" max="3849" width="62" style="140" customWidth="1"/>
    <col min="3850" max="3850" width="12.7109375" style="140" bestFit="1" customWidth="1"/>
    <col min="3851" max="3851" width="1.7109375" style="140" customWidth="1"/>
    <col min="3852" max="3857" width="15.7109375" style="140" customWidth="1"/>
    <col min="3858" max="3858" width="13.7109375" style="140" customWidth="1"/>
    <col min="3859" max="3859" width="40.7109375" style="140" customWidth="1"/>
    <col min="3860" max="4102" width="9.140625" style="140"/>
    <col min="4103" max="4103" width="2.85546875" style="140" customWidth="1"/>
    <col min="4104" max="4104" width="5" style="140" customWidth="1"/>
    <col min="4105" max="4105" width="62" style="140" customWidth="1"/>
    <col min="4106" max="4106" width="12.7109375" style="140" bestFit="1" customWidth="1"/>
    <col min="4107" max="4107" width="1.7109375" style="140" customWidth="1"/>
    <col min="4108" max="4113" width="15.7109375" style="140" customWidth="1"/>
    <col min="4114" max="4114" width="13.7109375" style="140" customWidth="1"/>
    <col min="4115" max="4115" width="40.7109375" style="140" customWidth="1"/>
    <col min="4116" max="4358" width="9.140625" style="140"/>
    <col min="4359" max="4359" width="2.85546875" style="140" customWidth="1"/>
    <col min="4360" max="4360" width="5" style="140" customWidth="1"/>
    <col min="4361" max="4361" width="62" style="140" customWidth="1"/>
    <col min="4362" max="4362" width="12.7109375" style="140" bestFit="1" customWidth="1"/>
    <col min="4363" max="4363" width="1.7109375" style="140" customWidth="1"/>
    <col min="4364" max="4369" width="15.7109375" style="140" customWidth="1"/>
    <col min="4370" max="4370" width="13.7109375" style="140" customWidth="1"/>
    <col min="4371" max="4371" width="40.7109375" style="140" customWidth="1"/>
    <col min="4372" max="4614" width="9.140625" style="140"/>
    <col min="4615" max="4615" width="2.85546875" style="140" customWidth="1"/>
    <col min="4616" max="4616" width="5" style="140" customWidth="1"/>
    <col min="4617" max="4617" width="62" style="140" customWidth="1"/>
    <col min="4618" max="4618" width="12.7109375" style="140" bestFit="1" customWidth="1"/>
    <col min="4619" max="4619" width="1.7109375" style="140" customWidth="1"/>
    <col min="4620" max="4625" width="15.7109375" style="140" customWidth="1"/>
    <col min="4626" max="4626" width="13.7109375" style="140" customWidth="1"/>
    <col min="4627" max="4627" width="40.7109375" style="140" customWidth="1"/>
    <col min="4628" max="4870" width="9.140625" style="140"/>
    <col min="4871" max="4871" width="2.85546875" style="140" customWidth="1"/>
    <col min="4872" max="4872" width="5" style="140" customWidth="1"/>
    <col min="4873" max="4873" width="62" style="140" customWidth="1"/>
    <col min="4874" max="4874" width="12.7109375" style="140" bestFit="1" customWidth="1"/>
    <col min="4875" max="4875" width="1.7109375" style="140" customWidth="1"/>
    <col min="4876" max="4881" width="15.7109375" style="140" customWidth="1"/>
    <col min="4882" max="4882" width="13.7109375" style="140" customWidth="1"/>
    <col min="4883" max="4883" width="40.7109375" style="140" customWidth="1"/>
    <col min="4884" max="5126" width="9.140625" style="140"/>
    <col min="5127" max="5127" width="2.85546875" style="140" customWidth="1"/>
    <col min="5128" max="5128" width="5" style="140" customWidth="1"/>
    <col min="5129" max="5129" width="62" style="140" customWidth="1"/>
    <col min="5130" max="5130" width="12.7109375" style="140" bestFit="1" customWidth="1"/>
    <col min="5131" max="5131" width="1.7109375" style="140" customWidth="1"/>
    <col min="5132" max="5137" width="15.7109375" style="140" customWidth="1"/>
    <col min="5138" max="5138" width="13.7109375" style="140" customWidth="1"/>
    <col min="5139" max="5139" width="40.7109375" style="140" customWidth="1"/>
    <col min="5140" max="5382" width="9.140625" style="140"/>
    <col min="5383" max="5383" width="2.85546875" style="140" customWidth="1"/>
    <col min="5384" max="5384" width="5" style="140" customWidth="1"/>
    <col min="5385" max="5385" width="62" style="140" customWidth="1"/>
    <col min="5386" max="5386" width="12.7109375" style="140" bestFit="1" customWidth="1"/>
    <col min="5387" max="5387" width="1.7109375" style="140" customWidth="1"/>
    <col min="5388" max="5393" width="15.7109375" style="140" customWidth="1"/>
    <col min="5394" max="5394" width="13.7109375" style="140" customWidth="1"/>
    <col min="5395" max="5395" width="40.7109375" style="140" customWidth="1"/>
    <col min="5396" max="5638" width="9.140625" style="140"/>
    <col min="5639" max="5639" width="2.85546875" style="140" customWidth="1"/>
    <col min="5640" max="5640" width="5" style="140" customWidth="1"/>
    <col min="5641" max="5641" width="62" style="140" customWidth="1"/>
    <col min="5642" max="5642" width="12.7109375" style="140" bestFit="1" customWidth="1"/>
    <col min="5643" max="5643" width="1.7109375" style="140" customWidth="1"/>
    <col min="5644" max="5649" width="15.7109375" style="140" customWidth="1"/>
    <col min="5650" max="5650" width="13.7109375" style="140" customWidth="1"/>
    <col min="5651" max="5651" width="40.7109375" style="140" customWidth="1"/>
    <col min="5652" max="5894" width="9.140625" style="140"/>
    <col min="5895" max="5895" width="2.85546875" style="140" customWidth="1"/>
    <col min="5896" max="5896" width="5" style="140" customWidth="1"/>
    <col min="5897" max="5897" width="62" style="140" customWidth="1"/>
    <col min="5898" max="5898" width="12.7109375" style="140" bestFit="1" customWidth="1"/>
    <col min="5899" max="5899" width="1.7109375" style="140" customWidth="1"/>
    <col min="5900" max="5905" width="15.7109375" style="140" customWidth="1"/>
    <col min="5906" max="5906" width="13.7109375" style="140" customWidth="1"/>
    <col min="5907" max="5907" width="40.7109375" style="140" customWidth="1"/>
    <col min="5908" max="6150" width="9.140625" style="140"/>
    <col min="6151" max="6151" width="2.85546875" style="140" customWidth="1"/>
    <col min="6152" max="6152" width="5" style="140" customWidth="1"/>
    <col min="6153" max="6153" width="62" style="140" customWidth="1"/>
    <col min="6154" max="6154" width="12.7109375" style="140" bestFit="1" customWidth="1"/>
    <col min="6155" max="6155" width="1.7109375" style="140" customWidth="1"/>
    <col min="6156" max="6161" width="15.7109375" style="140" customWidth="1"/>
    <col min="6162" max="6162" width="13.7109375" style="140" customWidth="1"/>
    <col min="6163" max="6163" width="40.7109375" style="140" customWidth="1"/>
    <col min="6164" max="6406" width="9.140625" style="140"/>
    <col min="6407" max="6407" width="2.85546875" style="140" customWidth="1"/>
    <col min="6408" max="6408" width="5" style="140" customWidth="1"/>
    <col min="6409" max="6409" width="62" style="140" customWidth="1"/>
    <col min="6410" max="6410" width="12.7109375" style="140" bestFit="1" customWidth="1"/>
    <col min="6411" max="6411" width="1.7109375" style="140" customWidth="1"/>
    <col min="6412" max="6417" width="15.7109375" style="140" customWidth="1"/>
    <col min="6418" max="6418" width="13.7109375" style="140" customWidth="1"/>
    <col min="6419" max="6419" width="40.7109375" style="140" customWidth="1"/>
    <col min="6420" max="6662" width="9.140625" style="140"/>
    <col min="6663" max="6663" width="2.85546875" style="140" customWidth="1"/>
    <col min="6664" max="6664" width="5" style="140" customWidth="1"/>
    <col min="6665" max="6665" width="62" style="140" customWidth="1"/>
    <col min="6666" max="6666" width="12.7109375" style="140" bestFit="1" customWidth="1"/>
    <col min="6667" max="6667" width="1.7109375" style="140" customWidth="1"/>
    <col min="6668" max="6673" width="15.7109375" style="140" customWidth="1"/>
    <col min="6674" max="6674" width="13.7109375" style="140" customWidth="1"/>
    <col min="6675" max="6675" width="40.7109375" style="140" customWidth="1"/>
    <col min="6676" max="6918" width="9.140625" style="140"/>
    <col min="6919" max="6919" width="2.85546875" style="140" customWidth="1"/>
    <col min="6920" max="6920" width="5" style="140" customWidth="1"/>
    <col min="6921" max="6921" width="62" style="140" customWidth="1"/>
    <col min="6922" max="6922" width="12.7109375" style="140" bestFit="1" customWidth="1"/>
    <col min="6923" max="6923" width="1.7109375" style="140" customWidth="1"/>
    <col min="6924" max="6929" width="15.7109375" style="140" customWidth="1"/>
    <col min="6930" max="6930" width="13.7109375" style="140" customWidth="1"/>
    <col min="6931" max="6931" width="40.7109375" style="140" customWidth="1"/>
    <col min="6932" max="7174" width="9.140625" style="140"/>
    <col min="7175" max="7175" width="2.85546875" style="140" customWidth="1"/>
    <col min="7176" max="7176" width="5" style="140" customWidth="1"/>
    <col min="7177" max="7177" width="62" style="140" customWidth="1"/>
    <col min="7178" max="7178" width="12.7109375" style="140" bestFit="1" customWidth="1"/>
    <col min="7179" max="7179" width="1.7109375" style="140" customWidth="1"/>
    <col min="7180" max="7185" width="15.7109375" style="140" customWidth="1"/>
    <col min="7186" max="7186" width="13.7109375" style="140" customWidth="1"/>
    <col min="7187" max="7187" width="40.7109375" style="140" customWidth="1"/>
    <col min="7188" max="7430" width="9.140625" style="140"/>
    <col min="7431" max="7431" width="2.85546875" style="140" customWidth="1"/>
    <col min="7432" max="7432" width="5" style="140" customWidth="1"/>
    <col min="7433" max="7433" width="62" style="140" customWidth="1"/>
    <col min="7434" max="7434" width="12.7109375" style="140" bestFit="1" customWidth="1"/>
    <col min="7435" max="7435" width="1.7109375" style="140" customWidth="1"/>
    <col min="7436" max="7441" width="15.7109375" style="140" customWidth="1"/>
    <col min="7442" max="7442" width="13.7109375" style="140" customWidth="1"/>
    <col min="7443" max="7443" width="40.7109375" style="140" customWidth="1"/>
    <col min="7444" max="7686" width="9.140625" style="140"/>
    <col min="7687" max="7687" width="2.85546875" style="140" customWidth="1"/>
    <col min="7688" max="7688" width="5" style="140" customWidth="1"/>
    <col min="7689" max="7689" width="62" style="140" customWidth="1"/>
    <col min="7690" max="7690" width="12.7109375" style="140" bestFit="1" customWidth="1"/>
    <col min="7691" max="7691" width="1.7109375" style="140" customWidth="1"/>
    <col min="7692" max="7697" width="15.7109375" style="140" customWidth="1"/>
    <col min="7698" max="7698" width="13.7109375" style="140" customWidth="1"/>
    <col min="7699" max="7699" width="40.7109375" style="140" customWidth="1"/>
    <col min="7700" max="7942" width="9.140625" style="140"/>
    <col min="7943" max="7943" width="2.85546875" style="140" customWidth="1"/>
    <col min="7944" max="7944" width="5" style="140" customWidth="1"/>
    <col min="7945" max="7945" width="62" style="140" customWidth="1"/>
    <col min="7946" max="7946" width="12.7109375" style="140" bestFit="1" customWidth="1"/>
    <col min="7947" max="7947" width="1.7109375" style="140" customWidth="1"/>
    <col min="7948" max="7953" width="15.7109375" style="140" customWidth="1"/>
    <col min="7954" max="7954" width="13.7109375" style="140" customWidth="1"/>
    <col min="7955" max="7955" width="40.7109375" style="140" customWidth="1"/>
    <col min="7956" max="8198" width="9.140625" style="140"/>
    <col min="8199" max="8199" width="2.85546875" style="140" customWidth="1"/>
    <col min="8200" max="8200" width="5" style="140" customWidth="1"/>
    <col min="8201" max="8201" width="62" style="140" customWidth="1"/>
    <col min="8202" max="8202" width="12.7109375" style="140" bestFit="1" customWidth="1"/>
    <col min="8203" max="8203" width="1.7109375" style="140" customWidth="1"/>
    <col min="8204" max="8209" width="15.7109375" style="140" customWidth="1"/>
    <col min="8210" max="8210" width="13.7109375" style="140" customWidth="1"/>
    <col min="8211" max="8211" width="40.7109375" style="140" customWidth="1"/>
    <col min="8212" max="8454" width="9.140625" style="140"/>
    <col min="8455" max="8455" width="2.85546875" style="140" customWidth="1"/>
    <col min="8456" max="8456" width="5" style="140" customWidth="1"/>
    <col min="8457" max="8457" width="62" style="140" customWidth="1"/>
    <col min="8458" max="8458" width="12.7109375" style="140" bestFit="1" customWidth="1"/>
    <col min="8459" max="8459" width="1.7109375" style="140" customWidth="1"/>
    <col min="8460" max="8465" width="15.7109375" style="140" customWidth="1"/>
    <col min="8466" max="8466" width="13.7109375" style="140" customWidth="1"/>
    <col min="8467" max="8467" width="40.7109375" style="140" customWidth="1"/>
    <col min="8468" max="8710" width="9.140625" style="140"/>
    <col min="8711" max="8711" width="2.85546875" style="140" customWidth="1"/>
    <col min="8712" max="8712" width="5" style="140" customWidth="1"/>
    <col min="8713" max="8713" width="62" style="140" customWidth="1"/>
    <col min="8714" max="8714" width="12.7109375" style="140" bestFit="1" customWidth="1"/>
    <col min="8715" max="8715" width="1.7109375" style="140" customWidth="1"/>
    <col min="8716" max="8721" width="15.7109375" style="140" customWidth="1"/>
    <col min="8722" max="8722" width="13.7109375" style="140" customWidth="1"/>
    <col min="8723" max="8723" width="40.7109375" style="140" customWidth="1"/>
    <col min="8724" max="8966" width="9.140625" style="140"/>
    <col min="8967" max="8967" width="2.85546875" style="140" customWidth="1"/>
    <col min="8968" max="8968" width="5" style="140" customWidth="1"/>
    <col min="8969" max="8969" width="62" style="140" customWidth="1"/>
    <col min="8970" max="8970" width="12.7109375" style="140" bestFit="1" customWidth="1"/>
    <col min="8971" max="8971" width="1.7109375" style="140" customWidth="1"/>
    <col min="8972" max="8977" width="15.7109375" style="140" customWidth="1"/>
    <col min="8978" max="8978" width="13.7109375" style="140" customWidth="1"/>
    <col min="8979" max="8979" width="40.7109375" style="140" customWidth="1"/>
    <col min="8980" max="9222" width="9.140625" style="140"/>
    <col min="9223" max="9223" width="2.85546875" style="140" customWidth="1"/>
    <col min="9224" max="9224" width="5" style="140" customWidth="1"/>
    <col min="9225" max="9225" width="62" style="140" customWidth="1"/>
    <col min="9226" max="9226" width="12.7109375" style="140" bestFit="1" customWidth="1"/>
    <col min="9227" max="9227" width="1.7109375" style="140" customWidth="1"/>
    <col min="9228" max="9233" width="15.7109375" style="140" customWidth="1"/>
    <col min="9234" max="9234" width="13.7109375" style="140" customWidth="1"/>
    <col min="9235" max="9235" width="40.7109375" style="140" customWidth="1"/>
    <col min="9236" max="9478" width="9.140625" style="140"/>
    <col min="9479" max="9479" width="2.85546875" style="140" customWidth="1"/>
    <col min="9480" max="9480" width="5" style="140" customWidth="1"/>
    <col min="9481" max="9481" width="62" style="140" customWidth="1"/>
    <col min="9482" max="9482" width="12.7109375" style="140" bestFit="1" customWidth="1"/>
    <col min="9483" max="9483" width="1.7109375" style="140" customWidth="1"/>
    <col min="9484" max="9489" width="15.7109375" style="140" customWidth="1"/>
    <col min="9490" max="9490" width="13.7109375" style="140" customWidth="1"/>
    <col min="9491" max="9491" width="40.7109375" style="140" customWidth="1"/>
    <col min="9492" max="9734" width="9.140625" style="140"/>
    <col min="9735" max="9735" width="2.85546875" style="140" customWidth="1"/>
    <col min="9736" max="9736" width="5" style="140" customWidth="1"/>
    <col min="9737" max="9737" width="62" style="140" customWidth="1"/>
    <col min="9738" max="9738" width="12.7109375" style="140" bestFit="1" customWidth="1"/>
    <col min="9739" max="9739" width="1.7109375" style="140" customWidth="1"/>
    <col min="9740" max="9745" width="15.7109375" style="140" customWidth="1"/>
    <col min="9746" max="9746" width="13.7109375" style="140" customWidth="1"/>
    <col min="9747" max="9747" width="40.7109375" style="140" customWidth="1"/>
    <col min="9748" max="9990" width="9.140625" style="140"/>
    <col min="9991" max="9991" width="2.85546875" style="140" customWidth="1"/>
    <col min="9992" max="9992" width="5" style="140" customWidth="1"/>
    <col min="9993" max="9993" width="62" style="140" customWidth="1"/>
    <col min="9994" max="9994" width="12.7109375" style="140" bestFit="1" customWidth="1"/>
    <col min="9995" max="9995" width="1.7109375" style="140" customWidth="1"/>
    <col min="9996" max="10001" width="15.7109375" style="140" customWidth="1"/>
    <col min="10002" max="10002" width="13.7109375" style="140" customWidth="1"/>
    <col min="10003" max="10003" width="40.7109375" style="140" customWidth="1"/>
    <col min="10004" max="10246" width="9.140625" style="140"/>
    <col min="10247" max="10247" width="2.85546875" style="140" customWidth="1"/>
    <col min="10248" max="10248" width="5" style="140" customWidth="1"/>
    <col min="10249" max="10249" width="62" style="140" customWidth="1"/>
    <col min="10250" max="10250" width="12.7109375" style="140" bestFit="1" customWidth="1"/>
    <col min="10251" max="10251" width="1.7109375" style="140" customWidth="1"/>
    <col min="10252" max="10257" width="15.7109375" style="140" customWidth="1"/>
    <col min="10258" max="10258" width="13.7109375" style="140" customWidth="1"/>
    <col min="10259" max="10259" width="40.7109375" style="140" customWidth="1"/>
    <col min="10260" max="10502" width="9.140625" style="140"/>
    <col min="10503" max="10503" width="2.85546875" style="140" customWidth="1"/>
    <col min="10504" max="10504" width="5" style="140" customWidth="1"/>
    <col min="10505" max="10505" width="62" style="140" customWidth="1"/>
    <col min="10506" max="10506" width="12.7109375" style="140" bestFit="1" customWidth="1"/>
    <col min="10507" max="10507" width="1.7109375" style="140" customWidth="1"/>
    <col min="10508" max="10513" width="15.7109375" style="140" customWidth="1"/>
    <col min="10514" max="10514" width="13.7109375" style="140" customWidth="1"/>
    <col min="10515" max="10515" width="40.7109375" style="140" customWidth="1"/>
    <col min="10516" max="10758" width="9.140625" style="140"/>
    <col min="10759" max="10759" width="2.85546875" style="140" customWidth="1"/>
    <col min="10760" max="10760" width="5" style="140" customWidth="1"/>
    <col min="10761" max="10761" width="62" style="140" customWidth="1"/>
    <col min="10762" max="10762" width="12.7109375" style="140" bestFit="1" customWidth="1"/>
    <col min="10763" max="10763" width="1.7109375" style="140" customWidth="1"/>
    <col min="10764" max="10769" width="15.7109375" style="140" customWidth="1"/>
    <col min="10770" max="10770" width="13.7109375" style="140" customWidth="1"/>
    <col min="10771" max="10771" width="40.7109375" style="140" customWidth="1"/>
    <col min="10772" max="11014" width="9.140625" style="140"/>
    <col min="11015" max="11015" width="2.85546875" style="140" customWidth="1"/>
    <col min="11016" max="11016" width="5" style="140" customWidth="1"/>
    <col min="11017" max="11017" width="62" style="140" customWidth="1"/>
    <col min="11018" max="11018" width="12.7109375" style="140" bestFit="1" customWidth="1"/>
    <col min="11019" max="11019" width="1.7109375" style="140" customWidth="1"/>
    <col min="11020" max="11025" width="15.7109375" style="140" customWidth="1"/>
    <col min="11026" max="11026" width="13.7109375" style="140" customWidth="1"/>
    <col min="11027" max="11027" width="40.7109375" style="140" customWidth="1"/>
    <col min="11028" max="11270" width="9.140625" style="140"/>
    <col min="11271" max="11271" width="2.85546875" style="140" customWidth="1"/>
    <col min="11272" max="11272" width="5" style="140" customWidth="1"/>
    <col min="11273" max="11273" width="62" style="140" customWidth="1"/>
    <col min="11274" max="11274" width="12.7109375" style="140" bestFit="1" customWidth="1"/>
    <col min="11275" max="11275" width="1.7109375" style="140" customWidth="1"/>
    <col min="11276" max="11281" width="15.7109375" style="140" customWidth="1"/>
    <col min="11282" max="11282" width="13.7109375" style="140" customWidth="1"/>
    <col min="11283" max="11283" width="40.7109375" style="140" customWidth="1"/>
    <col min="11284" max="11526" width="9.140625" style="140"/>
    <col min="11527" max="11527" width="2.85546875" style="140" customWidth="1"/>
    <col min="11528" max="11528" width="5" style="140" customWidth="1"/>
    <col min="11529" max="11529" width="62" style="140" customWidth="1"/>
    <col min="11530" max="11530" width="12.7109375" style="140" bestFit="1" customWidth="1"/>
    <col min="11531" max="11531" width="1.7109375" style="140" customWidth="1"/>
    <col min="11532" max="11537" width="15.7109375" style="140" customWidth="1"/>
    <col min="11538" max="11538" width="13.7109375" style="140" customWidth="1"/>
    <col min="11539" max="11539" width="40.7109375" style="140" customWidth="1"/>
    <col min="11540" max="11782" width="9.140625" style="140"/>
    <col min="11783" max="11783" width="2.85546875" style="140" customWidth="1"/>
    <col min="11784" max="11784" width="5" style="140" customWidth="1"/>
    <col min="11785" max="11785" width="62" style="140" customWidth="1"/>
    <col min="11786" max="11786" width="12.7109375" style="140" bestFit="1" customWidth="1"/>
    <col min="11787" max="11787" width="1.7109375" style="140" customWidth="1"/>
    <col min="11788" max="11793" width="15.7109375" style="140" customWidth="1"/>
    <col min="11794" max="11794" width="13.7109375" style="140" customWidth="1"/>
    <col min="11795" max="11795" width="40.7109375" style="140" customWidth="1"/>
    <col min="11796" max="12038" width="9.140625" style="140"/>
    <col min="12039" max="12039" width="2.85546875" style="140" customWidth="1"/>
    <col min="12040" max="12040" width="5" style="140" customWidth="1"/>
    <col min="12041" max="12041" width="62" style="140" customWidth="1"/>
    <col min="12042" max="12042" width="12.7109375" style="140" bestFit="1" customWidth="1"/>
    <col min="12043" max="12043" width="1.7109375" style="140" customWidth="1"/>
    <col min="12044" max="12049" width="15.7109375" style="140" customWidth="1"/>
    <col min="12050" max="12050" width="13.7109375" style="140" customWidth="1"/>
    <col min="12051" max="12051" width="40.7109375" style="140" customWidth="1"/>
    <col min="12052" max="12294" width="9.140625" style="140"/>
    <col min="12295" max="12295" width="2.85546875" style="140" customWidth="1"/>
    <col min="12296" max="12296" width="5" style="140" customWidth="1"/>
    <col min="12297" max="12297" width="62" style="140" customWidth="1"/>
    <col min="12298" max="12298" width="12.7109375" style="140" bestFit="1" customWidth="1"/>
    <col min="12299" max="12299" width="1.7109375" style="140" customWidth="1"/>
    <col min="12300" max="12305" width="15.7109375" style="140" customWidth="1"/>
    <col min="12306" max="12306" width="13.7109375" style="140" customWidth="1"/>
    <col min="12307" max="12307" width="40.7109375" style="140" customWidth="1"/>
    <col min="12308" max="12550" width="9.140625" style="140"/>
    <col min="12551" max="12551" width="2.85546875" style="140" customWidth="1"/>
    <col min="12552" max="12552" width="5" style="140" customWidth="1"/>
    <col min="12553" max="12553" width="62" style="140" customWidth="1"/>
    <col min="12554" max="12554" width="12.7109375" style="140" bestFit="1" customWidth="1"/>
    <col min="12555" max="12555" width="1.7109375" style="140" customWidth="1"/>
    <col min="12556" max="12561" width="15.7109375" style="140" customWidth="1"/>
    <col min="12562" max="12562" width="13.7109375" style="140" customWidth="1"/>
    <col min="12563" max="12563" width="40.7109375" style="140" customWidth="1"/>
    <col min="12564" max="12806" width="9.140625" style="140"/>
    <col min="12807" max="12807" width="2.85546875" style="140" customWidth="1"/>
    <col min="12808" max="12808" width="5" style="140" customWidth="1"/>
    <col min="12809" max="12809" width="62" style="140" customWidth="1"/>
    <col min="12810" max="12810" width="12.7109375" style="140" bestFit="1" customWidth="1"/>
    <col min="12811" max="12811" width="1.7109375" style="140" customWidth="1"/>
    <col min="12812" max="12817" width="15.7109375" style="140" customWidth="1"/>
    <col min="12818" max="12818" width="13.7109375" style="140" customWidth="1"/>
    <col min="12819" max="12819" width="40.7109375" style="140" customWidth="1"/>
    <col min="12820" max="13062" width="9.140625" style="140"/>
    <col min="13063" max="13063" width="2.85546875" style="140" customWidth="1"/>
    <col min="13064" max="13064" width="5" style="140" customWidth="1"/>
    <col min="13065" max="13065" width="62" style="140" customWidth="1"/>
    <col min="13066" max="13066" width="12.7109375" style="140" bestFit="1" customWidth="1"/>
    <col min="13067" max="13067" width="1.7109375" style="140" customWidth="1"/>
    <col min="13068" max="13073" width="15.7109375" style="140" customWidth="1"/>
    <col min="13074" max="13074" width="13.7109375" style="140" customWidth="1"/>
    <col min="13075" max="13075" width="40.7109375" style="140" customWidth="1"/>
    <col min="13076" max="13318" width="9.140625" style="140"/>
    <col min="13319" max="13319" width="2.85546875" style="140" customWidth="1"/>
    <col min="13320" max="13320" width="5" style="140" customWidth="1"/>
    <col min="13321" max="13321" width="62" style="140" customWidth="1"/>
    <col min="13322" max="13322" width="12.7109375" style="140" bestFit="1" customWidth="1"/>
    <col min="13323" max="13323" width="1.7109375" style="140" customWidth="1"/>
    <col min="13324" max="13329" width="15.7109375" style="140" customWidth="1"/>
    <col min="13330" max="13330" width="13.7109375" style="140" customWidth="1"/>
    <col min="13331" max="13331" width="40.7109375" style="140" customWidth="1"/>
    <col min="13332" max="13574" width="9.140625" style="140"/>
    <col min="13575" max="13575" width="2.85546875" style="140" customWidth="1"/>
    <col min="13576" max="13576" width="5" style="140" customWidth="1"/>
    <col min="13577" max="13577" width="62" style="140" customWidth="1"/>
    <col min="13578" max="13578" width="12.7109375" style="140" bestFit="1" customWidth="1"/>
    <col min="13579" max="13579" width="1.7109375" style="140" customWidth="1"/>
    <col min="13580" max="13585" width="15.7109375" style="140" customWidth="1"/>
    <col min="13586" max="13586" width="13.7109375" style="140" customWidth="1"/>
    <col min="13587" max="13587" width="40.7109375" style="140" customWidth="1"/>
    <col min="13588" max="13830" width="9.140625" style="140"/>
    <col min="13831" max="13831" width="2.85546875" style="140" customWidth="1"/>
    <col min="13832" max="13832" width="5" style="140" customWidth="1"/>
    <col min="13833" max="13833" width="62" style="140" customWidth="1"/>
    <col min="13834" max="13834" width="12.7109375" style="140" bestFit="1" customWidth="1"/>
    <col min="13835" max="13835" width="1.7109375" style="140" customWidth="1"/>
    <col min="13836" max="13841" width="15.7109375" style="140" customWidth="1"/>
    <col min="13842" max="13842" width="13.7109375" style="140" customWidth="1"/>
    <col min="13843" max="13843" width="40.7109375" style="140" customWidth="1"/>
    <col min="13844" max="14086" width="9.140625" style="140"/>
    <col min="14087" max="14087" width="2.85546875" style="140" customWidth="1"/>
    <col min="14088" max="14088" width="5" style="140" customWidth="1"/>
    <col min="14089" max="14089" width="62" style="140" customWidth="1"/>
    <col min="14090" max="14090" width="12.7109375" style="140" bestFit="1" customWidth="1"/>
    <col min="14091" max="14091" width="1.7109375" style="140" customWidth="1"/>
    <col min="14092" max="14097" width="15.7109375" style="140" customWidth="1"/>
    <col min="14098" max="14098" width="13.7109375" style="140" customWidth="1"/>
    <col min="14099" max="14099" width="40.7109375" style="140" customWidth="1"/>
    <col min="14100" max="14342" width="9.140625" style="140"/>
    <col min="14343" max="14343" width="2.85546875" style="140" customWidth="1"/>
    <col min="14344" max="14344" width="5" style="140" customWidth="1"/>
    <col min="14345" max="14345" width="62" style="140" customWidth="1"/>
    <col min="14346" max="14346" width="12.7109375" style="140" bestFit="1" customWidth="1"/>
    <col min="14347" max="14347" width="1.7109375" style="140" customWidth="1"/>
    <col min="14348" max="14353" width="15.7109375" style="140" customWidth="1"/>
    <col min="14354" max="14354" width="13.7109375" style="140" customWidth="1"/>
    <col min="14355" max="14355" width="40.7109375" style="140" customWidth="1"/>
    <col min="14356" max="14598" width="9.140625" style="140"/>
    <col min="14599" max="14599" width="2.85546875" style="140" customWidth="1"/>
    <col min="14600" max="14600" width="5" style="140" customWidth="1"/>
    <col min="14601" max="14601" width="62" style="140" customWidth="1"/>
    <col min="14602" max="14602" width="12.7109375" style="140" bestFit="1" customWidth="1"/>
    <col min="14603" max="14603" width="1.7109375" style="140" customWidth="1"/>
    <col min="14604" max="14609" width="15.7109375" style="140" customWidth="1"/>
    <col min="14610" max="14610" width="13.7109375" style="140" customWidth="1"/>
    <col min="14611" max="14611" width="40.7109375" style="140" customWidth="1"/>
    <col min="14612" max="14854" width="9.140625" style="140"/>
    <col min="14855" max="14855" width="2.85546875" style="140" customWidth="1"/>
    <col min="14856" max="14856" width="5" style="140" customWidth="1"/>
    <col min="14857" max="14857" width="62" style="140" customWidth="1"/>
    <col min="14858" max="14858" width="12.7109375" style="140" bestFit="1" customWidth="1"/>
    <col min="14859" max="14859" width="1.7109375" style="140" customWidth="1"/>
    <col min="14860" max="14865" width="15.7109375" style="140" customWidth="1"/>
    <col min="14866" max="14866" width="13.7109375" style="140" customWidth="1"/>
    <col min="14867" max="14867" width="40.7109375" style="140" customWidth="1"/>
    <col min="14868" max="15110" width="9.140625" style="140"/>
    <col min="15111" max="15111" width="2.85546875" style="140" customWidth="1"/>
    <col min="15112" max="15112" width="5" style="140" customWidth="1"/>
    <col min="15113" max="15113" width="62" style="140" customWidth="1"/>
    <col min="15114" max="15114" width="12.7109375" style="140" bestFit="1" customWidth="1"/>
    <col min="15115" max="15115" width="1.7109375" style="140" customWidth="1"/>
    <col min="15116" max="15121" width="15.7109375" style="140" customWidth="1"/>
    <col min="15122" max="15122" width="13.7109375" style="140" customWidth="1"/>
    <col min="15123" max="15123" width="40.7109375" style="140" customWidth="1"/>
    <col min="15124" max="15366" width="9.140625" style="140"/>
    <col min="15367" max="15367" width="2.85546875" style="140" customWidth="1"/>
    <col min="15368" max="15368" width="5" style="140" customWidth="1"/>
    <col min="15369" max="15369" width="62" style="140" customWidth="1"/>
    <col min="15370" max="15370" width="12.7109375" style="140" bestFit="1" customWidth="1"/>
    <col min="15371" max="15371" width="1.7109375" style="140" customWidth="1"/>
    <col min="15372" max="15377" width="15.7109375" style="140" customWidth="1"/>
    <col min="15378" max="15378" width="13.7109375" style="140" customWidth="1"/>
    <col min="15379" max="15379" width="40.7109375" style="140" customWidth="1"/>
    <col min="15380" max="15622" width="9.140625" style="140"/>
    <col min="15623" max="15623" width="2.85546875" style="140" customWidth="1"/>
    <col min="15624" max="15624" width="5" style="140" customWidth="1"/>
    <col min="15625" max="15625" width="62" style="140" customWidth="1"/>
    <col min="15626" max="15626" width="12.7109375" style="140" bestFit="1" customWidth="1"/>
    <col min="15627" max="15627" width="1.7109375" style="140" customWidth="1"/>
    <col min="15628" max="15633" width="15.7109375" style="140" customWidth="1"/>
    <col min="15634" max="15634" width="13.7109375" style="140" customWidth="1"/>
    <col min="15635" max="15635" width="40.7109375" style="140" customWidth="1"/>
    <col min="15636" max="15878" width="9.140625" style="140"/>
    <col min="15879" max="15879" width="2.85546875" style="140" customWidth="1"/>
    <col min="15880" max="15880" width="5" style="140" customWidth="1"/>
    <col min="15881" max="15881" width="62" style="140" customWidth="1"/>
    <col min="15882" max="15882" width="12.7109375" style="140" bestFit="1" customWidth="1"/>
    <col min="15883" max="15883" width="1.7109375" style="140" customWidth="1"/>
    <col min="15884" max="15889" width="15.7109375" style="140" customWidth="1"/>
    <col min="15890" max="15890" width="13.7109375" style="140" customWidth="1"/>
    <col min="15891" max="15891" width="40.7109375" style="140" customWidth="1"/>
    <col min="15892" max="16134" width="9.140625" style="140"/>
    <col min="16135" max="16135" width="2.85546875" style="140" customWidth="1"/>
    <col min="16136" max="16136" width="5" style="140" customWidth="1"/>
    <col min="16137" max="16137" width="62" style="140" customWidth="1"/>
    <col min="16138" max="16138" width="12.7109375" style="140" bestFit="1" customWidth="1"/>
    <col min="16139" max="16139" width="1.7109375" style="140" customWidth="1"/>
    <col min="16140" max="16145" width="15.7109375" style="140" customWidth="1"/>
    <col min="16146" max="16146" width="13.7109375" style="140" customWidth="1"/>
    <col min="16147" max="16147" width="40.7109375" style="140" customWidth="1"/>
    <col min="16148" max="16384" width="9.140625" style="140"/>
  </cols>
  <sheetData>
    <row r="2" spans="1:19" x14ac:dyDescent="0.2">
      <c r="P2" s="334" t="s">
        <v>394</v>
      </c>
      <c r="Q2" s="1756" t="str">
        <f>EBNUMBER</f>
        <v>EB-2015-0089</v>
      </c>
    </row>
    <row r="3" spans="1:19" x14ac:dyDescent="0.2">
      <c r="P3" s="334" t="s">
        <v>395</v>
      </c>
      <c r="Q3" s="136">
        <v>9</v>
      </c>
    </row>
    <row r="4" spans="1:19" x14ac:dyDescent="0.2">
      <c r="P4" s="334" t="s">
        <v>396</v>
      </c>
      <c r="Q4" s="136" t="s">
        <v>2456</v>
      </c>
    </row>
    <row r="5" spans="1:19" x14ac:dyDescent="0.2">
      <c r="P5" s="334" t="s">
        <v>397</v>
      </c>
      <c r="Q5" s="136" t="s">
        <v>2426</v>
      </c>
    </row>
    <row r="6" spans="1:19" x14ac:dyDescent="0.2">
      <c r="P6" s="334" t="s">
        <v>398</v>
      </c>
      <c r="Q6" s="1757">
        <v>12</v>
      </c>
    </row>
    <row r="7" spans="1:19" x14ac:dyDescent="0.2">
      <c r="P7" s="334"/>
      <c r="Q7" s="1756"/>
    </row>
    <row r="8" spans="1:19" x14ac:dyDescent="0.2">
      <c r="P8" s="334" t="s">
        <v>399</v>
      </c>
      <c r="Q8" s="1838" t="s">
        <v>2455</v>
      </c>
    </row>
    <row r="9" spans="1:19" ht="18" x14ac:dyDescent="0.25">
      <c r="A9" s="1979" t="s">
        <v>228</v>
      </c>
      <c r="B9" s="1979"/>
      <c r="C9" s="1979"/>
      <c r="D9" s="1979"/>
      <c r="E9" s="1979"/>
      <c r="F9" s="1979"/>
      <c r="G9" s="1979"/>
      <c r="H9" s="1979"/>
      <c r="I9" s="1979"/>
      <c r="J9" s="1979"/>
      <c r="K9" s="1979"/>
      <c r="L9" s="1979"/>
      <c r="M9" s="1979"/>
      <c r="N9" s="1979"/>
      <c r="O9" s="1979"/>
      <c r="P9" s="1979"/>
      <c r="Q9" s="1979"/>
      <c r="R9" s="1801"/>
      <c r="S9" s="1801"/>
    </row>
    <row r="10" spans="1:19" ht="18" x14ac:dyDescent="0.25">
      <c r="A10" s="1979" t="s">
        <v>499</v>
      </c>
      <c r="B10" s="1979"/>
      <c r="C10" s="1979"/>
      <c r="D10" s="1979"/>
      <c r="E10" s="1979"/>
      <c r="F10" s="1979"/>
      <c r="G10" s="1979"/>
      <c r="H10" s="1979"/>
      <c r="I10" s="1979"/>
      <c r="J10" s="1979"/>
      <c r="K10" s="1979"/>
      <c r="L10" s="1979"/>
      <c r="M10" s="1979"/>
      <c r="N10" s="1979"/>
      <c r="O10" s="1979"/>
      <c r="P10" s="1979"/>
      <c r="Q10" s="1979"/>
      <c r="R10" s="1801"/>
      <c r="S10" s="1801"/>
    </row>
    <row r="12" spans="1:19" ht="27" customHeight="1" x14ac:dyDescent="0.2">
      <c r="A12" s="1981" t="s">
        <v>500</v>
      </c>
      <c r="B12" s="1981"/>
      <c r="C12" s="1981"/>
      <c r="D12" s="1981"/>
      <c r="E12" s="1981"/>
      <c r="F12" s="1981"/>
      <c r="G12" s="1981"/>
      <c r="H12" s="1981"/>
      <c r="I12" s="1981"/>
      <c r="J12" s="1981"/>
      <c r="K12" s="1981"/>
      <c r="L12" s="1981"/>
      <c r="M12" s="1981"/>
      <c r="N12" s="1981"/>
      <c r="O12" s="1981"/>
      <c r="P12" s="1981"/>
      <c r="Q12" s="1981"/>
      <c r="R12" s="1751"/>
      <c r="S12" s="1751"/>
    </row>
    <row r="13" spans="1:19" ht="13.5" thickBot="1" x14ac:dyDescent="0.25"/>
    <row r="14" spans="1:19" ht="12.75" customHeight="1" x14ac:dyDescent="0.2">
      <c r="A14" s="2407" t="s">
        <v>501</v>
      </c>
      <c r="B14" s="2408"/>
      <c r="C14" s="2408"/>
      <c r="D14" s="1273"/>
      <c r="E14" s="1285" t="s">
        <v>502</v>
      </c>
      <c r="F14" s="1285" t="s">
        <v>502</v>
      </c>
      <c r="G14" s="1285" t="s">
        <v>502</v>
      </c>
      <c r="H14" s="1285" t="s">
        <v>502</v>
      </c>
      <c r="I14" s="1285" t="s">
        <v>502</v>
      </c>
      <c r="J14" s="1285" t="s">
        <v>502</v>
      </c>
      <c r="K14" s="1285" t="s">
        <v>503</v>
      </c>
      <c r="L14" s="2414" t="s">
        <v>1636</v>
      </c>
      <c r="M14" s="2414" t="s">
        <v>1636</v>
      </c>
      <c r="N14" s="2416" t="s">
        <v>2315</v>
      </c>
      <c r="O14" s="2411" t="s">
        <v>1861</v>
      </c>
      <c r="P14" s="2416" t="s">
        <v>1637</v>
      </c>
      <c r="Q14" s="2411" t="s">
        <v>504</v>
      </c>
    </row>
    <row r="15" spans="1:19" x14ac:dyDescent="0.2">
      <c r="A15" s="2409"/>
      <c r="B15" s="2410"/>
      <c r="C15" s="2410"/>
      <c r="D15" s="1275"/>
      <c r="E15" s="1286" t="s">
        <v>505</v>
      </c>
      <c r="F15" s="1286" t="s">
        <v>505</v>
      </c>
      <c r="G15" s="1286" t="s">
        <v>505</v>
      </c>
      <c r="H15" s="1286" t="s">
        <v>505</v>
      </c>
      <c r="I15" s="1286" t="s">
        <v>505</v>
      </c>
      <c r="J15" s="1286" t="s">
        <v>505</v>
      </c>
      <c r="K15" s="1286" t="s">
        <v>506</v>
      </c>
      <c r="L15" s="2415"/>
      <c r="M15" s="2415"/>
      <c r="N15" s="2417"/>
      <c r="O15" s="2419"/>
      <c r="P15" s="2417"/>
      <c r="Q15" s="2412"/>
    </row>
    <row r="16" spans="1:19" ht="51.75" customHeight="1" x14ac:dyDescent="0.2">
      <c r="A16" s="2409"/>
      <c r="B16" s="2410"/>
      <c r="C16" s="2410"/>
      <c r="D16" s="1275"/>
      <c r="E16" s="1287">
        <v>2009</v>
      </c>
      <c r="F16" s="1287">
        <v>2010</v>
      </c>
      <c r="G16" s="1287">
        <v>2011</v>
      </c>
      <c r="H16" s="1287">
        <v>2012</v>
      </c>
      <c r="I16" s="1287">
        <v>2013</v>
      </c>
      <c r="J16" s="1287">
        <v>2014</v>
      </c>
      <c r="K16" s="1287" t="s">
        <v>1858</v>
      </c>
      <c r="L16" s="1755">
        <v>2015</v>
      </c>
      <c r="M16" s="1755" t="s">
        <v>1860</v>
      </c>
      <c r="N16" s="2418"/>
      <c r="O16" s="2420"/>
      <c r="P16" s="2418"/>
      <c r="Q16" s="2413"/>
    </row>
    <row r="17" spans="1:17" x14ac:dyDescent="0.2">
      <c r="A17" s="2401" t="s">
        <v>507</v>
      </c>
      <c r="B17" s="2402"/>
      <c r="C17" s="2403"/>
      <c r="D17" s="358"/>
      <c r="E17" s="503">
        <v>65863</v>
      </c>
      <c r="F17" s="504"/>
      <c r="G17" s="504">
        <v>15000</v>
      </c>
      <c r="H17" s="504">
        <v>9000</v>
      </c>
      <c r="I17" s="504"/>
      <c r="J17" s="504"/>
      <c r="K17" s="504"/>
      <c r="L17" s="504">
        <v>5000</v>
      </c>
      <c r="M17" s="504"/>
      <c r="N17" s="1288">
        <f>SUM(E17:M17)</f>
        <v>94863</v>
      </c>
      <c r="O17" s="504"/>
      <c r="P17" s="1288">
        <f t="shared" ref="P17:P28" si="0">SUM(N17,O17)</f>
        <v>94863</v>
      </c>
      <c r="Q17" s="1676" t="s">
        <v>2357</v>
      </c>
    </row>
    <row r="18" spans="1:17" x14ac:dyDescent="0.2">
      <c r="A18" s="2398" t="s">
        <v>508</v>
      </c>
      <c r="B18" s="2399"/>
      <c r="C18" s="2400"/>
      <c r="D18" s="358"/>
      <c r="E18" s="504"/>
      <c r="F18" s="504"/>
      <c r="G18" s="504"/>
      <c r="H18" s="504"/>
      <c r="I18" s="504"/>
      <c r="J18" s="504"/>
      <c r="K18" s="504"/>
      <c r="L18" s="504"/>
      <c r="M18" s="504"/>
      <c r="N18" s="1288">
        <f t="shared" ref="N18:N28" si="1">SUM(E18:M18)</f>
        <v>0</v>
      </c>
      <c r="O18" s="504"/>
      <c r="P18" s="1288">
        <f t="shared" si="0"/>
        <v>0</v>
      </c>
      <c r="Q18" s="1676" t="s">
        <v>2358</v>
      </c>
    </row>
    <row r="19" spans="1:17" x14ac:dyDescent="0.2">
      <c r="A19" s="2401" t="s">
        <v>509</v>
      </c>
      <c r="B19" s="2402"/>
      <c r="C19" s="2403"/>
      <c r="D19" s="358"/>
      <c r="E19" s="504"/>
      <c r="F19" s="504">
        <v>22730</v>
      </c>
      <c r="G19" s="504">
        <v>10301</v>
      </c>
      <c r="H19" s="504">
        <v>2824</v>
      </c>
      <c r="I19" s="504"/>
      <c r="J19" s="504"/>
      <c r="K19" s="504"/>
      <c r="L19" s="504"/>
      <c r="M19" s="504"/>
      <c r="N19" s="1288">
        <f t="shared" si="1"/>
        <v>35855</v>
      </c>
      <c r="O19" s="504"/>
      <c r="P19" s="1288">
        <f t="shared" si="0"/>
        <v>35855</v>
      </c>
      <c r="Q19" s="1676" t="s">
        <v>2360</v>
      </c>
    </row>
    <row r="20" spans="1:17" x14ac:dyDescent="0.2">
      <c r="A20" s="2404" t="s">
        <v>510</v>
      </c>
      <c r="B20" s="2405"/>
      <c r="C20" s="2406"/>
      <c r="D20" s="358"/>
      <c r="E20" s="504">
        <v>90572</v>
      </c>
      <c r="F20" s="504">
        <v>105572</v>
      </c>
      <c r="G20" s="504"/>
      <c r="H20" s="504"/>
      <c r="I20" s="504"/>
      <c r="J20" s="504"/>
      <c r="K20" s="504"/>
      <c r="L20" s="504"/>
      <c r="M20" s="504"/>
      <c r="N20" s="1288">
        <f t="shared" si="1"/>
        <v>196144</v>
      </c>
      <c r="O20" s="504"/>
      <c r="P20" s="1288">
        <f t="shared" si="0"/>
        <v>196144</v>
      </c>
      <c r="Q20" s="1676" t="s">
        <v>2361</v>
      </c>
    </row>
    <row r="21" spans="1:17" ht="24" customHeight="1" x14ac:dyDescent="0.2">
      <c r="A21" s="2398" t="s">
        <v>511</v>
      </c>
      <c r="B21" s="2399"/>
      <c r="C21" s="2400"/>
      <c r="D21" s="358"/>
      <c r="E21" s="504">
        <v>33293</v>
      </c>
      <c r="F21" s="504">
        <v>4960</v>
      </c>
      <c r="G21" s="504">
        <v>64739</v>
      </c>
      <c r="H21" s="504">
        <v>16454</v>
      </c>
      <c r="I21" s="504"/>
      <c r="J21" s="504"/>
      <c r="K21" s="504"/>
      <c r="L21" s="504"/>
      <c r="M21" s="504"/>
      <c r="N21" s="1288">
        <f t="shared" si="1"/>
        <v>119446</v>
      </c>
      <c r="O21" s="504"/>
      <c r="P21" s="1288">
        <f t="shared" si="0"/>
        <v>119446</v>
      </c>
      <c r="Q21" s="1676" t="s">
        <v>2359</v>
      </c>
    </row>
    <row r="22" spans="1:17" x14ac:dyDescent="0.2">
      <c r="A22" s="2385"/>
      <c r="B22" s="2386"/>
      <c r="C22" s="2387"/>
      <c r="D22" s="358"/>
      <c r="E22" s="504"/>
      <c r="F22" s="504"/>
      <c r="G22" s="504"/>
      <c r="H22" s="504"/>
      <c r="I22" s="504"/>
      <c r="J22" s="504"/>
      <c r="K22" s="504"/>
      <c r="L22" s="504"/>
      <c r="M22" s="504"/>
      <c r="N22" s="1288">
        <f t="shared" si="1"/>
        <v>0</v>
      </c>
      <c r="O22" s="504"/>
      <c r="P22" s="1288">
        <f t="shared" si="0"/>
        <v>0</v>
      </c>
      <c r="Q22" s="504"/>
    </row>
    <row r="23" spans="1:17" ht="24.95" customHeight="1" x14ac:dyDescent="0.2">
      <c r="A23" s="2388" t="s">
        <v>2362</v>
      </c>
      <c r="B23" s="2389"/>
      <c r="C23" s="2390"/>
      <c r="D23" s="358"/>
      <c r="E23" s="504"/>
      <c r="F23" s="504"/>
      <c r="G23" s="504"/>
      <c r="H23" s="504"/>
      <c r="I23" s="504"/>
      <c r="J23" s="504"/>
      <c r="K23" s="504">
        <f>20116+6487</f>
        <v>26603</v>
      </c>
      <c r="L23" s="504"/>
      <c r="M23" s="504"/>
      <c r="N23" s="1288">
        <f t="shared" si="1"/>
        <v>26603</v>
      </c>
      <c r="O23" s="504">
        <f>6487+(540.583333333333*4)</f>
        <v>8649.3333333333321</v>
      </c>
      <c r="P23" s="1288">
        <f t="shared" si="0"/>
        <v>35252.333333333328</v>
      </c>
      <c r="Q23" s="504" t="s">
        <v>2363</v>
      </c>
    </row>
    <row r="24" spans="1:17" ht="24.95" customHeight="1" x14ac:dyDescent="0.2">
      <c r="A24" s="2388"/>
      <c r="B24" s="2389"/>
      <c r="C24" s="2390"/>
      <c r="D24" s="358"/>
      <c r="E24" s="504"/>
      <c r="F24" s="504"/>
      <c r="G24" s="504"/>
      <c r="H24" s="504"/>
      <c r="I24" s="504"/>
      <c r="J24" s="504"/>
      <c r="K24" s="504"/>
      <c r="L24" s="504"/>
      <c r="M24" s="504"/>
      <c r="N24" s="1288">
        <f t="shared" si="1"/>
        <v>0</v>
      </c>
      <c r="O24" s="504"/>
      <c r="P24" s="1288">
        <f t="shared" si="0"/>
        <v>0</v>
      </c>
      <c r="Q24" s="504"/>
    </row>
    <row r="25" spans="1:17" ht="13.5" customHeight="1" x14ac:dyDescent="0.2">
      <c r="A25" s="2385"/>
      <c r="B25" s="2386"/>
      <c r="C25" s="2387"/>
      <c r="D25" s="358"/>
      <c r="E25" s="504"/>
      <c r="F25" s="504"/>
      <c r="G25" s="504"/>
      <c r="H25" s="504"/>
      <c r="I25" s="504"/>
      <c r="J25" s="504"/>
      <c r="K25" s="504"/>
      <c r="L25" s="504"/>
      <c r="M25" s="504"/>
      <c r="N25" s="1288">
        <f t="shared" si="1"/>
        <v>0</v>
      </c>
      <c r="O25" s="504"/>
      <c r="P25" s="1288">
        <f t="shared" si="0"/>
        <v>0</v>
      </c>
      <c r="Q25" s="504"/>
    </row>
    <row r="26" spans="1:17" ht="32.25" customHeight="1" x14ac:dyDescent="0.2">
      <c r="A26" s="2382" t="s">
        <v>698</v>
      </c>
      <c r="B26" s="2383"/>
      <c r="C26" s="2384"/>
      <c r="D26" s="358"/>
      <c r="E26" s="504"/>
      <c r="F26" s="504"/>
      <c r="G26" s="504"/>
      <c r="H26" s="504"/>
      <c r="I26" s="504"/>
      <c r="J26" s="504"/>
      <c r="K26" s="504"/>
      <c r="L26" s="504"/>
      <c r="M26" s="504"/>
      <c r="N26" s="1288">
        <f t="shared" si="1"/>
        <v>0</v>
      </c>
      <c r="O26" s="504"/>
      <c r="P26" s="1288">
        <f t="shared" si="0"/>
        <v>0</v>
      </c>
      <c r="Q26" s="504"/>
    </row>
    <row r="27" spans="1:17" ht="27" customHeight="1" x14ac:dyDescent="0.2">
      <c r="A27" s="2382"/>
      <c r="B27" s="2383"/>
      <c r="C27" s="2384"/>
      <c r="D27" s="358"/>
      <c r="E27" s="504"/>
      <c r="F27" s="504"/>
      <c r="G27" s="504"/>
      <c r="H27" s="504"/>
      <c r="I27" s="504"/>
      <c r="J27" s="504"/>
      <c r="K27" s="504"/>
      <c r="L27" s="504"/>
      <c r="M27" s="504"/>
      <c r="N27" s="1288">
        <f t="shared" si="1"/>
        <v>0</v>
      </c>
      <c r="O27" s="504"/>
      <c r="P27" s="1288">
        <f t="shared" si="0"/>
        <v>0</v>
      </c>
      <c r="Q27" s="504"/>
    </row>
    <row r="28" spans="1:17" ht="13.5" thickBot="1" x14ac:dyDescent="0.25">
      <c r="A28" s="2376" t="s">
        <v>244</v>
      </c>
      <c r="B28" s="2377"/>
      <c r="C28" s="2378"/>
      <c r="D28" s="358"/>
      <c r="E28" s="506"/>
      <c r="F28" s="506"/>
      <c r="G28" s="506"/>
      <c r="H28" s="506"/>
      <c r="I28" s="506"/>
      <c r="J28" s="506"/>
      <c r="K28" s="506"/>
      <c r="L28" s="506"/>
      <c r="M28" s="506"/>
      <c r="N28" s="1288">
        <f t="shared" si="1"/>
        <v>0</v>
      </c>
      <c r="O28" s="1289"/>
      <c r="P28" s="1288">
        <f t="shared" si="0"/>
        <v>0</v>
      </c>
      <c r="Q28" s="506"/>
    </row>
    <row r="29" spans="1:17" ht="14.25" thickTop="1" thickBot="1" x14ac:dyDescent="0.25">
      <c r="A29" s="2379" t="s">
        <v>388</v>
      </c>
      <c r="B29" s="2380"/>
      <c r="C29" s="2381"/>
      <c r="D29" s="1277"/>
      <c r="E29" s="508">
        <f>SUM(E17:E28)</f>
        <v>189728</v>
      </c>
      <c r="F29" s="508">
        <f t="shared" ref="F29:M29" si="2">SUM(F17:F28)</f>
        <v>133262</v>
      </c>
      <c r="G29" s="508">
        <f t="shared" si="2"/>
        <v>90040</v>
      </c>
      <c r="H29" s="508">
        <f t="shared" si="2"/>
        <v>28278</v>
      </c>
      <c r="I29" s="508">
        <f t="shared" si="2"/>
        <v>0</v>
      </c>
      <c r="J29" s="508"/>
      <c r="K29" s="508">
        <f>SUM(K17:K28)</f>
        <v>26603</v>
      </c>
      <c r="L29" s="508">
        <f t="shared" si="2"/>
        <v>5000</v>
      </c>
      <c r="M29" s="508">
        <f t="shared" si="2"/>
        <v>0</v>
      </c>
      <c r="N29" s="508">
        <f>SUM(N17:N28)</f>
        <v>472911</v>
      </c>
      <c r="O29" s="1290"/>
      <c r="P29" s="508">
        <f>SUM(P17:P28)</f>
        <v>481560.33333333331</v>
      </c>
      <c r="Q29" s="1291"/>
    </row>
    <row r="31" spans="1:17" x14ac:dyDescent="0.2">
      <c r="A31" s="334"/>
      <c r="B31" s="334"/>
      <c r="C31" s="334"/>
      <c r="D31" s="158"/>
      <c r="E31" s="158"/>
    </row>
    <row r="32" spans="1:17" x14ac:dyDescent="0.2">
      <c r="A32" s="334" t="s">
        <v>164</v>
      </c>
      <c r="B32" s="158"/>
      <c r="C32" s="158"/>
      <c r="D32" s="158"/>
      <c r="E32" s="158"/>
    </row>
    <row r="33" spans="1:19" ht="36" customHeight="1" x14ac:dyDescent="0.2">
      <c r="A33" s="1753">
        <v>1</v>
      </c>
      <c r="B33" s="1987" t="s">
        <v>512</v>
      </c>
      <c r="C33" s="1987"/>
      <c r="D33" s="1987"/>
      <c r="E33" s="1987"/>
      <c r="F33" s="1987"/>
      <c r="G33" s="1987"/>
      <c r="H33" s="1987"/>
      <c r="I33" s="1987"/>
      <c r="J33" s="1987"/>
      <c r="K33" s="1987"/>
      <c r="L33" s="1987"/>
      <c r="M33" s="1987"/>
      <c r="N33" s="1987"/>
      <c r="O33" s="1987"/>
      <c r="P33" s="1987"/>
      <c r="Q33" s="1987"/>
      <c r="R33" s="1754"/>
      <c r="S33" s="1754"/>
    </row>
    <row r="34" spans="1:19" x14ac:dyDescent="0.2">
      <c r="A34" s="1753">
        <v>2</v>
      </c>
      <c r="B34" s="1987" t="s">
        <v>699</v>
      </c>
      <c r="C34" s="1987"/>
      <c r="D34" s="1987"/>
      <c r="E34" s="1987"/>
      <c r="F34" s="504"/>
    </row>
    <row r="35" spans="1:19" ht="12.75" customHeight="1" x14ac:dyDescent="0.2">
      <c r="A35" s="2098">
        <v>3</v>
      </c>
      <c r="B35" s="2001" t="s">
        <v>1859</v>
      </c>
      <c r="C35" s="2001"/>
      <c r="D35" s="2001"/>
      <c r="E35" s="2001"/>
      <c r="F35" s="2001"/>
      <c r="G35" s="2001"/>
      <c r="H35" s="2001"/>
      <c r="I35" s="2001"/>
      <c r="J35" s="2001"/>
      <c r="K35" s="2001"/>
      <c r="L35" s="2001"/>
      <c r="M35" s="2001"/>
      <c r="N35" s="2001"/>
      <c r="O35" s="2001"/>
      <c r="P35" s="2001"/>
      <c r="Q35" s="2001"/>
    </row>
    <row r="36" spans="1:19" x14ac:dyDescent="0.2">
      <c r="A36" s="2098"/>
      <c r="B36" s="1749"/>
      <c r="C36" s="1749"/>
      <c r="D36" s="1749"/>
      <c r="E36" s="1749"/>
      <c r="F36" s="1754"/>
    </row>
    <row r="37" spans="1:19" x14ac:dyDescent="0.2">
      <c r="A37" s="498"/>
      <c r="B37" s="158"/>
      <c r="C37" s="158"/>
      <c r="D37" s="158"/>
      <c r="E37" s="158"/>
    </row>
    <row r="38" spans="1:19" ht="12.75" customHeight="1" x14ac:dyDescent="0.2">
      <c r="A38" s="2098"/>
      <c r="B38" s="2068"/>
      <c r="C38" s="2068"/>
      <c r="D38" s="2068"/>
      <c r="E38" s="2068"/>
      <c r="F38" s="1754"/>
      <c r="G38" s="1754"/>
      <c r="H38" s="1754"/>
      <c r="I38" s="1754"/>
      <c r="J38" s="1754"/>
      <c r="K38" s="1754"/>
      <c r="L38" s="1754"/>
      <c r="M38" s="1754"/>
      <c r="N38" s="1754"/>
      <c r="O38" s="1754"/>
      <c r="P38" s="1754"/>
      <c r="Q38" s="1754"/>
    </row>
    <row r="39" spans="1:19" x14ac:dyDescent="0.2">
      <c r="A39" s="2098"/>
      <c r="B39" s="2099"/>
      <c r="C39" s="2099"/>
      <c r="D39" s="2099"/>
      <c r="E39" s="2099"/>
      <c r="F39" s="1754"/>
      <c r="G39" s="1754"/>
      <c r="H39" s="1754"/>
      <c r="I39" s="1754"/>
      <c r="J39" s="1754"/>
      <c r="K39" s="1754"/>
      <c r="L39" s="1754"/>
      <c r="M39" s="1754"/>
      <c r="N39" s="1754"/>
      <c r="O39" s="1754"/>
      <c r="P39" s="1754"/>
      <c r="Q39" s="1754"/>
    </row>
    <row r="40" spans="1:19" ht="12.75" customHeight="1" x14ac:dyDescent="0.2">
      <c r="A40" s="498"/>
      <c r="B40" s="1750"/>
      <c r="C40" s="1750"/>
      <c r="D40" s="1750"/>
      <c r="E40" s="1750"/>
      <c r="F40" s="1754"/>
      <c r="G40" s="1754"/>
      <c r="H40" s="1754"/>
      <c r="I40" s="1754"/>
      <c r="J40" s="1754"/>
      <c r="K40" s="1754"/>
      <c r="L40" s="1754"/>
      <c r="M40" s="1754"/>
      <c r="N40" s="1754"/>
      <c r="O40" s="1754"/>
      <c r="P40" s="1754"/>
      <c r="Q40" s="1754"/>
    </row>
    <row r="41" spans="1:19" x14ac:dyDescent="0.2">
      <c r="A41" s="2100"/>
      <c r="B41" s="2068"/>
      <c r="C41" s="2068"/>
      <c r="D41" s="2068"/>
      <c r="E41" s="2068"/>
      <c r="F41" s="1754"/>
      <c r="G41" s="1754"/>
      <c r="H41" s="1754"/>
      <c r="I41" s="1754"/>
      <c r="J41" s="1754"/>
      <c r="K41" s="1754"/>
      <c r="L41" s="1754"/>
      <c r="M41" s="1754"/>
      <c r="N41" s="1754"/>
      <c r="O41" s="1754"/>
      <c r="P41" s="1754"/>
      <c r="Q41" s="1754"/>
    </row>
    <row r="42" spans="1:19" x14ac:dyDescent="0.2">
      <c r="A42" s="2100"/>
      <c r="B42" s="2068"/>
      <c r="C42" s="2068"/>
      <c r="D42" s="2068"/>
      <c r="E42" s="2068"/>
      <c r="F42" s="1754"/>
      <c r="G42" s="1754"/>
      <c r="H42" s="1754"/>
      <c r="I42" s="1754"/>
      <c r="J42" s="1754"/>
      <c r="K42" s="1754"/>
      <c r="L42" s="1754"/>
      <c r="M42" s="1754"/>
      <c r="N42" s="1754"/>
      <c r="O42" s="1754"/>
      <c r="P42" s="1754"/>
      <c r="Q42" s="1754"/>
    </row>
    <row r="43" spans="1:19" x14ac:dyDescent="0.2">
      <c r="A43" s="2100"/>
      <c r="B43" s="2099"/>
      <c r="C43" s="2099"/>
      <c r="D43" s="2099"/>
      <c r="E43" s="2099"/>
      <c r="F43" s="1754"/>
      <c r="G43" s="1754"/>
      <c r="H43" s="1754"/>
      <c r="I43" s="1754"/>
      <c r="J43" s="1754"/>
      <c r="K43" s="1754"/>
      <c r="L43" s="1754"/>
      <c r="M43" s="1754"/>
      <c r="N43" s="1754"/>
      <c r="O43" s="1754"/>
      <c r="P43" s="1754"/>
      <c r="Q43" s="1754"/>
    </row>
    <row r="44" spans="1:19" x14ac:dyDescent="0.2">
      <c r="A44" s="2100"/>
      <c r="B44" s="2099"/>
      <c r="C44" s="2099"/>
      <c r="D44" s="2099"/>
      <c r="E44" s="2099"/>
      <c r="F44" s="1754"/>
      <c r="G44" s="1754"/>
      <c r="H44" s="1754"/>
      <c r="I44" s="1754"/>
      <c r="J44" s="1754"/>
      <c r="K44" s="1754"/>
      <c r="L44" s="1754"/>
      <c r="M44" s="1754"/>
      <c r="N44" s="1754"/>
      <c r="O44" s="1754"/>
      <c r="P44" s="1754"/>
      <c r="Q44" s="1754"/>
    </row>
    <row r="45" spans="1:19" x14ac:dyDescent="0.2">
      <c r="A45" s="498"/>
      <c r="B45" s="158"/>
      <c r="C45" s="158"/>
      <c r="D45" s="158"/>
      <c r="E45" s="158"/>
    </row>
    <row r="46" spans="1:19" ht="12.75" customHeight="1" x14ac:dyDescent="0.2">
      <c r="A46" s="2098"/>
      <c r="B46" s="2068"/>
      <c r="C46" s="2068"/>
      <c r="D46" s="2068"/>
      <c r="E46" s="2068"/>
      <c r="F46" s="1754"/>
      <c r="G46" s="1754"/>
      <c r="H46" s="1754"/>
      <c r="I46" s="1754"/>
      <c r="J46" s="1754"/>
      <c r="K46" s="1754"/>
      <c r="L46" s="1754"/>
      <c r="M46" s="1754"/>
      <c r="N46" s="1754"/>
      <c r="O46" s="1754"/>
      <c r="P46" s="1754"/>
      <c r="Q46" s="1754"/>
    </row>
    <row r="47" spans="1:19" x14ac:dyDescent="0.2">
      <c r="A47" s="2098"/>
      <c r="B47" s="2068"/>
      <c r="C47" s="2068"/>
      <c r="D47" s="2068"/>
      <c r="E47" s="2068"/>
      <c r="F47" s="1754"/>
      <c r="G47" s="1754"/>
      <c r="H47" s="1754"/>
      <c r="I47" s="1754"/>
      <c r="J47" s="1754"/>
      <c r="K47" s="1754"/>
      <c r="L47" s="1754"/>
      <c r="M47" s="1754"/>
      <c r="N47" s="1754"/>
      <c r="O47" s="1754"/>
      <c r="P47" s="1754"/>
      <c r="Q47" s="1754"/>
    </row>
    <row r="49" ht="12.75" customHeight="1" x14ac:dyDescent="0.2"/>
  </sheetData>
  <mergeCells count="33">
    <mergeCell ref="A12:Q12"/>
    <mergeCell ref="A9:Q9"/>
    <mergeCell ref="A10:Q10"/>
    <mergeCell ref="A17:C17"/>
    <mergeCell ref="A14:C16"/>
    <mergeCell ref="Q14:Q16"/>
    <mergeCell ref="L14:L15"/>
    <mergeCell ref="M14:M15"/>
    <mergeCell ref="N14:N16"/>
    <mergeCell ref="O14:O16"/>
    <mergeCell ref="P14:P16"/>
    <mergeCell ref="A29:C29"/>
    <mergeCell ref="A18:C18"/>
    <mergeCell ref="A19:C19"/>
    <mergeCell ref="A20:C20"/>
    <mergeCell ref="A21:C21"/>
    <mergeCell ref="A22:C22"/>
    <mergeCell ref="A23:C23"/>
    <mergeCell ref="A24:C24"/>
    <mergeCell ref="A25:C25"/>
    <mergeCell ref="A26:C26"/>
    <mergeCell ref="A27:C27"/>
    <mergeCell ref="A28:C28"/>
    <mergeCell ref="B33:Q33"/>
    <mergeCell ref="A41:A44"/>
    <mergeCell ref="B41:E44"/>
    <mergeCell ref="A46:A47"/>
    <mergeCell ref="B46:E47"/>
    <mergeCell ref="B34:E34"/>
    <mergeCell ref="A35:A36"/>
    <mergeCell ref="A38:A39"/>
    <mergeCell ref="B38:E39"/>
    <mergeCell ref="B35:Q35"/>
  </mergeCells>
  <dataValidations count="1">
    <dataValidation allowBlank="1" showInputMessage="1" showErrorMessage="1" promptTitle="Date Format" prompt="E.g:  &quot;August 1, 2011&quot;" sqref="WVT983041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E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E131073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E196609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E262145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E327681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E393217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E458753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E524289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E589825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E655361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E720897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E786433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E851969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E917505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E983041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dataValidations>
  <pageMargins left="0.74803149606299213" right="0.74803149606299213" top="0.98425196850393704" bottom="0.98425196850393704" header="0.51181102362204722" footer="0.51181102362204722"/>
  <pageSetup scale="4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213"/>
  <sheetViews>
    <sheetView showGridLines="0" zoomScaleNormal="100" workbookViewId="0"/>
  </sheetViews>
  <sheetFormatPr defaultRowHeight="12.75" x14ac:dyDescent="0.2"/>
  <cols>
    <col min="1" max="1" width="74.5703125" bestFit="1" customWidth="1"/>
    <col min="2" max="8" width="10.7109375" customWidth="1"/>
    <col min="9" max="9" width="11.85546875" customWidth="1"/>
    <col min="10" max="10" width="10.42578125" customWidth="1"/>
  </cols>
  <sheetData>
    <row r="1" spans="1:10" x14ac:dyDescent="0.2">
      <c r="H1" s="3" t="s">
        <v>394</v>
      </c>
      <c r="I1" s="1561" t="str">
        <f>EBNUMBER</f>
        <v>EB-2015-0089</v>
      </c>
    </row>
    <row r="2" spans="1:10" x14ac:dyDescent="0.2">
      <c r="H2" s="3" t="s">
        <v>395</v>
      </c>
      <c r="I2" s="1562">
        <v>2</v>
      </c>
    </row>
    <row r="3" spans="1:10" x14ac:dyDescent="0.2">
      <c r="H3" s="3" t="s">
        <v>396</v>
      </c>
      <c r="I3" s="1562" t="s">
        <v>2456</v>
      </c>
    </row>
    <row r="4" spans="1:10" x14ac:dyDescent="0.2">
      <c r="H4" s="3" t="s">
        <v>397</v>
      </c>
      <c r="I4" s="1562" t="s">
        <v>2402</v>
      </c>
    </row>
    <row r="5" spans="1:10" x14ac:dyDescent="0.2">
      <c r="H5" s="3" t="s">
        <v>398</v>
      </c>
      <c r="I5" s="1563">
        <v>55</v>
      </c>
    </row>
    <row r="6" spans="1:10" x14ac:dyDescent="0.2">
      <c r="H6" s="3"/>
      <c r="I6" s="1561"/>
    </row>
    <row r="7" spans="1:10" x14ac:dyDescent="0.2">
      <c r="H7" s="3" t="s">
        <v>399</v>
      </c>
      <c r="I7" s="1837" t="s">
        <v>2455</v>
      </c>
    </row>
    <row r="9" spans="1:10" ht="18" x14ac:dyDescent="0.25">
      <c r="A9" s="1946" t="s">
        <v>889</v>
      </c>
      <c r="B9" s="1946"/>
      <c r="C9" s="1946"/>
      <c r="D9" s="1946"/>
      <c r="E9" s="1946"/>
      <c r="F9" s="1946"/>
      <c r="G9" s="1946"/>
      <c r="H9" s="1946"/>
      <c r="I9" s="1794"/>
      <c r="J9" s="1564"/>
    </row>
    <row r="10" spans="1:10" ht="18" x14ac:dyDescent="0.25">
      <c r="A10" s="1946" t="s">
        <v>49</v>
      </c>
      <c r="B10" s="1946"/>
      <c r="C10" s="1946"/>
      <c r="D10" s="1946"/>
      <c r="E10" s="1946"/>
      <c r="F10" s="1946"/>
      <c r="G10" s="1946"/>
      <c r="H10" s="1946"/>
      <c r="I10" s="1794"/>
      <c r="J10" s="1564"/>
    </row>
    <row r="12" spans="1:10" ht="13.5" thickBot="1" x14ac:dyDescent="0.25">
      <c r="A12" s="9"/>
      <c r="B12" s="9"/>
      <c r="C12" s="9"/>
      <c r="D12" s="9"/>
      <c r="E12" s="9"/>
      <c r="F12" s="9"/>
      <c r="G12" s="9" t="s">
        <v>2454</v>
      </c>
      <c r="H12" s="9" t="s">
        <v>2453</v>
      </c>
      <c r="I12" s="9" t="s">
        <v>2454</v>
      </c>
      <c r="J12" t="s">
        <v>2453</v>
      </c>
    </row>
    <row r="13" spans="1:10" ht="38.25" x14ac:dyDescent="0.2">
      <c r="A13" s="1565" t="s">
        <v>266</v>
      </c>
      <c r="B13" s="1731" t="s">
        <v>2285</v>
      </c>
      <c r="C13" s="1566">
        <f>D13-1</f>
        <v>2011</v>
      </c>
      <c r="D13" s="1566">
        <f>E13-1</f>
        <v>2012</v>
      </c>
      <c r="E13" s="1566">
        <f>F13-1</f>
        <v>2013</v>
      </c>
      <c r="F13" s="1566">
        <f>BridgeYear - 1</f>
        <v>2014</v>
      </c>
      <c r="G13" s="1566" t="str">
        <f>BridgeYear &amp; " Bridge Year"</f>
        <v>2015 Bridge Year</v>
      </c>
      <c r="H13" s="1566" t="s">
        <v>2437</v>
      </c>
      <c r="I13" s="1566" t="str">
        <f>TestYear &amp; " Test Year"</f>
        <v>2016 Test Year</v>
      </c>
      <c r="J13" s="1566" t="s">
        <v>2438</v>
      </c>
    </row>
    <row r="14" spans="1:10" x14ac:dyDescent="0.2">
      <c r="A14" s="1567" t="s">
        <v>150</v>
      </c>
      <c r="B14" s="1568" t="s">
        <v>151</v>
      </c>
      <c r="C14" s="1568" t="s">
        <v>151</v>
      </c>
      <c r="D14" s="1568" t="s">
        <v>151</v>
      </c>
      <c r="E14" s="1568" t="s">
        <v>152</v>
      </c>
      <c r="F14" s="1568" t="s">
        <v>152</v>
      </c>
      <c r="G14" s="1568" t="s">
        <v>152</v>
      </c>
      <c r="H14" s="1568" t="s">
        <v>152</v>
      </c>
      <c r="I14" s="1568" t="s">
        <v>152</v>
      </c>
      <c r="J14" s="1568" t="s">
        <v>152</v>
      </c>
    </row>
    <row r="15" spans="1:10" x14ac:dyDescent="0.2">
      <c r="A15" s="1567" t="s">
        <v>895</v>
      </c>
      <c r="B15" s="1567"/>
      <c r="C15" s="1569"/>
      <c r="D15" s="1569"/>
      <c r="E15" s="1569"/>
      <c r="F15" s="1569"/>
      <c r="G15" s="1569"/>
      <c r="H15" s="1569"/>
      <c r="I15" s="1569"/>
      <c r="J15" s="1569"/>
    </row>
    <row r="16" spans="1:10" x14ac:dyDescent="0.2">
      <c r="A16" s="1567" t="s">
        <v>2016</v>
      </c>
      <c r="B16" s="1567"/>
      <c r="C16" s="1569"/>
      <c r="D16" s="1569"/>
      <c r="E16" s="1569"/>
      <c r="F16" s="1569"/>
      <c r="G16" s="1569"/>
      <c r="H16" s="1569"/>
      <c r="I16" s="1569"/>
      <c r="J16" s="1569"/>
    </row>
    <row r="17" spans="1:10" x14ac:dyDescent="0.2">
      <c r="A17" s="1570" t="s">
        <v>2017</v>
      </c>
      <c r="B17" s="1571"/>
      <c r="C17" s="1571">
        <v>5023.869999999999</v>
      </c>
      <c r="D17" s="1571">
        <v>5057.8206003180958</v>
      </c>
      <c r="E17" s="1571"/>
      <c r="F17" s="1572"/>
      <c r="G17" s="1572"/>
      <c r="H17" s="1572"/>
      <c r="I17" s="1572"/>
      <c r="J17" s="1572"/>
    </row>
    <row r="18" spans="1:10" x14ac:dyDescent="0.2">
      <c r="A18" s="1570" t="s">
        <v>2018</v>
      </c>
      <c r="B18" s="1573">
        <v>112600</v>
      </c>
      <c r="C18" s="1573">
        <v>163285</v>
      </c>
      <c r="D18" s="1573">
        <v>9820.3425606963829</v>
      </c>
      <c r="E18" s="1573"/>
      <c r="F18" s="1572"/>
      <c r="G18" s="1572"/>
      <c r="H18" s="1572"/>
      <c r="I18" s="1572"/>
      <c r="J18" s="1572"/>
    </row>
    <row r="19" spans="1:10" x14ac:dyDescent="0.2">
      <c r="A19" s="1570" t="s">
        <v>2019</v>
      </c>
      <c r="B19" s="1571"/>
      <c r="C19" s="1571">
        <v>3652.81</v>
      </c>
      <c r="D19" s="1573"/>
      <c r="E19" s="1573"/>
      <c r="F19" s="1572"/>
      <c r="G19" s="1572"/>
      <c r="H19" s="1572"/>
      <c r="I19" s="1572"/>
      <c r="J19" s="1572"/>
    </row>
    <row r="20" spans="1:10" x14ac:dyDescent="0.2">
      <c r="A20" s="1570" t="s">
        <v>2020</v>
      </c>
      <c r="B20" s="1571"/>
      <c r="C20" s="1571">
        <v>37418.85</v>
      </c>
      <c r="D20" s="1573"/>
      <c r="E20" s="1573"/>
      <c r="F20" s="1574"/>
      <c r="G20" s="1574"/>
      <c r="H20" s="1574"/>
      <c r="I20" s="1574"/>
      <c r="J20" s="1574"/>
    </row>
    <row r="21" spans="1:10" x14ac:dyDescent="0.2">
      <c r="A21" s="1570" t="s">
        <v>2021</v>
      </c>
      <c r="B21" s="1571"/>
      <c r="C21" s="1571"/>
      <c r="D21" s="1573"/>
      <c r="E21" s="1573"/>
      <c r="F21" s="1574"/>
      <c r="G21" s="1574"/>
      <c r="H21" s="1574"/>
      <c r="I21" s="1574"/>
      <c r="J21" s="1574"/>
    </row>
    <row r="22" spans="1:10" x14ac:dyDescent="0.2">
      <c r="A22" s="1570" t="s">
        <v>2022</v>
      </c>
      <c r="B22" s="1573">
        <v>412200</v>
      </c>
      <c r="C22" s="1573">
        <v>538344</v>
      </c>
      <c r="D22" s="1573"/>
      <c r="E22" s="1573"/>
      <c r="F22" s="1574"/>
      <c r="G22" s="1574"/>
      <c r="H22" s="1574"/>
      <c r="I22" s="1574"/>
      <c r="J22" s="1574"/>
    </row>
    <row r="23" spans="1:10" x14ac:dyDescent="0.2">
      <c r="A23" s="1570" t="s">
        <v>2023</v>
      </c>
      <c r="B23" s="1573">
        <v>146000</v>
      </c>
      <c r="C23" s="1573">
        <v>196489</v>
      </c>
      <c r="D23" s="1573">
        <f>18262.15-1614.1</f>
        <v>16648.050000000003</v>
      </c>
      <c r="E23" s="1573"/>
      <c r="F23" s="1575"/>
      <c r="G23" s="1574"/>
      <c r="H23" s="1574"/>
      <c r="I23" s="1574"/>
      <c r="J23" s="1574"/>
    </row>
    <row r="24" spans="1:10" x14ac:dyDescent="0.2">
      <c r="A24" s="1570" t="s">
        <v>2024</v>
      </c>
      <c r="B24" s="1573">
        <v>99800</v>
      </c>
      <c r="C24" s="1573">
        <v>104697</v>
      </c>
      <c r="D24" s="1573"/>
      <c r="E24" s="1573"/>
      <c r="F24" s="1575"/>
      <c r="G24" s="1574"/>
      <c r="H24" s="1574"/>
      <c r="I24" s="1574"/>
      <c r="J24" s="1574"/>
    </row>
    <row r="25" spans="1:10" x14ac:dyDescent="0.2">
      <c r="A25" s="1570" t="s">
        <v>2025</v>
      </c>
      <c r="B25" s="1573">
        <v>133700</v>
      </c>
      <c r="C25" s="1573">
        <v>87202</v>
      </c>
      <c r="D25" s="1573">
        <v>39037.973557384088</v>
      </c>
      <c r="E25" s="1573">
        <v>38078.720000000001</v>
      </c>
      <c r="F25" s="1573"/>
      <c r="G25" s="1574"/>
      <c r="H25" s="1574"/>
      <c r="I25" s="1574"/>
      <c r="J25" s="1574"/>
    </row>
    <row r="26" spans="1:10" x14ac:dyDescent="0.2">
      <c r="A26" s="1570" t="s">
        <v>2026</v>
      </c>
      <c r="B26" s="1573">
        <v>381700</v>
      </c>
      <c r="C26" s="1573">
        <v>98587</v>
      </c>
      <c r="D26" s="1573">
        <v>189839.86011915436</v>
      </c>
      <c r="E26" s="1573">
        <v>30860</v>
      </c>
      <c r="F26" s="1573"/>
      <c r="G26" s="1574"/>
      <c r="H26" s="1574"/>
      <c r="I26" s="1574"/>
      <c r="J26" s="1574"/>
    </row>
    <row r="27" spans="1:10" x14ac:dyDescent="0.2">
      <c r="A27" s="1570" t="s">
        <v>2027</v>
      </c>
      <c r="B27" s="1573">
        <v>200000</v>
      </c>
      <c r="C27" s="1573">
        <v>84393</v>
      </c>
      <c r="D27" s="1573">
        <f>161929.81+223412.64</f>
        <v>385342.45</v>
      </c>
      <c r="E27" s="1573">
        <v>168998</v>
      </c>
      <c r="F27" s="1573">
        <v>233444.83</v>
      </c>
      <c r="G27" s="1574"/>
      <c r="H27" s="1574"/>
      <c r="I27" s="1574"/>
      <c r="J27" s="1574"/>
    </row>
    <row r="28" spans="1:10" x14ac:dyDescent="0.2">
      <c r="A28" s="1570" t="s">
        <v>2028</v>
      </c>
      <c r="B28" s="1571">
        <v>1159900</v>
      </c>
      <c r="C28" s="1571"/>
      <c r="D28" s="1571">
        <v>1432178.3693454072</v>
      </c>
      <c r="E28" s="1571">
        <v>7406.89</v>
      </c>
      <c r="F28" s="1571"/>
      <c r="G28" s="1574"/>
      <c r="H28" s="1574"/>
      <c r="I28" s="1574"/>
      <c r="J28" s="1574"/>
    </row>
    <row r="29" spans="1:10" x14ac:dyDescent="0.2">
      <c r="A29" s="1570" t="s">
        <v>2287</v>
      </c>
      <c r="B29" s="1571">
        <v>480000</v>
      </c>
      <c r="C29" s="1571"/>
      <c r="D29" s="1571"/>
      <c r="E29" s="1571"/>
      <c r="F29" s="1571"/>
      <c r="G29" s="1574"/>
      <c r="H29" s="1574"/>
      <c r="I29" s="1574"/>
      <c r="J29" s="1574"/>
    </row>
    <row r="30" spans="1:10" x14ac:dyDescent="0.2">
      <c r="A30" s="1570" t="s">
        <v>2288</v>
      </c>
      <c r="B30" s="1571">
        <v>220000</v>
      </c>
      <c r="C30" s="1571"/>
      <c r="D30" s="1571"/>
      <c r="E30" s="1571"/>
      <c r="F30" s="1571"/>
      <c r="G30" s="1574"/>
      <c r="H30" s="1574"/>
      <c r="I30" s="1574"/>
      <c r="J30" s="1574"/>
    </row>
    <row r="31" spans="1:10" x14ac:dyDescent="0.2">
      <c r="A31" s="1570" t="s">
        <v>2029</v>
      </c>
      <c r="B31" s="1571"/>
      <c r="C31" s="1571"/>
      <c r="D31" s="1571">
        <v>102571.69166841505</v>
      </c>
      <c r="E31" s="1571"/>
      <c r="F31" s="1571"/>
      <c r="G31" s="1574"/>
      <c r="H31" s="1574"/>
      <c r="I31" s="1574"/>
      <c r="J31" s="1574"/>
    </row>
    <row r="32" spans="1:10" x14ac:dyDescent="0.2">
      <c r="A32" s="1570" t="s">
        <v>2030</v>
      </c>
      <c r="B32" s="1571"/>
      <c r="C32" s="1571"/>
      <c r="D32" s="1571">
        <v>241011.70557160283</v>
      </c>
      <c r="E32" s="1571">
        <v>73293</v>
      </c>
      <c r="F32" s="1571"/>
      <c r="G32" s="1574"/>
      <c r="H32" s="1574"/>
      <c r="I32" s="1574"/>
      <c r="J32" s="1574"/>
    </row>
    <row r="33" spans="1:10" x14ac:dyDescent="0.2">
      <c r="A33" s="1570" t="s">
        <v>2031</v>
      </c>
      <c r="B33" s="1571"/>
      <c r="C33" s="1571"/>
      <c r="D33" s="1571">
        <v>116679</v>
      </c>
      <c r="E33" s="1571"/>
      <c r="F33" s="1576"/>
      <c r="G33" s="1574"/>
      <c r="H33" s="1574"/>
      <c r="I33" s="1574"/>
      <c r="J33" s="1574"/>
    </row>
    <row r="34" spans="1:10" x14ac:dyDescent="0.2">
      <c r="A34" s="1570" t="s">
        <v>2032</v>
      </c>
      <c r="B34" s="1573"/>
      <c r="C34" s="1573"/>
      <c r="D34" s="1573"/>
      <c r="E34" s="1573"/>
      <c r="F34" s="1577">
        <v>251268.62</v>
      </c>
      <c r="G34" s="1577"/>
      <c r="H34" s="1577"/>
      <c r="I34" s="1578"/>
      <c r="J34" s="1577"/>
    </row>
    <row r="35" spans="1:10" x14ac:dyDescent="0.2">
      <c r="A35" s="1570" t="s">
        <v>2033</v>
      </c>
      <c r="B35" s="1573"/>
      <c r="C35" s="1573"/>
      <c r="D35" s="1573"/>
      <c r="E35" s="1573"/>
      <c r="F35" s="1577"/>
      <c r="G35" s="1577">
        <v>175300</v>
      </c>
      <c r="H35" s="1577">
        <v>175300</v>
      </c>
      <c r="I35" s="1578"/>
      <c r="J35" s="1577"/>
    </row>
    <row r="36" spans="1:10" x14ac:dyDescent="0.2">
      <c r="A36" s="1570" t="s">
        <v>2034</v>
      </c>
      <c r="B36" s="1573"/>
      <c r="C36" s="1573"/>
      <c r="D36" s="1573"/>
      <c r="E36" s="1573"/>
      <c r="F36" s="1577">
        <v>290643.12</v>
      </c>
      <c r="G36" s="1577"/>
      <c r="H36" s="1577"/>
      <c r="I36" s="1578"/>
      <c r="J36" s="1577"/>
    </row>
    <row r="37" spans="1:10" x14ac:dyDescent="0.2">
      <c r="A37" s="1570" t="s">
        <v>2035</v>
      </c>
      <c r="B37" s="1573"/>
      <c r="C37" s="1573"/>
      <c r="D37" s="1573"/>
      <c r="E37" s="1573"/>
      <c r="F37" s="1577">
        <v>654320.01</v>
      </c>
      <c r="G37" s="1577"/>
      <c r="H37" s="1577"/>
      <c r="I37" s="1578"/>
      <c r="J37" s="1577"/>
    </row>
    <row r="38" spans="1:10" x14ac:dyDescent="0.2">
      <c r="A38" s="1570" t="s">
        <v>2036</v>
      </c>
      <c r="B38" s="1573"/>
      <c r="C38" s="1573"/>
      <c r="D38" s="1573"/>
      <c r="E38" s="1573"/>
      <c r="F38" s="1577">
        <v>176.32</v>
      </c>
      <c r="G38" s="1577">
        <v>104640</v>
      </c>
      <c r="H38" s="1577">
        <v>104640</v>
      </c>
      <c r="I38" s="1578"/>
      <c r="J38" s="1577"/>
    </row>
    <row r="39" spans="1:10" x14ac:dyDescent="0.2">
      <c r="A39" s="1570" t="s">
        <v>2037</v>
      </c>
      <c r="B39" s="1573"/>
      <c r="C39" s="1573"/>
      <c r="D39" s="1573"/>
      <c r="E39" s="1573"/>
      <c r="F39" s="1577">
        <v>145843.10999999999</v>
      </c>
      <c r="G39" s="1577"/>
      <c r="H39" s="1577"/>
      <c r="I39" s="1578"/>
      <c r="J39" s="1577"/>
    </row>
    <row r="40" spans="1:10" x14ac:dyDescent="0.2">
      <c r="A40" s="1570" t="s">
        <v>2038</v>
      </c>
      <c r="B40" s="1573"/>
      <c r="C40" s="1573"/>
      <c r="D40" s="1573"/>
      <c r="E40" s="1573"/>
      <c r="F40" s="1577"/>
      <c r="G40" s="1577">
        <v>197600</v>
      </c>
      <c r="H40" s="1577"/>
      <c r="I40" s="1578"/>
      <c r="J40" s="1577">
        <v>197600</v>
      </c>
    </row>
    <row r="41" spans="1:10" x14ac:dyDescent="0.2">
      <c r="A41" s="1570" t="s">
        <v>2039</v>
      </c>
      <c r="B41" s="1573"/>
      <c r="C41" s="1573"/>
      <c r="D41" s="1573"/>
      <c r="E41" s="1573"/>
      <c r="F41" s="1577"/>
      <c r="G41" s="1577">
        <v>51100</v>
      </c>
      <c r="H41" s="1577"/>
      <c r="I41" s="1578"/>
      <c r="J41" s="1577"/>
    </row>
    <row r="42" spans="1:10" x14ac:dyDescent="0.2">
      <c r="A42" s="1570" t="s">
        <v>2040</v>
      </c>
      <c r="B42" s="1573"/>
      <c r="C42" s="1573"/>
      <c r="D42" s="1573"/>
      <c r="E42" s="1573"/>
      <c r="F42" s="1577"/>
      <c r="G42" s="1577">
        <v>296000</v>
      </c>
      <c r="H42" s="1577">
        <v>287700</v>
      </c>
      <c r="I42" s="1578"/>
      <c r="J42" s="1577"/>
    </row>
    <row r="43" spans="1:10" x14ac:dyDescent="0.2">
      <c r="A43" s="1570" t="s">
        <v>2439</v>
      </c>
      <c r="B43" s="1573"/>
      <c r="C43" s="1573"/>
      <c r="D43" s="1573"/>
      <c r="E43" s="1573"/>
      <c r="F43" s="1577"/>
      <c r="G43" s="1577"/>
      <c r="H43" s="1577">
        <v>204973</v>
      </c>
      <c r="I43" s="1578"/>
      <c r="J43" s="1577"/>
    </row>
    <row r="44" spans="1:10" x14ac:dyDescent="0.2">
      <c r="A44" s="1570" t="s">
        <v>2440</v>
      </c>
      <c r="B44" s="1573"/>
      <c r="C44" s="1573"/>
      <c r="D44" s="1573"/>
      <c r="E44" s="1573"/>
      <c r="F44" s="1577"/>
      <c r="G44" s="1577"/>
      <c r="H44" s="1577">
        <v>100000</v>
      </c>
      <c r="I44" s="1578"/>
      <c r="J44" s="1577"/>
    </row>
    <row r="45" spans="1:10" x14ac:dyDescent="0.2">
      <c r="A45" s="1570" t="s">
        <v>2041</v>
      </c>
      <c r="B45" s="1573"/>
      <c r="C45" s="1573"/>
      <c r="D45" s="1573"/>
      <c r="E45" s="1573"/>
      <c r="F45" s="1577">
        <v>295903.09000000003</v>
      </c>
      <c r="G45" s="1577"/>
      <c r="H45" s="1577"/>
      <c r="I45" s="1578"/>
      <c r="J45" s="1577"/>
    </row>
    <row r="46" spans="1:10" x14ac:dyDescent="0.2">
      <c r="A46" s="1570" t="s">
        <v>2042</v>
      </c>
      <c r="B46" s="1573"/>
      <c r="C46" s="1573"/>
      <c r="D46" s="1573"/>
      <c r="E46" s="1573"/>
      <c r="F46" s="1577"/>
      <c r="G46" s="1577"/>
      <c r="H46" s="1577"/>
      <c r="I46" s="1578">
        <v>90600</v>
      </c>
      <c r="J46" s="1577">
        <v>90600</v>
      </c>
    </row>
    <row r="47" spans="1:10" x14ac:dyDescent="0.2">
      <c r="A47" s="1570" t="s">
        <v>2043</v>
      </c>
      <c r="B47" s="1573"/>
      <c r="C47" s="1573"/>
      <c r="D47" s="1573"/>
      <c r="E47" s="1573"/>
      <c r="F47" s="1577"/>
      <c r="G47" s="1577"/>
      <c r="H47" s="1577"/>
      <c r="I47" s="1578">
        <v>284500</v>
      </c>
      <c r="J47" s="1577">
        <v>284500</v>
      </c>
    </row>
    <row r="48" spans="1:10" x14ac:dyDescent="0.2">
      <c r="A48" s="1570" t="s">
        <v>2044</v>
      </c>
      <c r="B48" s="1573"/>
      <c r="C48" s="1573"/>
      <c r="D48" s="1573"/>
      <c r="E48" s="1573"/>
      <c r="F48" s="1577"/>
      <c r="G48" s="1577"/>
      <c r="H48" s="1577"/>
      <c r="I48" s="1578">
        <v>1004800</v>
      </c>
      <c r="J48" s="1577">
        <v>1004800</v>
      </c>
    </row>
    <row r="49" spans="1:10" x14ac:dyDescent="0.2">
      <c r="A49" s="1570" t="s">
        <v>2045</v>
      </c>
      <c r="B49" s="1573"/>
      <c r="C49" s="1573"/>
      <c r="D49" s="1573"/>
      <c r="E49" s="1573"/>
      <c r="F49" s="1577"/>
      <c r="G49" s="1577"/>
      <c r="H49" s="1577"/>
      <c r="I49" s="1578">
        <v>32700</v>
      </c>
      <c r="J49" s="1577">
        <v>32700</v>
      </c>
    </row>
    <row r="50" spans="1:10" x14ac:dyDescent="0.2">
      <c r="A50" s="1570" t="s">
        <v>2046</v>
      </c>
      <c r="B50" s="1573"/>
      <c r="C50" s="1573"/>
      <c r="D50" s="1573"/>
      <c r="E50" s="1573"/>
      <c r="F50" s="1577"/>
      <c r="G50" s="1577"/>
      <c r="H50" s="1577"/>
      <c r="I50" s="1578">
        <v>133000</v>
      </c>
      <c r="J50" s="1577">
        <v>133000</v>
      </c>
    </row>
    <row r="51" spans="1:10" x14ac:dyDescent="0.2">
      <c r="A51" s="1570" t="s">
        <v>2047</v>
      </c>
      <c r="B51" s="1573"/>
      <c r="C51" s="1573"/>
      <c r="D51" s="1573"/>
      <c r="E51" s="1573"/>
      <c r="F51" s="1577"/>
      <c r="G51" s="1577"/>
      <c r="H51" s="1577"/>
      <c r="I51" s="1578">
        <v>415200</v>
      </c>
      <c r="J51" s="1577"/>
    </row>
    <row r="52" spans="1:10" x14ac:dyDescent="0.2">
      <c r="A52" s="1570" t="s">
        <v>2048</v>
      </c>
      <c r="B52" s="1573"/>
      <c r="C52" s="1573"/>
      <c r="D52" s="1573"/>
      <c r="E52" s="1573"/>
      <c r="F52" s="1577"/>
      <c r="G52" s="1577"/>
      <c r="H52" s="1577"/>
      <c r="I52" s="1578">
        <v>397000</v>
      </c>
      <c r="J52" s="1577"/>
    </row>
    <row r="53" spans="1:10" x14ac:dyDescent="0.2">
      <c r="A53" s="1570" t="s">
        <v>2049</v>
      </c>
      <c r="B53" s="1573"/>
      <c r="C53" s="1573"/>
      <c r="D53" s="1573"/>
      <c r="E53" s="1573"/>
      <c r="F53" s="1577"/>
      <c r="G53" s="1577"/>
      <c r="H53" s="1577"/>
      <c r="I53" s="1578">
        <v>403300</v>
      </c>
      <c r="J53" s="1577">
        <v>179000</v>
      </c>
    </row>
    <row r="54" spans="1:10" x14ac:dyDescent="0.2">
      <c r="A54" s="1570" t="s">
        <v>2050</v>
      </c>
      <c r="B54" s="1573"/>
      <c r="C54" s="1573"/>
      <c r="D54" s="1573"/>
      <c r="E54" s="1573"/>
      <c r="F54" s="1577"/>
      <c r="G54" s="1577"/>
      <c r="H54" s="1577"/>
      <c r="I54" s="1578">
        <v>389900</v>
      </c>
      <c r="J54" s="1577">
        <v>389900</v>
      </c>
    </row>
    <row r="55" spans="1:10" x14ac:dyDescent="0.2">
      <c r="A55" s="1570" t="s">
        <v>2286</v>
      </c>
      <c r="B55" s="1573">
        <v>50000</v>
      </c>
      <c r="C55" s="1573"/>
      <c r="D55" s="1573"/>
      <c r="E55" s="1573"/>
      <c r="F55" s="1732"/>
      <c r="G55" s="1732"/>
      <c r="H55" s="1732"/>
      <c r="I55" s="1733"/>
      <c r="J55" s="1732"/>
    </row>
    <row r="56" spans="1:10" x14ac:dyDescent="0.2">
      <c r="A56" s="1570" t="s">
        <v>2051</v>
      </c>
      <c r="B56" s="1573"/>
      <c r="C56" s="1573">
        <v>1054</v>
      </c>
      <c r="D56" s="1573">
        <v>222370</v>
      </c>
      <c r="E56" s="1573">
        <v>407885</v>
      </c>
      <c r="F56" s="1574">
        <v>179702</v>
      </c>
      <c r="G56" s="1574"/>
      <c r="H56" s="1574">
        <v>267660</v>
      </c>
      <c r="I56" s="1574"/>
      <c r="J56" s="1574"/>
    </row>
    <row r="57" spans="1:10" x14ac:dyDescent="0.2">
      <c r="A57" s="1579" t="s">
        <v>2052</v>
      </c>
      <c r="B57" s="1580">
        <f t="shared" ref="B57:J57" si="0">SUM(B17:B56)</f>
        <v>3395900</v>
      </c>
      <c r="C57" s="1580">
        <f t="shared" si="0"/>
        <v>1320146.53</v>
      </c>
      <c r="D57" s="1580">
        <f t="shared" si="0"/>
        <v>2760557.2634229781</v>
      </c>
      <c r="E57" s="1580">
        <f t="shared" si="0"/>
        <v>726521.61</v>
      </c>
      <c r="F57" s="1580">
        <f t="shared" si="0"/>
        <v>2051301.1000000003</v>
      </c>
      <c r="G57" s="1580">
        <f t="shared" si="0"/>
        <v>824640</v>
      </c>
      <c r="H57" s="1580">
        <f t="shared" si="0"/>
        <v>1140273</v>
      </c>
      <c r="I57" s="1580">
        <f>SUM(I17:I56)</f>
        <v>3151000</v>
      </c>
      <c r="J57" s="1580">
        <f t="shared" si="0"/>
        <v>2312100</v>
      </c>
    </row>
    <row r="58" spans="1:10" x14ac:dyDescent="0.2">
      <c r="A58" s="1579"/>
      <c r="B58" s="1579"/>
      <c r="C58" s="1581"/>
      <c r="D58" s="1581"/>
      <c r="E58" s="1581"/>
      <c r="F58" s="1581"/>
      <c r="G58" s="1581"/>
      <c r="H58" s="1581"/>
      <c r="I58" s="1581"/>
      <c r="J58" s="1581"/>
    </row>
    <row r="59" spans="1:10" x14ac:dyDescent="0.2">
      <c r="A59" s="1582" t="s">
        <v>2053</v>
      </c>
      <c r="B59" s="1582"/>
      <c r="C59" s="1583"/>
      <c r="D59" s="1583"/>
      <c r="E59" s="1583"/>
      <c r="F59" s="1583"/>
      <c r="G59" s="1583"/>
      <c r="H59" s="1583"/>
      <c r="I59" s="1583"/>
      <c r="J59" s="1583"/>
    </row>
    <row r="60" spans="1:10" x14ac:dyDescent="0.2">
      <c r="A60" s="1570" t="s">
        <v>2054</v>
      </c>
      <c r="B60" s="1573">
        <v>4064574</v>
      </c>
      <c r="C60" s="1573">
        <v>3076785</v>
      </c>
      <c r="D60" s="1573">
        <v>4184615.6972669447</v>
      </c>
      <c r="E60" s="1573">
        <v>2290454</v>
      </c>
      <c r="F60" s="1577">
        <v>4160552</v>
      </c>
      <c r="G60" s="1577">
        <v>3780000</v>
      </c>
      <c r="H60" s="1577">
        <v>2268000</v>
      </c>
      <c r="I60" s="1578">
        <v>3780000</v>
      </c>
      <c r="J60" s="1577">
        <v>3780000</v>
      </c>
    </row>
    <row r="61" spans="1:10" x14ac:dyDescent="0.2">
      <c r="A61" s="1570" t="s">
        <v>2055</v>
      </c>
      <c r="B61" s="1573"/>
      <c r="C61" s="1573"/>
      <c r="D61" s="1573"/>
      <c r="E61" s="1573"/>
      <c r="F61" s="1577"/>
      <c r="G61" s="1577"/>
      <c r="H61" s="1577"/>
      <c r="I61" s="1578"/>
      <c r="J61" s="1577"/>
    </row>
    <row r="62" spans="1:10" x14ac:dyDescent="0.2">
      <c r="A62" s="1570" t="s">
        <v>2056</v>
      </c>
      <c r="B62" s="1573">
        <v>582100</v>
      </c>
      <c r="C62" s="1573">
        <v>514364</v>
      </c>
      <c r="D62" s="1573">
        <v>7608.8936249914077</v>
      </c>
      <c r="E62" s="1573"/>
      <c r="F62" s="1577"/>
      <c r="G62" s="1577"/>
      <c r="H62" s="1577"/>
      <c r="I62" s="1578"/>
      <c r="J62" s="1577"/>
    </row>
    <row r="63" spans="1:10" x14ac:dyDescent="0.2">
      <c r="A63" s="1570" t="s">
        <v>2057</v>
      </c>
      <c r="B63" s="1573"/>
      <c r="C63" s="1573"/>
      <c r="D63" s="1573">
        <v>52616.471060270283</v>
      </c>
      <c r="E63" s="1573">
        <v>295466</v>
      </c>
      <c r="F63" s="1577"/>
      <c r="G63" s="1577"/>
      <c r="H63" s="1577"/>
      <c r="I63" s="1578"/>
      <c r="J63" s="1577"/>
    </row>
    <row r="64" spans="1:10" x14ac:dyDescent="0.2">
      <c r="A64" s="1570" t="s">
        <v>2058</v>
      </c>
      <c r="B64" s="1573"/>
      <c r="C64" s="1573"/>
      <c r="D64" s="1573"/>
      <c r="E64" s="1573"/>
      <c r="F64" s="1577">
        <v>69417.149999999994</v>
      </c>
      <c r="G64" s="1577"/>
      <c r="H64" s="1577"/>
      <c r="I64" s="1578"/>
      <c r="J64" s="1577"/>
    </row>
    <row r="65" spans="1:10" x14ac:dyDescent="0.2">
      <c r="A65" s="1570" t="s">
        <v>2051</v>
      </c>
      <c r="B65" s="1573"/>
      <c r="C65" s="1573">
        <f>-65546+84393+3137+9765-37419+10</f>
        <v>-5660</v>
      </c>
      <c r="D65" s="1573"/>
      <c r="E65" s="1573"/>
      <c r="F65" s="1577"/>
      <c r="G65" s="1577"/>
      <c r="H65" s="1577"/>
      <c r="I65" s="1578"/>
      <c r="J65" s="1577"/>
    </row>
    <row r="66" spans="1:10" x14ac:dyDescent="0.2">
      <c r="A66" s="1579" t="s">
        <v>2059</v>
      </c>
      <c r="B66" s="1580">
        <f>SUM(B60:B65)</f>
        <v>4646674</v>
      </c>
      <c r="C66" s="1580">
        <f>SUM(C60:C65)</f>
        <v>3585489</v>
      </c>
      <c r="D66" s="1580">
        <f t="shared" ref="D66:J66" si="1">SUM(D60:D65)</f>
        <v>4244841.0619522063</v>
      </c>
      <c r="E66" s="1580">
        <f t="shared" si="1"/>
        <v>2585920</v>
      </c>
      <c r="F66" s="1580">
        <f t="shared" si="1"/>
        <v>4229969.1500000004</v>
      </c>
      <c r="G66" s="1580">
        <f t="shared" si="1"/>
        <v>3780000</v>
      </c>
      <c r="H66" s="1580">
        <f t="shared" si="1"/>
        <v>2268000</v>
      </c>
      <c r="I66" s="1580">
        <f>SUM(I60:I65)</f>
        <v>3780000</v>
      </c>
      <c r="J66" s="1580">
        <f t="shared" si="1"/>
        <v>3780000</v>
      </c>
    </row>
    <row r="67" spans="1:10" x14ac:dyDescent="0.2">
      <c r="A67" s="1579"/>
      <c r="B67" s="1579"/>
      <c r="C67" s="1581"/>
      <c r="D67" s="1581"/>
      <c r="E67" s="1581"/>
      <c r="F67" s="1581"/>
      <c r="G67" s="1581"/>
      <c r="H67" s="1581"/>
      <c r="I67" s="1581"/>
      <c r="J67" s="1581"/>
    </row>
    <row r="68" spans="1:10" x14ac:dyDescent="0.2">
      <c r="A68" s="1579" t="s">
        <v>2060</v>
      </c>
      <c r="B68" s="1579"/>
      <c r="C68" s="1581"/>
      <c r="D68" s="1581"/>
      <c r="E68" s="1581"/>
      <c r="F68" s="1581"/>
      <c r="G68" s="1581"/>
      <c r="H68" s="1581"/>
      <c r="I68" s="1581"/>
      <c r="J68" s="1581"/>
    </row>
    <row r="69" spans="1:10" x14ac:dyDescent="0.2">
      <c r="A69" s="1570" t="s">
        <v>2061</v>
      </c>
      <c r="B69" s="1571"/>
      <c r="C69" s="1571"/>
      <c r="D69" s="1571"/>
      <c r="E69" s="1571">
        <v>113108</v>
      </c>
      <c r="F69" s="1576"/>
      <c r="G69" s="1578"/>
      <c r="H69" s="1578"/>
      <c r="I69" s="1578"/>
      <c r="J69" s="1578"/>
    </row>
    <row r="70" spans="1:10" x14ac:dyDescent="0.2">
      <c r="A70" s="1570" t="s">
        <v>2062</v>
      </c>
      <c r="B70" s="1571"/>
      <c r="C70" s="1571"/>
      <c r="D70" s="1571"/>
      <c r="E70" s="1571">
        <v>58305</v>
      </c>
      <c r="F70" s="1576"/>
      <c r="G70" s="1578"/>
      <c r="H70" s="1578"/>
      <c r="I70" s="1578"/>
      <c r="J70" s="1578"/>
    </row>
    <row r="71" spans="1:10" x14ac:dyDescent="0.2">
      <c r="A71" s="1570" t="s">
        <v>2063</v>
      </c>
      <c r="B71" s="1571"/>
      <c r="C71" s="1571"/>
      <c r="D71" s="1571"/>
      <c r="E71" s="1571"/>
      <c r="F71" s="1577">
        <v>61921.06</v>
      </c>
      <c r="G71" s="1578"/>
      <c r="H71" s="1578"/>
      <c r="I71" s="1578"/>
      <c r="J71" s="1578"/>
    </row>
    <row r="72" spans="1:10" x14ac:dyDescent="0.2">
      <c r="A72" s="1570" t="s">
        <v>2064</v>
      </c>
      <c r="B72" s="1571"/>
      <c r="C72" s="1571"/>
      <c r="D72" s="1571"/>
      <c r="E72" s="1571">
        <v>91434</v>
      </c>
      <c r="F72" s="1577">
        <v>5233</v>
      </c>
      <c r="G72" s="1578"/>
      <c r="H72" s="1578"/>
      <c r="I72" s="1578"/>
      <c r="J72" s="1578"/>
    </row>
    <row r="73" spans="1:10" x14ac:dyDescent="0.2">
      <c r="A73" s="1570" t="s">
        <v>2065</v>
      </c>
      <c r="B73" s="1571">
        <v>77200</v>
      </c>
      <c r="C73" s="1571"/>
      <c r="D73" s="1571">
        <v>99118.968219335482</v>
      </c>
      <c r="E73" s="1571"/>
      <c r="F73" s="1577"/>
      <c r="G73" s="1578"/>
      <c r="H73" s="1578"/>
      <c r="I73" s="1578"/>
      <c r="J73" s="1578"/>
    </row>
    <row r="74" spans="1:10" x14ac:dyDescent="0.2">
      <c r="A74" s="1570" t="s">
        <v>2051</v>
      </c>
      <c r="B74" s="1571"/>
      <c r="C74" s="1571">
        <v>568796</v>
      </c>
      <c r="D74" s="1571"/>
      <c r="E74" s="1571">
        <v>288612</v>
      </c>
      <c r="F74" s="1577">
        <f>414115.04-5233</f>
        <v>408882.04</v>
      </c>
      <c r="G74" s="1578">
        <v>661735</v>
      </c>
      <c r="H74" s="1578">
        <v>661890</v>
      </c>
      <c r="I74" s="1578">
        <v>681587</v>
      </c>
      <c r="J74" s="1578">
        <v>681587</v>
      </c>
    </row>
    <row r="75" spans="1:10" x14ac:dyDescent="0.2">
      <c r="A75" s="1579" t="s">
        <v>2066</v>
      </c>
      <c r="B75" s="1580">
        <f t="shared" ref="B75:J75" si="2">SUM(B69:B74)</f>
        <v>77200</v>
      </c>
      <c r="C75" s="1580">
        <f t="shared" si="2"/>
        <v>568796</v>
      </c>
      <c r="D75" s="1580">
        <f t="shared" si="2"/>
        <v>99118.968219335482</v>
      </c>
      <c r="E75" s="1580">
        <f t="shared" si="2"/>
        <v>551459</v>
      </c>
      <c r="F75" s="1580">
        <f t="shared" si="2"/>
        <v>476036.1</v>
      </c>
      <c r="G75" s="1580">
        <f t="shared" si="2"/>
        <v>661735</v>
      </c>
      <c r="H75" s="1580">
        <f t="shared" si="2"/>
        <v>661890</v>
      </c>
      <c r="I75" s="1580">
        <f>SUM(I69:I74)</f>
        <v>681587</v>
      </c>
      <c r="J75" s="1580">
        <f t="shared" si="2"/>
        <v>681587</v>
      </c>
    </row>
    <row r="76" spans="1:10" x14ac:dyDescent="0.2">
      <c r="A76" s="1579"/>
      <c r="B76" s="1567"/>
      <c r="C76" s="1584"/>
      <c r="D76" s="1584"/>
      <c r="E76" s="1584"/>
      <c r="F76" s="1584"/>
      <c r="G76" s="1584"/>
      <c r="H76" s="1584"/>
      <c r="I76" s="1584"/>
      <c r="J76" s="1584"/>
    </row>
    <row r="77" spans="1:10" x14ac:dyDescent="0.2">
      <c r="A77" s="1579" t="s">
        <v>364</v>
      </c>
      <c r="B77" s="1567"/>
      <c r="C77" s="1584"/>
      <c r="D77" s="1584"/>
      <c r="E77" s="1584"/>
      <c r="F77" s="1584"/>
      <c r="G77" s="1584"/>
      <c r="H77" s="1584"/>
      <c r="I77" s="1584"/>
      <c r="J77" s="1584"/>
    </row>
    <row r="78" spans="1:10" x14ac:dyDescent="0.2">
      <c r="A78" s="1570" t="s">
        <v>2067</v>
      </c>
      <c r="B78" s="1573"/>
      <c r="C78" s="1573"/>
      <c r="D78" s="1573"/>
      <c r="E78" s="1573">
        <v>220314</v>
      </c>
      <c r="F78" s="1575"/>
      <c r="G78" s="1585"/>
      <c r="H78" s="1585"/>
      <c r="I78" s="1585"/>
      <c r="J78" s="1585"/>
    </row>
    <row r="79" spans="1:10" x14ac:dyDescent="0.2">
      <c r="A79" s="1570" t="s">
        <v>2051</v>
      </c>
      <c r="B79" s="1573">
        <v>289170</v>
      </c>
      <c r="C79" s="1573">
        <v>96003</v>
      </c>
      <c r="D79" s="1573">
        <f>578144-118434+66899.8</f>
        <v>526609.80000000005</v>
      </c>
      <c r="E79" s="1573">
        <v>574015</v>
      </c>
      <c r="F79" s="1577">
        <v>433061.59</v>
      </c>
      <c r="G79" s="1585">
        <v>285365</v>
      </c>
      <c r="H79" s="1585">
        <v>285365</v>
      </c>
      <c r="I79" s="1585">
        <v>293926</v>
      </c>
      <c r="J79" s="1585">
        <v>293926</v>
      </c>
    </row>
    <row r="80" spans="1:10" s="3" customFormat="1" x14ac:dyDescent="0.2">
      <c r="A80" s="1579" t="s">
        <v>2068</v>
      </c>
      <c r="B80" s="1580">
        <f t="shared" ref="B80" si="3">SUM(B78:B79)</f>
        <v>289170</v>
      </c>
      <c r="C80" s="1580">
        <f t="shared" ref="C80:G80" si="4">SUM(C78:C79)</f>
        <v>96003</v>
      </c>
      <c r="D80" s="1580">
        <f t="shared" si="4"/>
        <v>526609.80000000005</v>
      </c>
      <c r="E80" s="1580">
        <f t="shared" si="4"/>
        <v>794329</v>
      </c>
      <c r="F80" s="1580">
        <f t="shared" si="4"/>
        <v>433061.59</v>
      </c>
      <c r="G80" s="1580">
        <f t="shared" si="4"/>
        <v>285365</v>
      </c>
      <c r="H80" s="1580">
        <f t="shared" ref="H80:J80" si="5">SUM(H78:H79)</f>
        <v>285365</v>
      </c>
      <c r="I80" s="1580">
        <f>SUM(I78:I79)</f>
        <v>293926</v>
      </c>
      <c r="J80" s="1580">
        <f t="shared" si="5"/>
        <v>293926</v>
      </c>
    </row>
    <row r="81" spans="1:10" x14ac:dyDescent="0.2">
      <c r="A81" s="1795" t="s">
        <v>2069</v>
      </c>
      <c r="B81" s="1580">
        <f t="shared" ref="B81" si="6">+B80+B75+B66+B57</f>
        <v>8408944</v>
      </c>
      <c r="C81" s="1580">
        <f t="shared" ref="C81:G81" si="7">+C80+C75+C66+C57</f>
        <v>5570434.5300000003</v>
      </c>
      <c r="D81" s="1580">
        <f t="shared" si="7"/>
        <v>7631127.0935945204</v>
      </c>
      <c r="E81" s="1580">
        <f t="shared" si="7"/>
        <v>4658229.6100000003</v>
      </c>
      <c r="F81" s="1580">
        <f t="shared" si="7"/>
        <v>7190367.9400000004</v>
      </c>
      <c r="G81" s="1580">
        <f t="shared" si="7"/>
        <v>5551740</v>
      </c>
      <c r="H81" s="1580">
        <f t="shared" ref="H81:J81" si="8">+H80+H75+H66+H57</f>
        <v>4355528</v>
      </c>
      <c r="I81" s="1580">
        <f>+I80+I75+I66+I57</f>
        <v>7906513</v>
      </c>
      <c r="J81" s="1580">
        <f t="shared" si="8"/>
        <v>7067613</v>
      </c>
    </row>
    <row r="82" spans="1:10" x14ac:dyDescent="0.2">
      <c r="A82" s="1586"/>
      <c r="B82" s="1730"/>
      <c r="C82" s="1587"/>
      <c r="D82" s="1587"/>
      <c r="E82" s="1587"/>
      <c r="F82" s="1587"/>
      <c r="G82" s="1587"/>
      <c r="H82" s="1587"/>
      <c r="I82" s="1587"/>
      <c r="J82" s="1587"/>
    </row>
    <row r="83" spans="1:10" x14ac:dyDescent="0.2">
      <c r="A83" s="1579" t="s">
        <v>896</v>
      </c>
      <c r="B83" s="1567"/>
      <c r="C83" s="1584"/>
      <c r="D83" s="1584"/>
      <c r="E83" s="1584"/>
      <c r="F83" s="1584"/>
      <c r="G83" s="1584"/>
      <c r="H83" s="1584"/>
      <c r="I83" s="1584"/>
      <c r="J83" s="1584"/>
    </row>
    <row r="84" spans="1:10" x14ac:dyDescent="0.2">
      <c r="A84" s="1579" t="s">
        <v>2070</v>
      </c>
      <c r="B84" s="1567"/>
      <c r="C84" s="1584"/>
      <c r="D84" s="1584"/>
      <c r="E84" s="1584"/>
      <c r="F84" s="1584"/>
      <c r="G84" s="1584"/>
      <c r="H84" s="1584"/>
      <c r="I84" s="1584"/>
      <c r="J84" s="1584"/>
    </row>
    <row r="85" spans="1:10" x14ac:dyDescent="0.2">
      <c r="A85" s="1570" t="s">
        <v>2071</v>
      </c>
      <c r="B85" s="1571"/>
      <c r="C85" s="1571">
        <v>51454.69</v>
      </c>
      <c r="D85" s="1571"/>
      <c r="E85" s="1571"/>
      <c r="F85" s="1576"/>
      <c r="G85" s="1578"/>
      <c r="H85" s="1578"/>
      <c r="I85" s="1578"/>
      <c r="J85" s="1578"/>
    </row>
    <row r="86" spans="1:10" x14ac:dyDescent="0.2">
      <c r="A86" s="1570" t="s">
        <v>2072</v>
      </c>
      <c r="B86" s="1571"/>
      <c r="C86" s="1571">
        <v>37126.959999999999</v>
      </c>
      <c r="D86" s="1571"/>
      <c r="E86" s="1571"/>
      <c r="F86" s="1576"/>
      <c r="G86" s="1578"/>
      <c r="H86" s="1578"/>
      <c r="I86" s="1578"/>
      <c r="J86" s="1578"/>
    </row>
    <row r="87" spans="1:10" x14ac:dyDescent="0.2">
      <c r="A87" s="1570" t="s">
        <v>2073</v>
      </c>
      <c r="B87" s="1573">
        <v>160000</v>
      </c>
      <c r="C87" s="1573">
        <v>111428</v>
      </c>
      <c r="D87" s="1573">
        <v>14528.244278299951</v>
      </c>
      <c r="E87" s="1573"/>
      <c r="F87" s="1575"/>
      <c r="G87" s="1585"/>
      <c r="H87" s="1585"/>
      <c r="I87" s="1585"/>
      <c r="J87" s="1585"/>
    </row>
    <row r="88" spans="1:10" x14ac:dyDescent="0.2">
      <c r="A88" s="1570" t="s">
        <v>2074</v>
      </c>
      <c r="B88" s="1573">
        <v>287000</v>
      </c>
      <c r="C88" s="1573">
        <v>326597</v>
      </c>
      <c r="D88" s="1573">
        <v>113443.1673721492</v>
      </c>
      <c r="E88" s="1573">
        <v>25411.94</v>
      </c>
      <c r="F88" s="1575"/>
      <c r="G88" s="1585"/>
      <c r="H88" s="1585"/>
      <c r="I88" s="1585"/>
      <c r="J88" s="1585"/>
    </row>
    <row r="89" spans="1:10" x14ac:dyDescent="0.2">
      <c r="A89" s="1570" t="s">
        <v>2075</v>
      </c>
      <c r="B89" s="1573">
        <v>75000</v>
      </c>
      <c r="C89" s="1573">
        <v>111502</v>
      </c>
      <c r="D89" s="1573"/>
      <c r="E89" s="1573"/>
      <c r="F89" s="1575"/>
      <c r="G89" s="1585"/>
      <c r="H89" s="1585"/>
      <c r="I89" s="1585"/>
      <c r="J89" s="1585"/>
    </row>
    <row r="90" spans="1:10" x14ac:dyDescent="0.2">
      <c r="A90" s="1570" t="s">
        <v>2076</v>
      </c>
      <c r="B90" s="1573">
        <v>131000</v>
      </c>
      <c r="C90" s="1573">
        <v>138649</v>
      </c>
      <c r="D90" s="1573"/>
      <c r="E90" s="1573"/>
      <c r="F90" s="1575"/>
      <c r="G90" s="1585"/>
      <c r="H90" s="1585"/>
      <c r="I90" s="1585"/>
      <c r="J90" s="1585"/>
    </row>
    <row r="91" spans="1:10" x14ac:dyDescent="0.2">
      <c r="A91" s="1570" t="s">
        <v>2077</v>
      </c>
      <c r="B91" s="1573">
        <v>42500</v>
      </c>
      <c r="C91" s="1573">
        <v>76374</v>
      </c>
      <c r="D91" s="1573"/>
      <c r="E91" s="1573"/>
      <c r="F91" s="1575"/>
      <c r="G91" s="1585"/>
      <c r="H91" s="1585"/>
      <c r="I91" s="1585"/>
      <c r="J91" s="1585"/>
    </row>
    <row r="92" spans="1:10" x14ac:dyDescent="0.2">
      <c r="A92" s="1570" t="s">
        <v>2078</v>
      </c>
      <c r="B92" s="1573">
        <v>98500</v>
      </c>
      <c r="C92" s="1573"/>
      <c r="D92" s="1573">
        <v>243826.54509267426</v>
      </c>
      <c r="E92" s="1573"/>
      <c r="F92" s="1575"/>
      <c r="G92" s="1585"/>
      <c r="H92" s="1585"/>
      <c r="I92" s="1585"/>
      <c r="J92" s="1585"/>
    </row>
    <row r="93" spans="1:10" x14ac:dyDescent="0.2">
      <c r="A93" s="1570" t="s">
        <v>2079</v>
      </c>
      <c r="B93" s="1573"/>
      <c r="C93" s="1573"/>
      <c r="D93" s="1573"/>
      <c r="E93" s="1573">
        <v>199486</v>
      </c>
      <c r="F93" s="1575"/>
      <c r="G93" s="1585"/>
      <c r="H93" s="1585"/>
      <c r="I93" s="1588"/>
      <c r="J93" s="1585"/>
    </row>
    <row r="94" spans="1:10" x14ac:dyDescent="0.2">
      <c r="A94" s="1570" t="s">
        <v>2080</v>
      </c>
      <c r="B94" s="1573"/>
      <c r="C94" s="1573"/>
      <c r="D94" s="1573"/>
      <c r="E94" s="1573">
        <v>176407</v>
      </c>
      <c r="F94" s="1575"/>
      <c r="G94" s="1585"/>
      <c r="H94" s="1585"/>
      <c r="I94" s="1585"/>
      <c r="J94" s="1585"/>
    </row>
    <row r="95" spans="1:10" x14ac:dyDescent="0.2">
      <c r="A95" s="1570" t="s">
        <v>2081</v>
      </c>
      <c r="B95" s="1573"/>
      <c r="C95" s="1573"/>
      <c r="D95" s="1573"/>
      <c r="E95" s="1573">
        <v>169250</v>
      </c>
      <c r="F95" s="1575"/>
      <c r="G95" s="1585"/>
      <c r="H95" s="1585"/>
      <c r="I95" s="1585"/>
      <c r="J95" s="1585"/>
    </row>
    <row r="96" spans="1:10" x14ac:dyDescent="0.2">
      <c r="A96" s="1570" t="s">
        <v>2082</v>
      </c>
      <c r="B96" s="1573"/>
      <c r="C96" s="1573"/>
      <c r="D96" s="1573"/>
      <c r="E96" s="1573">
        <v>117984</v>
      </c>
      <c r="F96" s="1575"/>
      <c r="G96" s="1585"/>
      <c r="H96" s="1585"/>
      <c r="I96" s="1585"/>
      <c r="J96" s="1585"/>
    </row>
    <row r="97" spans="1:10" x14ac:dyDescent="0.2">
      <c r="A97" s="1570" t="s">
        <v>2083</v>
      </c>
      <c r="B97" s="1573"/>
      <c r="C97" s="1573"/>
      <c r="D97" s="1573">
        <v>51540.769218449517</v>
      </c>
      <c r="E97" s="1573">
        <v>85458</v>
      </c>
      <c r="F97" s="1575"/>
      <c r="G97" s="1585"/>
      <c r="H97" s="1585"/>
      <c r="I97" s="1585"/>
      <c r="J97" s="1585"/>
    </row>
    <row r="98" spans="1:10" x14ac:dyDescent="0.2">
      <c r="A98" s="1570" t="s">
        <v>2084</v>
      </c>
      <c r="B98" s="1573"/>
      <c r="C98" s="1573"/>
      <c r="D98" s="1573"/>
      <c r="E98" s="1573"/>
      <c r="F98" s="1577">
        <v>253620.63</v>
      </c>
      <c r="G98" s="1585"/>
      <c r="H98" s="1585"/>
      <c r="I98" s="1585"/>
      <c r="J98" s="1585"/>
    </row>
    <row r="99" spans="1:10" x14ac:dyDescent="0.2">
      <c r="A99" s="1570" t="s">
        <v>2085</v>
      </c>
      <c r="B99" s="1573"/>
      <c r="C99" s="1573"/>
      <c r="D99" s="1573"/>
      <c r="E99" s="1573">
        <v>83360</v>
      </c>
      <c r="F99" s="1577"/>
      <c r="G99" s="1585"/>
      <c r="H99" s="1585"/>
      <c r="I99" s="1585"/>
      <c r="J99" s="1585"/>
    </row>
    <row r="100" spans="1:10" x14ac:dyDescent="0.2">
      <c r="A100" s="1570" t="s">
        <v>2086</v>
      </c>
      <c r="B100" s="1573">
        <v>25000</v>
      </c>
      <c r="C100" s="1573">
        <v>46866</v>
      </c>
      <c r="D100" s="1573"/>
      <c r="E100" s="1573"/>
      <c r="F100" s="1577"/>
      <c r="G100" s="1585"/>
      <c r="H100" s="1585"/>
      <c r="I100" s="1585"/>
      <c r="J100" s="1585"/>
    </row>
    <row r="101" spans="1:10" x14ac:dyDescent="0.2">
      <c r="A101" s="1570" t="s">
        <v>2289</v>
      </c>
      <c r="B101" s="1573">
        <v>82500</v>
      </c>
      <c r="C101" s="1573"/>
      <c r="D101" s="1573"/>
      <c r="E101" s="1573"/>
      <c r="F101" s="1577"/>
      <c r="G101" s="1585"/>
      <c r="H101" s="1585"/>
      <c r="I101" s="1585"/>
      <c r="J101" s="1585"/>
    </row>
    <row r="102" spans="1:10" x14ac:dyDescent="0.2">
      <c r="A102" s="1570" t="s">
        <v>2290</v>
      </c>
      <c r="B102" s="1573">
        <v>48000</v>
      </c>
      <c r="C102" s="1573"/>
      <c r="D102" s="1573"/>
      <c r="E102" s="1573"/>
      <c r="F102" s="1577"/>
      <c r="G102" s="1585"/>
      <c r="H102" s="1585"/>
      <c r="I102" s="1585"/>
      <c r="J102" s="1585"/>
    </row>
    <row r="103" spans="1:10" x14ac:dyDescent="0.2">
      <c r="A103" s="1570" t="s">
        <v>2087</v>
      </c>
      <c r="B103" s="1573"/>
      <c r="C103" s="1573"/>
      <c r="D103" s="1573"/>
      <c r="E103" s="1573"/>
      <c r="F103" s="1577">
        <v>518682.39</v>
      </c>
      <c r="G103" s="1585"/>
      <c r="H103" s="1585"/>
      <c r="I103" s="1585"/>
      <c r="J103" s="1585"/>
    </row>
    <row r="104" spans="1:10" x14ac:dyDescent="0.2">
      <c r="A104" s="1570" t="s">
        <v>2088</v>
      </c>
      <c r="B104" s="1573"/>
      <c r="C104" s="1573"/>
      <c r="D104" s="1573"/>
      <c r="E104" s="1573"/>
      <c r="F104" s="1577">
        <v>318490.73</v>
      </c>
      <c r="G104" s="1585"/>
      <c r="H104" s="1585"/>
      <c r="I104" s="1585"/>
      <c r="J104" s="1585"/>
    </row>
    <row r="105" spans="1:10" x14ac:dyDescent="0.2">
      <c r="A105" s="1570" t="s">
        <v>2089</v>
      </c>
      <c r="B105" s="1573"/>
      <c r="C105" s="1573"/>
      <c r="D105" s="1573"/>
      <c r="E105" s="1573"/>
      <c r="F105" s="1577">
        <v>158804.37</v>
      </c>
      <c r="G105" s="1585"/>
      <c r="H105" s="1585"/>
      <c r="I105" s="1585"/>
      <c r="J105" s="1585"/>
    </row>
    <row r="106" spans="1:10" x14ac:dyDescent="0.2">
      <c r="A106" s="1570" t="s">
        <v>2090</v>
      </c>
      <c r="B106" s="1573"/>
      <c r="C106" s="1573"/>
      <c r="D106" s="1573"/>
      <c r="E106" s="1573"/>
      <c r="F106" s="1577">
        <v>7238.38</v>
      </c>
      <c r="G106" s="1585">
        <v>377000</v>
      </c>
      <c r="H106" s="1585">
        <v>317986</v>
      </c>
      <c r="I106" s="1585"/>
      <c r="J106" s="1585"/>
    </row>
    <row r="107" spans="1:10" x14ac:dyDescent="0.2">
      <c r="A107" s="1570" t="s">
        <v>2091</v>
      </c>
      <c r="B107" s="1573"/>
      <c r="C107" s="1573"/>
      <c r="D107" s="1573"/>
      <c r="E107" s="1573"/>
      <c r="F107" s="1577">
        <v>66762.06</v>
      </c>
      <c r="G107" s="1585"/>
      <c r="H107" s="1585"/>
      <c r="I107" s="1585"/>
      <c r="J107" s="1585"/>
    </row>
    <row r="108" spans="1:10" x14ac:dyDescent="0.2">
      <c r="A108" s="1570" t="s">
        <v>2092</v>
      </c>
      <c r="B108" s="1573"/>
      <c r="C108" s="1573"/>
      <c r="D108" s="1573"/>
      <c r="E108" s="1573"/>
      <c r="F108" s="1577">
        <v>70797.94</v>
      </c>
      <c r="G108" s="1585"/>
      <c r="H108" s="1585"/>
      <c r="I108" s="1585"/>
      <c r="J108" s="1585"/>
    </row>
    <row r="109" spans="1:10" x14ac:dyDescent="0.2">
      <c r="A109" s="1570" t="s">
        <v>2093</v>
      </c>
      <c r="B109" s="1573"/>
      <c r="C109" s="1573"/>
      <c r="D109" s="1573"/>
      <c r="E109" s="1573">
        <v>4249</v>
      </c>
      <c r="F109" s="1577">
        <v>306357.51</v>
      </c>
      <c r="G109" s="1585"/>
      <c r="H109" s="1585"/>
      <c r="I109" s="1585"/>
      <c r="J109" s="1585"/>
    </row>
    <row r="110" spans="1:10" x14ac:dyDescent="0.2">
      <c r="A110" s="1570" t="s">
        <v>2094</v>
      </c>
      <c r="B110" s="1573"/>
      <c r="C110" s="1573"/>
      <c r="D110" s="1573"/>
      <c r="E110" s="1573"/>
      <c r="F110" s="1577">
        <v>57838.11</v>
      </c>
      <c r="G110" s="1585"/>
      <c r="H110" s="1585"/>
      <c r="I110" s="1585"/>
      <c r="J110" s="1585"/>
    </row>
    <row r="111" spans="1:10" x14ac:dyDescent="0.2">
      <c r="A111" s="1570" t="s">
        <v>2095</v>
      </c>
      <c r="B111" s="1573"/>
      <c r="C111" s="1573"/>
      <c r="D111" s="1573"/>
      <c r="E111" s="1573"/>
      <c r="F111" s="1577"/>
      <c r="G111" s="1585">
        <v>204300</v>
      </c>
      <c r="H111" s="1585">
        <v>200000</v>
      </c>
      <c r="I111" s="1585"/>
      <c r="J111" s="1585"/>
    </row>
    <row r="112" spans="1:10" x14ac:dyDescent="0.2">
      <c r="A112" s="1570" t="s">
        <v>2096</v>
      </c>
      <c r="B112" s="1573"/>
      <c r="C112" s="1573"/>
      <c r="D112" s="1573"/>
      <c r="E112" s="1573"/>
      <c r="F112" s="1577"/>
      <c r="G112" s="1585">
        <v>276000</v>
      </c>
      <c r="H112" s="1585"/>
      <c r="I112" s="1585"/>
      <c r="J112" s="1585">
        <v>280000</v>
      </c>
    </row>
    <row r="113" spans="1:10" x14ac:dyDescent="0.2">
      <c r="A113" s="1570" t="s">
        <v>2441</v>
      </c>
      <c r="B113" s="1573"/>
      <c r="C113" s="1573"/>
      <c r="D113" s="1573"/>
      <c r="E113" s="1573"/>
      <c r="F113" s="1577"/>
      <c r="G113" s="1585"/>
      <c r="H113" s="1585">
        <v>127000</v>
      </c>
      <c r="I113" s="1585"/>
      <c r="J113" s="1585"/>
    </row>
    <row r="114" spans="1:10" x14ac:dyDescent="0.2">
      <c r="A114" s="1570" t="s">
        <v>2097</v>
      </c>
      <c r="B114" s="1573"/>
      <c r="C114" s="1573"/>
      <c r="D114" s="1573"/>
      <c r="E114" s="1573"/>
      <c r="F114" s="1575"/>
      <c r="G114" s="1585"/>
      <c r="H114" s="1585"/>
      <c r="I114" s="1585">
        <v>155000</v>
      </c>
      <c r="J114" s="1585">
        <v>155000</v>
      </c>
    </row>
    <row r="115" spans="1:10" x14ac:dyDescent="0.2">
      <c r="A115" s="1570" t="s">
        <v>2098</v>
      </c>
      <c r="B115" s="1573"/>
      <c r="C115" s="1573"/>
      <c r="D115" s="1573"/>
      <c r="E115" s="1573"/>
      <c r="F115" s="1575"/>
      <c r="G115" s="1585"/>
      <c r="H115" s="1585"/>
      <c r="I115" s="1585">
        <v>322000</v>
      </c>
      <c r="J115" s="1585">
        <v>322000</v>
      </c>
    </row>
    <row r="116" spans="1:10" x14ac:dyDescent="0.2">
      <c r="A116" s="1570" t="s">
        <v>2099</v>
      </c>
      <c r="B116" s="1573"/>
      <c r="C116" s="1573"/>
      <c r="D116" s="1573"/>
      <c r="E116" s="1573"/>
      <c r="F116" s="1575"/>
      <c r="G116" s="1585"/>
      <c r="H116" s="1585"/>
      <c r="I116" s="1585">
        <v>321400</v>
      </c>
      <c r="J116" s="1585">
        <v>321400</v>
      </c>
    </row>
    <row r="117" spans="1:10" x14ac:dyDescent="0.2">
      <c r="A117" s="1570" t="s">
        <v>2100</v>
      </c>
      <c r="B117" s="1573"/>
      <c r="C117" s="1573">
        <f>742+14140+30945+202170</f>
        <v>247997</v>
      </c>
      <c r="D117" s="1573"/>
      <c r="E117" s="1573"/>
      <c r="F117" s="1575"/>
      <c r="G117" s="1585">
        <v>375000</v>
      </c>
      <c r="H117" s="1585">
        <v>102903</v>
      </c>
      <c r="I117" s="1585">
        <v>350000</v>
      </c>
      <c r="J117" s="1585">
        <v>350000</v>
      </c>
    </row>
    <row r="118" spans="1:10" x14ac:dyDescent="0.2">
      <c r="A118" s="1579" t="s">
        <v>2101</v>
      </c>
      <c r="B118" s="1580">
        <f t="shared" ref="B118:J118" si="9">SUM(B85:B117)</f>
        <v>949500</v>
      </c>
      <c r="C118" s="1580">
        <f t="shared" si="9"/>
        <v>1147994.6499999999</v>
      </c>
      <c r="D118" s="1580">
        <f t="shared" si="9"/>
        <v>423338.72596157296</v>
      </c>
      <c r="E118" s="1580">
        <f t="shared" si="9"/>
        <v>861605.94</v>
      </c>
      <c r="F118" s="1580">
        <f t="shared" si="9"/>
        <v>1758592.12</v>
      </c>
      <c r="G118" s="1580">
        <f t="shared" si="9"/>
        <v>1232300</v>
      </c>
      <c r="H118" s="1580">
        <f t="shared" si="9"/>
        <v>747889</v>
      </c>
      <c r="I118" s="1580">
        <f>SUM(I85:I117)</f>
        <v>1148400</v>
      </c>
      <c r="J118" s="1580">
        <f t="shared" si="9"/>
        <v>1428400</v>
      </c>
    </row>
    <row r="119" spans="1:10" x14ac:dyDescent="0.2">
      <c r="A119" s="1579"/>
      <c r="B119" s="1579"/>
      <c r="C119" s="1581"/>
      <c r="D119" s="1581"/>
      <c r="E119" s="1581"/>
      <c r="F119" s="1581"/>
      <c r="G119" s="1581"/>
      <c r="H119" s="1581"/>
      <c r="I119" s="1581"/>
      <c r="J119" s="1581"/>
    </row>
    <row r="120" spans="1:10" x14ac:dyDescent="0.2">
      <c r="A120" s="1579" t="s">
        <v>2102</v>
      </c>
      <c r="B120" s="1579"/>
      <c r="C120" s="1581"/>
      <c r="D120" s="1581"/>
      <c r="E120" s="1581"/>
      <c r="F120" s="1581"/>
      <c r="G120" s="1581"/>
      <c r="H120" s="1581"/>
      <c r="I120" s="1581"/>
      <c r="J120" s="1581"/>
    </row>
    <row r="121" spans="1:10" x14ac:dyDescent="0.2">
      <c r="A121" s="1570" t="s">
        <v>2103</v>
      </c>
      <c r="B121" s="1571">
        <v>106570</v>
      </c>
      <c r="C121" s="1571">
        <v>106570</v>
      </c>
      <c r="D121" s="1571"/>
      <c r="E121" s="1571"/>
      <c r="F121" s="1576"/>
      <c r="G121" s="1578"/>
      <c r="H121" s="1578"/>
      <c r="I121" s="1578"/>
      <c r="J121" s="1578"/>
    </row>
    <row r="122" spans="1:10" x14ac:dyDescent="0.2">
      <c r="A122" s="1570" t="s">
        <v>2104</v>
      </c>
      <c r="B122" s="1571">
        <v>209813</v>
      </c>
      <c r="C122" s="1571">
        <v>209813</v>
      </c>
      <c r="D122" s="1571"/>
      <c r="E122" s="1571"/>
      <c r="F122" s="1576"/>
      <c r="G122" s="1578"/>
      <c r="H122" s="1578"/>
      <c r="I122" s="1578"/>
      <c r="J122" s="1578"/>
    </row>
    <row r="123" spans="1:10" x14ac:dyDescent="0.2">
      <c r="A123" s="1570" t="s">
        <v>2105</v>
      </c>
      <c r="B123" s="1571"/>
      <c r="C123" s="1571">
        <v>40717.93</v>
      </c>
      <c r="D123" s="1571"/>
      <c r="E123" s="1571"/>
      <c r="F123" s="1575"/>
      <c r="G123" s="1578"/>
      <c r="H123" s="1578"/>
      <c r="I123" s="1578"/>
      <c r="J123" s="1578"/>
    </row>
    <row r="124" spans="1:10" x14ac:dyDescent="0.2">
      <c r="A124" s="1570" t="s">
        <v>2106</v>
      </c>
      <c r="B124" s="1573">
        <v>417000</v>
      </c>
      <c r="C124" s="1573">
        <v>404365</v>
      </c>
      <c r="D124" s="1573"/>
      <c r="E124" s="1573"/>
      <c r="F124" s="1575"/>
      <c r="G124" s="1585"/>
      <c r="H124" s="1585"/>
      <c r="I124" s="1585"/>
      <c r="J124" s="1585"/>
    </row>
    <row r="125" spans="1:10" x14ac:dyDescent="0.2">
      <c r="A125" s="1570" t="s">
        <v>2107</v>
      </c>
      <c r="B125" s="1573">
        <v>149400</v>
      </c>
      <c r="C125" s="1573">
        <v>120854</v>
      </c>
      <c r="D125" s="1573">
        <v>67857.17</v>
      </c>
      <c r="E125" s="1573"/>
      <c r="F125" s="1575"/>
      <c r="G125" s="1585"/>
      <c r="H125" s="1585"/>
      <c r="I125" s="1585"/>
      <c r="J125" s="1585"/>
    </row>
    <row r="126" spans="1:10" x14ac:dyDescent="0.2">
      <c r="A126" s="1570" t="s">
        <v>2291</v>
      </c>
      <c r="B126" s="1573">
        <v>17500</v>
      </c>
      <c r="C126" s="1573"/>
      <c r="D126" s="1573"/>
      <c r="E126" s="1573"/>
      <c r="F126" s="1575"/>
      <c r="G126" s="1585"/>
      <c r="H126" s="1585"/>
      <c r="I126" s="1585"/>
      <c r="J126" s="1585"/>
    </row>
    <row r="127" spans="1:10" x14ac:dyDescent="0.2">
      <c r="A127" s="1570" t="s">
        <v>2292</v>
      </c>
      <c r="B127" s="1573">
        <v>25500</v>
      </c>
      <c r="C127" s="1573"/>
      <c r="D127" s="1573"/>
      <c r="E127" s="1573"/>
      <c r="F127" s="1575"/>
      <c r="G127" s="1585"/>
      <c r="H127" s="1585"/>
      <c r="I127" s="1585"/>
      <c r="J127" s="1585"/>
    </row>
    <row r="128" spans="1:10" x14ac:dyDescent="0.2">
      <c r="A128" s="1570" t="s">
        <v>2108</v>
      </c>
      <c r="B128" s="1573"/>
      <c r="C128" s="1573"/>
      <c r="D128" s="1573">
        <v>244019.24281067174</v>
      </c>
      <c r="E128" s="1573">
        <v>157992</v>
      </c>
      <c r="F128" s="1575"/>
      <c r="G128" s="1585"/>
      <c r="H128" s="1585"/>
      <c r="I128" s="1588"/>
      <c r="J128" s="1585"/>
    </row>
    <row r="129" spans="1:10" x14ac:dyDescent="0.2">
      <c r="A129" s="1570" t="s">
        <v>2109</v>
      </c>
      <c r="B129" s="1573"/>
      <c r="C129" s="1573"/>
      <c r="D129" s="1573">
        <v>85383.168581444334</v>
      </c>
      <c r="E129" s="1573"/>
      <c r="F129" s="1575"/>
      <c r="G129" s="1585"/>
      <c r="H129" s="1585"/>
      <c r="I129" s="1585"/>
      <c r="J129" s="1585"/>
    </row>
    <row r="130" spans="1:10" x14ac:dyDescent="0.2">
      <c r="A130" s="1570" t="s">
        <v>2110</v>
      </c>
      <c r="B130" s="1573"/>
      <c r="C130" s="1573"/>
      <c r="D130" s="1573"/>
      <c r="E130" s="1573">
        <v>933139</v>
      </c>
      <c r="F130" s="1575"/>
      <c r="G130" s="1585"/>
      <c r="H130" s="1585"/>
      <c r="I130" s="1585"/>
      <c r="J130" s="1585"/>
    </row>
    <row r="131" spans="1:10" x14ac:dyDescent="0.2">
      <c r="A131" s="1570" t="s">
        <v>2111</v>
      </c>
      <c r="B131" s="1573"/>
      <c r="C131" s="1573"/>
      <c r="D131" s="1573"/>
      <c r="E131" s="1573">
        <v>172950</v>
      </c>
      <c r="F131" s="1577">
        <v>155315.01999999999</v>
      </c>
      <c r="G131" s="1585"/>
      <c r="H131" s="1585"/>
      <c r="I131" s="1585"/>
      <c r="J131" s="1585"/>
    </row>
    <row r="132" spans="1:10" x14ac:dyDescent="0.2">
      <c r="A132" s="1570" t="s">
        <v>2112</v>
      </c>
      <c r="B132" s="1573"/>
      <c r="C132" s="1573"/>
      <c r="D132" s="1573"/>
      <c r="E132" s="1573"/>
      <c r="F132" s="1577">
        <v>74548.92</v>
      </c>
      <c r="G132" s="1585"/>
      <c r="H132" s="1585"/>
      <c r="I132" s="1585"/>
      <c r="J132" s="1585"/>
    </row>
    <row r="133" spans="1:10" x14ac:dyDescent="0.2">
      <c r="A133" s="1570" t="s">
        <v>2113</v>
      </c>
      <c r="B133" s="1573"/>
      <c r="C133" s="1573"/>
      <c r="D133" s="1573"/>
      <c r="E133" s="1573"/>
      <c r="F133" s="1575"/>
      <c r="G133" s="1585">
        <v>240000</v>
      </c>
      <c r="H133" s="1585"/>
      <c r="I133" s="1585"/>
      <c r="J133" s="1585">
        <v>240000</v>
      </c>
    </row>
    <row r="134" spans="1:10" x14ac:dyDescent="0.2">
      <c r="A134" s="1570" t="s">
        <v>2114</v>
      </c>
      <c r="B134" s="1573"/>
      <c r="C134" s="1573"/>
      <c r="D134" s="1573"/>
      <c r="E134" s="1573"/>
      <c r="F134" s="1575"/>
      <c r="G134" s="1585">
        <v>90000</v>
      </c>
      <c r="H134" s="1585"/>
      <c r="I134" s="1585"/>
      <c r="J134" s="1585">
        <v>90000</v>
      </c>
    </row>
    <row r="135" spans="1:10" x14ac:dyDescent="0.2">
      <c r="A135" s="1570" t="s">
        <v>2115</v>
      </c>
      <c r="B135" s="1573"/>
      <c r="C135" s="1573"/>
      <c r="D135" s="1573"/>
      <c r="E135" s="1573"/>
      <c r="F135" s="1575"/>
      <c r="G135" s="1585"/>
      <c r="H135" s="1585"/>
      <c r="I135" s="1585">
        <v>65000</v>
      </c>
      <c r="J135" s="1585">
        <v>65000</v>
      </c>
    </row>
    <row r="136" spans="1:10" x14ac:dyDescent="0.2">
      <c r="A136" s="1579" t="s">
        <v>2116</v>
      </c>
      <c r="B136" s="1580">
        <f>SUM(B121:B135)</f>
        <v>925783</v>
      </c>
      <c r="C136" s="1580">
        <f>SUM(C121:C135)</f>
        <v>882319.92999999993</v>
      </c>
      <c r="D136" s="1580">
        <f t="shared" ref="D136:J136" si="10">SUM(D121:D135)</f>
        <v>397259.58139211603</v>
      </c>
      <c r="E136" s="1580">
        <f t="shared" si="10"/>
        <v>1264081</v>
      </c>
      <c r="F136" s="1580">
        <f t="shared" si="10"/>
        <v>229863.94</v>
      </c>
      <c r="G136" s="1580">
        <f t="shared" si="10"/>
        <v>330000</v>
      </c>
      <c r="H136" s="1580">
        <f t="shared" si="10"/>
        <v>0</v>
      </c>
      <c r="I136" s="1580">
        <f>SUM(I121:I135)</f>
        <v>65000</v>
      </c>
      <c r="J136" s="1580">
        <f t="shared" si="10"/>
        <v>395000</v>
      </c>
    </row>
    <row r="137" spans="1:10" x14ac:dyDescent="0.2">
      <c r="A137" s="1579"/>
      <c r="B137" s="1579"/>
      <c r="C137" s="1581"/>
      <c r="D137" s="1581"/>
      <c r="E137" s="1581"/>
      <c r="F137" s="1581"/>
      <c r="G137" s="1581"/>
      <c r="H137" s="1581"/>
      <c r="I137" s="1581"/>
      <c r="J137" s="1581"/>
    </row>
    <row r="138" spans="1:10" x14ac:dyDescent="0.2">
      <c r="A138" s="1579" t="s">
        <v>2117</v>
      </c>
      <c r="B138" s="1579"/>
      <c r="C138" s="1581"/>
      <c r="D138" s="1581"/>
      <c r="E138" s="1581"/>
      <c r="F138" s="1581"/>
      <c r="G138" s="1581"/>
      <c r="H138" s="1581"/>
      <c r="I138" s="1581"/>
      <c r="J138" s="1581"/>
    </row>
    <row r="139" spans="1:10" x14ac:dyDescent="0.2">
      <c r="A139" s="1570" t="s">
        <v>2117</v>
      </c>
      <c r="B139" s="1573">
        <v>124000</v>
      </c>
      <c r="C139" s="1573">
        <f>247071+59712</f>
        <v>306783</v>
      </c>
      <c r="D139" s="1573">
        <f>77428.2+94101.14</f>
        <v>171529.34</v>
      </c>
      <c r="E139" s="1571">
        <f>107546+103750</f>
        <v>211296</v>
      </c>
      <c r="F139" s="1577">
        <f>194260.69+109203.25</f>
        <v>303463.94</v>
      </c>
      <c r="G139" s="1578">
        <v>375000</v>
      </c>
      <c r="H139" s="1578">
        <v>300000</v>
      </c>
      <c r="I139" s="1578">
        <v>500000</v>
      </c>
      <c r="J139" s="1578">
        <v>500000</v>
      </c>
    </row>
    <row r="140" spans="1:10" x14ac:dyDescent="0.2">
      <c r="A140" s="1579" t="s">
        <v>2118</v>
      </c>
      <c r="B140" s="1580">
        <f>+B139</f>
        <v>124000</v>
      </c>
      <c r="C140" s="1580">
        <f>+C139</f>
        <v>306783</v>
      </c>
      <c r="D140" s="1580">
        <f t="shared" ref="D140:J140" si="11">+D139</f>
        <v>171529.34</v>
      </c>
      <c r="E140" s="1580">
        <f t="shared" si="11"/>
        <v>211296</v>
      </c>
      <c r="F140" s="1580">
        <f t="shared" si="11"/>
        <v>303463.94</v>
      </c>
      <c r="G140" s="1580">
        <f t="shared" si="11"/>
        <v>375000</v>
      </c>
      <c r="H140" s="1580">
        <f t="shared" si="11"/>
        <v>300000</v>
      </c>
      <c r="I140" s="1580">
        <f>+I139</f>
        <v>500000</v>
      </c>
      <c r="J140" s="1580">
        <f t="shared" si="11"/>
        <v>500000</v>
      </c>
    </row>
    <row r="141" spans="1:10" x14ac:dyDescent="0.2">
      <c r="A141" s="1579"/>
      <c r="B141" s="1579"/>
      <c r="C141" s="1581"/>
      <c r="D141" s="1581"/>
      <c r="E141" s="1581"/>
      <c r="F141" s="1581"/>
      <c r="G141" s="1581"/>
      <c r="H141" s="1581"/>
      <c r="I141" s="1581"/>
      <c r="J141" s="1581"/>
    </row>
    <row r="142" spans="1:10" x14ac:dyDescent="0.2">
      <c r="A142" s="1579" t="s">
        <v>2119</v>
      </c>
      <c r="B142" s="1579"/>
      <c r="C142" s="1581"/>
      <c r="D142" s="1581"/>
      <c r="E142" s="1581"/>
      <c r="F142" s="1581"/>
      <c r="G142" s="1581"/>
      <c r="H142" s="1581"/>
      <c r="I142" s="1581"/>
      <c r="J142" s="1581"/>
    </row>
    <row r="143" spans="1:10" x14ac:dyDescent="0.2">
      <c r="A143" s="1570" t="s">
        <v>2120</v>
      </c>
      <c r="B143" s="1573">
        <v>0</v>
      </c>
      <c r="C143" s="1573">
        <v>416091</v>
      </c>
      <c r="D143" s="1571">
        <v>206035.67590939297</v>
      </c>
      <c r="E143" s="1571">
        <v>180040</v>
      </c>
      <c r="F143" s="1577">
        <v>355196.61</v>
      </c>
      <c r="G143" s="1578">
        <v>150000</v>
      </c>
      <c r="H143" s="1578">
        <v>135000</v>
      </c>
      <c r="I143" s="1578">
        <v>150000</v>
      </c>
      <c r="J143" s="1578">
        <v>150000</v>
      </c>
    </row>
    <row r="144" spans="1:10" x14ac:dyDescent="0.2">
      <c r="A144" s="1579" t="s">
        <v>2121</v>
      </c>
      <c r="B144" s="1580">
        <f>+B143</f>
        <v>0</v>
      </c>
      <c r="C144" s="1580">
        <f>+C143</f>
        <v>416091</v>
      </c>
      <c r="D144" s="1580">
        <f t="shared" ref="D144:G144" si="12">+D143</f>
        <v>206035.67590939297</v>
      </c>
      <c r="E144" s="1580">
        <f t="shared" si="12"/>
        <v>180040</v>
      </c>
      <c r="F144" s="1580">
        <f t="shared" si="12"/>
        <v>355196.61</v>
      </c>
      <c r="G144" s="1580">
        <f t="shared" si="12"/>
        <v>150000</v>
      </c>
      <c r="H144" s="1580">
        <f t="shared" ref="H144:J144" si="13">+H143</f>
        <v>135000</v>
      </c>
      <c r="I144" s="1580">
        <f>+I143</f>
        <v>150000</v>
      </c>
      <c r="J144" s="1580">
        <f t="shared" si="13"/>
        <v>150000</v>
      </c>
    </row>
    <row r="145" spans="1:10" x14ac:dyDescent="0.2">
      <c r="A145" s="1795" t="s">
        <v>2122</v>
      </c>
      <c r="B145" s="1580">
        <f>+B144+B140+B136+B118</f>
        <v>1999283</v>
      </c>
      <c r="C145" s="1580">
        <f>+C144+C140+C136+C118</f>
        <v>2753188.58</v>
      </c>
      <c r="D145" s="1580">
        <f t="shared" ref="D145:G145" si="14">+D144+D140+D136+D118</f>
        <v>1198163.323263082</v>
      </c>
      <c r="E145" s="1580">
        <f t="shared" si="14"/>
        <v>2517022.94</v>
      </c>
      <c r="F145" s="1580">
        <f t="shared" si="14"/>
        <v>2647116.6100000003</v>
      </c>
      <c r="G145" s="1580">
        <f t="shared" si="14"/>
        <v>2087300</v>
      </c>
      <c r="H145" s="1580">
        <f t="shared" ref="H145:J145" si="15">+H144+H140+H136+H118</f>
        <v>1182889</v>
      </c>
      <c r="I145" s="1580">
        <f>+I144+I140+I136+I118</f>
        <v>1863400</v>
      </c>
      <c r="J145" s="1580">
        <f t="shared" si="15"/>
        <v>2473400</v>
      </c>
    </row>
    <row r="146" spans="1:10" x14ac:dyDescent="0.2">
      <c r="A146" s="1570"/>
      <c r="B146" s="1729"/>
      <c r="C146" s="1573"/>
      <c r="D146" s="1573"/>
      <c r="E146" s="1573"/>
      <c r="F146" s="1575"/>
      <c r="G146" s="1585"/>
      <c r="H146" s="1585"/>
      <c r="I146" s="1585"/>
      <c r="J146" s="1585"/>
    </row>
    <row r="147" spans="1:10" x14ac:dyDescent="0.2">
      <c r="A147" s="1579" t="s">
        <v>897</v>
      </c>
      <c r="B147" s="1567"/>
      <c r="C147" s="1584"/>
      <c r="D147" s="1584"/>
      <c r="E147" s="1584"/>
      <c r="F147" s="1584"/>
      <c r="G147" s="1584"/>
      <c r="H147" s="1584"/>
      <c r="I147" s="1584"/>
      <c r="J147" s="1584"/>
    </row>
    <row r="148" spans="1:10" x14ac:dyDescent="0.2">
      <c r="A148" s="1579" t="s">
        <v>2123</v>
      </c>
      <c r="B148" s="1567"/>
      <c r="C148" s="1584"/>
      <c r="D148" s="1584"/>
      <c r="E148" s="1584"/>
      <c r="F148" s="1584"/>
      <c r="G148" s="1584"/>
      <c r="H148" s="1584"/>
      <c r="I148" s="1584"/>
      <c r="J148" s="1584"/>
    </row>
    <row r="149" spans="1:10" x14ac:dyDescent="0.2">
      <c r="A149" s="1570" t="s">
        <v>2124</v>
      </c>
      <c r="B149" s="1573">
        <v>255000</v>
      </c>
      <c r="C149" s="1573">
        <v>337770</v>
      </c>
      <c r="D149" s="1573"/>
      <c r="E149" s="1573"/>
      <c r="F149" s="1577">
        <v>20899</v>
      </c>
      <c r="G149" s="1585">
        <v>250000</v>
      </c>
      <c r="H149" s="1585">
        <v>189280</v>
      </c>
      <c r="I149" s="1585"/>
      <c r="J149" s="1585"/>
    </row>
    <row r="150" spans="1:10" x14ac:dyDescent="0.2">
      <c r="A150" s="1570" t="s">
        <v>2125</v>
      </c>
      <c r="B150" s="1573"/>
      <c r="C150" s="1573"/>
      <c r="D150" s="1573"/>
      <c r="E150" s="1573"/>
      <c r="F150" s="1577"/>
      <c r="G150" s="1585">
        <v>120000</v>
      </c>
      <c r="H150" s="1585">
        <v>120000</v>
      </c>
      <c r="I150" s="1585">
        <v>120000</v>
      </c>
      <c r="J150" s="1585">
        <v>120000</v>
      </c>
    </row>
    <row r="151" spans="1:10" x14ac:dyDescent="0.2">
      <c r="A151" s="1570" t="s">
        <v>2126</v>
      </c>
      <c r="B151" s="1573"/>
      <c r="C151" s="1573"/>
      <c r="D151" s="1573"/>
      <c r="E151" s="1573"/>
      <c r="F151" s="1577"/>
      <c r="G151" s="1585">
        <v>650000</v>
      </c>
      <c r="H151" s="1585">
        <v>180000</v>
      </c>
      <c r="I151" s="1585">
        <v>650000</v>
      </c>
      <c r="J151" s="1585">
        <v>425000</v>
      </c>
    </row>
    <row r="152" spans="1:10" x14ac:dyDescent="0.2">
      <c r="A152" s="1570" t="s">
        <v>2127</v>
      </c>
      <c r="B152" s="1573"/>
      <c r="C152" s="1573"/>
      <c r="D152" s="1573"/>
      <c r="E152" s="1573"/>
      <c r="F152" s="1577"/>
      <c r="G152" s="1585">
        <v>270000</v>
      </c>
      <c r="H152" s="1585">
        <v>100000</v>
      </c>
      <c r="I152" s="1585"/>
      <c r="J152" s="1585"/>
    </row>
    <row r="153" spans="1:10" x14ac:dyDescent="0.2">
      <c r="A153" s="1570" t="s">
        <v>2128</v>
      </c>
      <c r="B153" s="1589"/>
      <c r="C153" s="1589"/>
      <c r="D153" s="1573"/>
      <c r="E153" s="1573"/>
      <c r="F153" s="1577">
        <v>27227.69</v>
      </c>
      <c r="G153" s="1585"/>
      <c r="H153" s="1585"/>
      <c r="I153" s="1585"/>
      <c r="J153" s="1585"/>
    </row>
    <row r="154" spans="1:10" x14ac:dyDescent="0.2">
      <c r="A154" s="1570" t="s">
        <v>2129</v>
      </c>
      <c r="B154" s="1589"/>
      <c r="C154" s="1589"/>
      <c r="D154" s="1573"/>
      <c r="E154" s="1573"/>
      <c r="F154" s="1575"/>
      <c r="G154" s="1585">
        <v>175000</v>
      </c>
      <c r="H154" s="1585"/>
      <c r="I154" s="1585">
        <v>175000</v>
      </c>
      <c r="J154" s="1585">
        <v>175000</v>
      </c>
    </row>
    <row r="155" spans="1:10" x14ac:dyDescent="0.2">
      <c r="A155" s="1570" t="s">
        <v>2130</v>
      </c>
      <c r="B155" s="1589"/>
      <c r="C155" s="1589"/>
      <c r="D155" s="1573"/>
      <c r="E155" s="1573"/>
      <c r="F155" s="1575"/>
      <c r="G155" s="1585"/>
      <c r="H155" s="1585"/>
      <c r="I155" s="1585">
        <v>194000</v>
      </c>
      <c r="J155" s="1585">
        <v>194000</v>
      </c>
    </row>
    <row r="156" spans="1:10" x14ac:dyDescent="0.2">
      <c r="A156" s="1570" t="s">
        <v>2293</v>
      </c>
      <c r="B156" s="1589">
        <v>19500</v>
      </c>
      <c r="C156" s="1589"/>
      <c r="D156" s="1573"/>
      <c r="E156" s="1573"/>
      <c r="F156" s="1575"/>
      <c r="G156" s="1585"/>
      <c r="H156" s="1585"/>
      <c r="I156" s="1585"/>
      <c r="J156" s="1585"/>
    </row>
    <row r="157" spans="1:10" x14ac:dyDescent="0.2">
      <c r="A157" s="1570" t="s">
        <v>2294</v>
      </c>
      <c r="B157" s="1589">
        <v>36000</v>
      </c>
      <c r="C157" s="1589"/>
      <c r="D157" s="1573"/>
      <c r="E157" s="1573"/>
      <c r="F157" s="1575"/>
      <c r="G157" s="1585"/>
      <c r="H157" s="1585"/>
      <c r="I157" s="1585"/>
      <c r="J157" s="1585"/>
    </row>
    <row r="158" spans="1:10" x14ac:dyDescent="0.2">
      <c r="A158" s="1570" t="s">
        <v>2131</v>
      </c>
      <c r="B158" s="1573"/>
      <c r="C158" s="1573"/>
      <c r="D158" s="1573">
        <v>198191.13561226975</v>
      </c>
      <c r="E158" s="1573"/>
      <c r="F158" s="1575"/>
      <c r="G158" s="1585"/>
      <c r="H158" s="1585"/>
      <c r="I158" s="1585"/>
      <c r="J158" s="1585"/>
    </row>
    <row r="159" spans="1:10" x14ac:dyDescent="0.2">
      <c r="A159" s="1570" t="s">
        <v>2132</v>
      </c>
      <c r="B159" s="1573"/>
      <c r="C159" s="1573"/>
      <c r="D159" s="1573">
        <v>495280.35249850724</v>
      </c>
      <c r="E159" s="1573">
        <v>72984</v>
      </c>
      <c r="F159" s="1575"/>
      <c r="G159" s="1585"/>
      <c r="H159" s="1585"/>
      <c r="I159" s="1585"/>
      <c r="J159" s="1585"/>
    </row>
    <row r="160" spans="1:10" x14ac:dyDescent="0.2">
      <c r="A160" s="1570" t="s">
        <v>2133</v>
      </c>
      <c r="B160" s="1573"/>
      <c r="C160" s="1573"/>
      <c r="D160" s="1573">
        <v>307656.93833853921</v>
      </c>
      <c r="E160" s="1573">
        <v>109655</v>
      </c>
      <c r="F160" s="1575"/>
      <c r="G160" s="1585"/>
      <c r="H160" s="1585"/>
      <c r="I160" s="1585"/>
      <c r="J160" s="1585"/>
    </row>
    <row r="161" spans="1:10" x14ac:dyDescent="0.2">
      <c r="A161" s="1570" t="s">
        <v>2134</v>
      </c>
      <c r="B161" s="1573"/>
      <c r="C161" s="1573"/>
      <c r="D161" s="1573">
        <v>1369813.4110713522</v>
      </c>
      <c r="E161" s="1573">
        <v>39572.74</v>
      </c>
      <c r="F161" s="1575"/>
      <c r="G161" s="1585"/>
      <c r="H161" s="1585"/>
      <c r="I161" s="1585"/>
      <c r="J161" s="1585"/>
    </row>
    <row r="162" spans="1:10" x14ac:dyDescent="0.2">
      <c r="A162" s="1570" t="s">
        <v>2135</v>
      </c>
      <c r="B162" s="1573"/>
      <c r="C162" s="1573"/>
      <c r="D162" s="1573"/>
      <c r="E162" s="1573"/>
      <c r="F162" s="1575"/>
      <c r="G162" s="1590">
        <v>200000</v>
      </c>
      <c r="H162" s="1590">
        <v>272</v>
      </c>
      <c r="I162" s="1585"/>
      <c r="J162" s="1590">
        <v>200000</v>
      </c>
    </row>
    <row r="163" spans="1:10" x14ac:dyDescent="0.2">
      <c r="A163" s="1570" t="s">
        <v>2136</v>
      </c>
      <c r="B163" s="1573"/>
      <c r="C163" s="1573"/>
      <c r="D163" s="1573"/>
      <c r="E163" s="1573"/>
      <c r="F163" s="1575"/>
      <c r="G163" s="1590">
        <v>205900</v>
      </c>
      <c r="H163" s="1590"/>
      <c r="I163" s="1585"/>
      <c r="J163" s="1590">
        <v>205900</v>
      </c>
    </row>
    <row r="164" spans="1:10" x14ac:dyDescent="0.2">
      <c r="A164" s="1570" t="s">
        <v>2137</v>
      </c>
      <c r="B164" s="1573"/>
      <c r="C164" s="1573"/>
      <c r="D164" s="1573"/>
      <c r="E164" s="1573"/>
      <c r="F164" s="1577"/>
      <c r="G164" s="1585">
        <v>300000</v>
      </c>
      <c r="H164" s="1585">
        <v>100000</v>
      </c>
      <c r="I164" s="1585"/>
      <c r="J164" s="1585">
        <v>200000</v>
      </c>
    </row>
    <row r="165" spans="1:10" x14ac:dyDescent="0.2">
      <c r="A165" s="1570" t="s">
        <v>2051</v>
      </c>
      <c r="B165" s="1573">
        <v>49677</v>
      </c>
      <c r="C165" s="1573">
        <f>24486+33105+32629</f>
        <v>90220</v>
      </c>
      <c r="D165" s="1573"/>
      <c r="E165" s="1573">
        <v>231540</v>
      </c>
      <c r="F165" s="1577">
        <v>201106.79</v>
      </c>
      <c r="G165" s="1590"/>
      <c r="H165" s="1590"/>
      <c r="I165" s="1585"/>
      <c r="J165" s="1590"/>
    </row>
    <row r="166" spans="1:10" x14ac:dyDescent="0.2">
      <c r="A166" s="1579" t="s">
        <v>2138</v>
      </c>
      <c r="B166" s="1580">
        <f>SUM(B149:B165)</f>
        <v>360177</v>
      </c>
      <c r="C166" s="1580">
        <f>SUM(C149:C165)</f>
        <v>427990</v>
      </c>
      <c r="D166" s="1580">
        <f t="shared" ref="D166:J166" si="16">SUM(D149:D165)</f>
        <v>2370941.8375206683</v>
      </c>
      <c r="E166" s="1580">
        <f t="shared" si="16"/>
        <v>453751.74</v>
      </c>
      <c r="F166" s="1580">
        <f t="shared" si="16"/>
        <v>249233.48</v>
      </c>
      <c r="G166" s="1580">
        <f t="shared" si="16"/>
        <v>2170900</v>
      </c>
      <c r="H166" s="1580">
        <f t="shared" si="16"/>
        <v>689552</v>
      </c>
      <c r="I166" s="1580">
        <f>SUM(I149:I165)</f>
        <v>1139000</v>
      </c>
      <c r="J166" s="1580">
        <f t="shared" si="16"/>
        <v>1519900</v>
      </c>
    </row>
    <row r="167" spans="1:10" x14ac:dyDescent="0.2">
      <c r="A167" s="1570"/>
      <c r="B167" s="1729"/>
      <c r="C167" s="1573"/>
      <c r="D167" s="1573"/>
      <c r="E167" s="1573"/>
      <c r="F167" s="1575"/>
      <c r="G167" s="1585"/>
      <c r="H167" s="1585"/>
      <c r="I167" s="1585"/>
      <c r="J167" s="1585"/>
    </row>
    <row r="168" spans="1:10" x14ac:dyDescent="0.2">
      <c r="A168" s="1579" t="s">
        <v>2139</v>
      </c>
      <c r="B168" s="1579"/>
      <c r="C168" s="1573"/>
      <c r="D168" s="1573"/>
      <c r="E168" s="1573"/>
      <c r="F168" s="1575"/>
      <c r="G168" s="1585"/>
      <c r="H168" s="1585"/>
      <c r="I168" s="1585"/>
      <c r="J168" s="1585"/>
    </row>
    <row r="169" spans="1:10" x14ac:dyDescent="0.2">
      <c r="A169" s="1570" t="s">
        <v>2140</v>
      </c>
      <c r="B169" s="1573">
        <v>65500</v>
      </c>
      <c r="C169" s="1573"/>
      <c r="D169" s="1573">
        <v>15479.749265679349</v>
      </c>
      <c r="E169" s="1573">
        <v>184235</v>
      </c>
      <c r="F169" s="1575"/>
      <c r="G169" s="1585"/>
      <c r="H169" s="1585"/>
      <c r="I169" s="1585"/>
      <c r="J169" s="1585"/>
    </row>
    <row r="170" spans="1:10" x14ac:dyDescent="0.2">
      <c r="A170" s="1570" t="s">
        <v>2141</v>
      </c>
      <c r="B170" s="1573"/>
      <c r="C170" s="1573"/>
      <c r="D170" s="1573"/>
      <c r="E170" s="1573"/>
      <c r="F170" s="1577">
        <f>263640.49+56</f>
        <v>263696.49</v>
      </c>
      <c r="G170" s="1585"/>
      <c r="H170" s="1585"/>
      <c r="I170" s="1585"/>
      <c r="J170" s="1585"/>
    </row>
    <row r="171" spans="1:10" x14ac:dyDescent="0.2">
      <c r="A171" s="1579" t="s">
        <v>2142</v>
      </c>
      <c r="B171" s="1580">
        <f>SUM(B169:B170)</f>
        <v>65500</v>
      </c>
      <c r="C171" s="1580">
        <f>SUM(C169:C170)</f>
        <v>0</v>
      </c>
      <c r="D171" s="1580">
        <f t="shared" ref="D171:G171" si="17">SUM(D169:D170)</f>
        <v>15479.749265679349</v>
      </c>
      <c r="E171" s="1580">
        <f t="shared" si="17"/>
        <v>184235</v>
      </c>
      <c r="F171" s="1580">
        <f t="shared" si="17"/>
        <v>263696.49</v>
      </c>
      <c r="G171" s="1580">
        <f t="shared" si="17"/>
        <v>0</v>
      </c>
      <c r="H171" s="1580">
        <f t="shared" ref="H171:J171" si="18">SUM(H169:H170)</f>
        <v>0</v>
      </c>
      <c r="I171" s="1580">
        <f>SUM(I169:I170)</f>
        <v>0</v>
      </c>
      <c r="J171" s="1580">
        <f t="shared" si="18"/>
        <v>0</v>
      </c>
    </row>
    <row r="172" spans="1:10" x14ac:dyDescent="0.2">
      <c r="A172" s="1795" t="s">
        <v>2143</v>
      </c>
      <c r="B172" s="1580">
        <f>+B171+B166</f>
        <v>425677</v>
      </c>
      <c r="C172" s="1580">
        <f>+C171+C166</f>
        <v>427990</v>
      </c>
      <c r="D172" s="1580">
        <f t="shared" ref="D172:G172" si="19">+D171+D166</f>
        <v>2386421.5867863474</v>
      </c>
      <c r="E172" s="1580">
        <f t="shared" si="19"/>
        <v>637986.74</v>
      </c>
      <c r="F172" s="1580">
        <f t="shared" si="19"/>
        <v>512929.97</v>
      </c>
      <c r="G172" s="1580">
        <f t="shared" si="19"/>
        <v>2170900</v>
      </c>
      <c r="H172" s="1580">
        <f t="shared" ref="H172:J172" si="20">+H171+H166</f>
        <v>689552</v>
      </c>
      <c r="I172" s="1580">
        <f>+I171+I166</f>
        <v>1139000</v>
      </c>
      <c r="J172" s="1580">
        <f t="shared" si="20"/>
        <v>1519900</v>
      </c>
    </row>
    <row r="173" spans="1:10" x14ac:dyDescent="0.2">
      <c r="A173" s="1570"/>
      <c r="B173" s="1729"/>
      <c r="C173" s="1573"/>
      <c r="D173" s="1573"/>
      <c r="E173" s="1573"/>
      <c r="F173" s="1575"/>
      <c r="G173" s="1585"/>
      <c r="H173" s="1585"/>
      <c r="I173" s="1585"/>
      <c r="J173" s="1585"/>
    </row>
    <row r="174" spans="1:10" x14ac:dyDescent="0.2">
      <c r="A174" s="1579" t="s">
        <v>898</v>
      </c>
      <c r="B174" s="1567"/>
      <c r="C174" s="1584"/>
      <c r="D174" s="1584"/>
      <c r="E174" s="1584"/>
      <c r="F174" s="1584"/>
      <c r="G174" s="1584"/>
      <c r="H174" s="1584"/>
      <c r="I174" s="1584"/>
      <c r="J174" s="1584"/>
    </row>
    <row r="175" spans="1:10" x14ac:dyDescent="0.2">
      <c r="A175" s="1570" t="s">
        <v>2144</v>
      </c>
      <c r="B175" s="1573"/>
      <c r="C175" s="1573"/>
      <c r="D175" s="1573"/>
      <c r="E175" s="1573"/>
      <c r="F175" s="1575"/>
      <c r="G175" s="1585"/>
      <c r="H175" s="1585"/>
      <c r="I175" s="1585"/>
      <c r="J175" s="1585"/>
    </row>
    <row r="176" spans="1:10" x14ac:dyDescent="0.2">
      <c r="A176" s="1570" t="s">
        <v>2145</v>
      </c>
      <c r="B176" s="1573"/>
      <c r="C176" s="1573"/>
      <c r="D176" s="1573"/>
      <c r="E176" s="1573">
        <v>61300</v>
      </c>
      <c r="F176" s="1573"/>
      <c r="G176" s="1585"/>
      <c r="H176" s="1585"/>
      <c r="I176" s="1585"/>
      <c r="J176" s="1585"/>
    </row>
    <row r="177" spans="1:10" x14ac:dyDescent="0.2">
      <c r="A177" s="1570" t="s">
        <v>2146</v>
      </c>
      <c r="B177" s="1573">
        <v>210000</v>
      </c>
      <c r="C177" s="1573">
        <v>107668</v>
      </c>
      <c r="D177" s="1573"/>
      <c r="E177" s="1573">
        <f>183251.03-61300</f>
        <v>121951.03</v>
      </c>
      <c r="F177" s="1573">
        <v>142392</v>
      </c>
      <c r="G177" s="1585">
        <v>174000</v>
      </c>
      <c r="H177" s="1585">
        <v>291170</v>
      </c>
      <c r="I177" s="1585">
        <v>50000</v>
      </c>
      <c r="J177" s="1585">
        <v>80000</v>
      </c>
    </row>
    <row r="178" spans="1:10" x14ac:dyDescent="0.2">
      <c r="A178" s="1570" t="s">
        <v>2147</v>
      </c>
      <c r="B178" s="1573">
        <v>201000</v>
      </c>
      <c r="C178" s="1573"/>
      <c r="D178" s="1573">
        <v>56629</v>
      </c>
      <c r="E178" s="1573">
        <v>137423</v>
      </c>
      <c r="F178" s="1573">
        <v>98237</v>
      </c>
      <c r="G178" s="1585">
        <v>80000</v>
      </c>
      <c r="H178" s="1585">
        <v>106393</v>
      </c>
      <c r="I178" s="1585">
        <v>83000</v>
      </c>
      <c r="J178" s="1585">
        <v>98000</v>
      </c>
    </row>
    <row r="179" spans="1:10" x14ac:dyDescent="0.2">
      <c r="A179" s="1570" t="s">
        <v>2148</v>
      </c>
      <c r="B179" s="1573">
        <v>200000</v>
      </c>
      <c r="C179" s="1573"/>
      <c r="D179" s="1573">
        <v>194604</v>
      </c>
      <c r="E179" s="1573"/>
      <c r="F179" s="1573">
        <v>28833</v>
      </c>
      <c r="G179" s="1585"/>
      <c r="H179" s="1585"/>
      <c r="I179" s="1585"/>
      <c r="J179" s="1585"/>
    </row>
    <row r="180" spans="1:10" x14ac:dyDescent="0.2">
      <c r="A180" s="1570" t="s">
        <v>2149</v>
      </c>
      <c r="B180" s="1573"/>
      <c r="C180" s="1573">
        <v>58011</v>
      </c>
      <c r="D180" s="1573"/>
      <c r="E180" s="1573"/>
      <c r="F180" s="1573"/>
      <c r="G180" s="1585"/>
      <c r="H180" s="1585">
        <v>28232</v>
      </c>
      <c r="I180" s="1585"/>
      <c r="J180" s="1585">
        <v>29500</v>
      </c>
    </row>
    <row r="181" spans="1:10" x14ac:dyDescent="0.2">
      <c r="A181" s="1570" t="s">
        <v>380</v>
      </c>
      <c r="B181" s="1573">
        <v>10000</v>
      </c>
      <c r="C181" s="1573"/>
      <c r="D181" s="1573"/>
      <c r="E181" s="1573">
        <v>56545</v>
      </c>
      <c r="F181" s="1573"/>
      <c r="G181" s="1585">
        <v>117032</v>
      </c>
      <c r="H181" s="1585">
        <v>78146</v>
      </c>
      <c r="I181" s="1585">
        <v>68000</v>
      </c>
      <c r="J181" s="1585">
        <v>43680</v>
      </c>
    </row>
    <row r="182" spans="1:10" x14ac:dyDescent="0.2">
      <c r="A182" s="1570" t="s">
        <v>2150</v>
      </c>
      <c r="B182" s="1573">
        <v>5000</v>
      </c>
      <c r="C182" s="1573"/>
      <c r="D182" s="1573"/>
      <c r="E182" s="1573"/>
      <c r="F182" s="1573"/>
      <c r="G182" s="1585">
        <v>500000</v>
      </c>
      <c r="H182" s="1585">
        <v>400000</v>
      </c>
      <c r="I182" s="1585"/>
      <c r="J182" s="1585"/>
    </row>
    <row r="183" spans="1:10" x14ac:dyDescent="0.2">
      <c r="A183" s="1570" t="s">
        <v>379</v>
      </c>
      <c r="B183" s="1573">
        <v>210000</v>
      </c>
      <c r="C183" s="1573">
        <v>131195</v>
      </c>
      <c r="D183" s="1573"/>
      <c r="E183" s="1573">
        <v>380175</v>
      </c>
      <c r="F183" s="1573">
        <v>540373</v>
      </c>
      <c r="G183" s="1585">
        <v>530000</v>
      </c>
      <c r="H183" s="1585">
        <v>440677</v>
      </c>
      <c r="I183" s="1585">
        <v>510000</v>
      </c>
      <c r="J183" s="1585">
        <v>645000</v>
      </c>
    </row>
    <row r="184" spans="1:10" x14ac:dyDescent="0.2">
      <c r="A184" s="1570" t="s">
        <v>2151</v>
      </c>
      <c r="B184" s="1573"/>
      <c r="C184" s="1573"/>
      <c r="D184" s="1573"/>
      <c r="E184" s="1573"/>
      <c r="F184" s="1573"/>
      <c r="G184" s="1585"/>
      <c r="H184" s="1585"/>
      <c r="I184" s="1585"/>
      <c r="J184" s="1585"/>
    </row>
    <row r="185" spans="1:10" x14ac:dyDescent="0.2">
      <c r="A185" s="1570" t="s">
        <v>2152</v>
      </c>
      <c r="B185" s="1573"/>
      <c r="C185" s="1573"/>
      <c r="D185" s="1573"/>
      <c r="E185" s="1573"/>
      <c r="F185" s="1573">
        <v>4040000</v>
      </c>
      <c r="G185" s="1585"/>
      <c r="H185" s="1585"/>
      <c r="I185" s="1585"/>
      <c r="J185" s="1585"/>
    </row>
    <row r="186" spans="1:10" x14ac:dyDescent="0.2">
      <c r="A186" s="1570" t="s">
        <v>2153</v>
      </c>
      <c r="B186" s="1573"/>
      <c r="C186" s="1573"/>
      <c r="D186" s="1573"/>
      <c r="E186" s="1573"/>
      <c r="F186" s="1573"/>
      <c r="G186" s="1585">
        <f>7500000+3000000</f>
        <v>10500000</v>
      </c>
      <c r="H186" s="1585">
        <v>10460000</v>
      </c>
      <c r="I186" s="1585"/>
      <c r="J186" s="1585"/>
    </row>
    <row r="187" spans="1:10" x14ac:dyDescent="0.2">
      <c r="A187" s="1570" t="s">
        <v>2154</v>
      </c>
      <c r="B187" s="1573"/>
      <c r="C187" s="1573"/>
      <c r="D187" s="1573"/>
      <c r="E187" s="1573"/>
      <c r="F187" s="1573">
        <v>27973</v>
      </c>
      <c r="G187" s="1585"/>
      <c r="H187" s="1585"/>
      <c r="I187" s="1585"/>
      <c r="J187" s="1585"/>
    </row>
    <row r="188" spans="1:10" x14ac:dyDescent="0.2">
      <c r="A188" s="1570" t="s">
        <v>2155</v>
      </c>
      <c r="B188" s="1573"/>
      <c r="C188" s="1573">
        <v>75755</v>
      </c>
      <c r="D188" s="1573">
        <v>64229</v>
      </c>
      <c r="E188" s="1573"/>
      <c r="F188" s="1573"/>
      <c r="G188" s="1585"/>
      <c r="H188" s="1585"/>
      <c r="I188" s="1585"/>
      <c r="J188" s="1585"/>
    </row>
    <row r="189" spans="1:10" x14ac:dyDescent="0.2">
      <c r="A189" s="1570" t="s">
        <v>2156</v>
      </c>
      <c r="B189" s="1573"/>
      <c r="C189" s="1573"/>
      <c r="D189" s="1573"/>
      <c r="E189" s="1573">
        <v>122349</v>
      </c>
      <c r="F189" s="1573"/>
      <c r="G189" s="1585"/>
      <c r="H189" s="1585"/>
      <c r="I189" s="1585"/>
      <c r="J189" s="1585"/>
    </row>
    <row r="190" spans="1:10" x14ac:dyDescent="0.2">
      <c r="A190" s="1570" t="s">
        <v>2100</v>
      </c>
      <c r="B190" s="1573">
        <v>2500</v>
      </c>
      <c r="C190" s="1573">
        <f>5241+9228+14336+45448+53049-9</f>
        <v>127293</v>
      </c>
      <c r="D190" s="1573">
        <f>57327-29815</f>
        <v>27512</v>
      </c>
      <c r="E190" s="1573"/>
      <c r="F190" s="1573">
        <v>18243</v>
      </c>
      <c r="G190" s="1585">
        <v>9500</v>
      </c>
      <c r="H190" s="1585"/>
      <c r="I190" s="1585">
        <v>9500</v>
      </c>
      <c r="J190" s="1585"/>
    </row>
    <row r="191" spans="1:10" x14ac:dyDescent="0.2">
      <c r="A191" s="1795" t="s">
        <v>2157</v>
      </c>
      <c r="B191" s="1580">
        <f>SUM(B175:B190)</f>
        <v>838500</v>
      </c>
      <c r="C191" s="1580">
        <f>SUM(C175:C190)</f>
        <v>499922</v>
      </c>
      <c r="D191" s="1580">
        <f t="shared" ref="D191:J191" si="21">SUM(D175:D190)</f>
        <v>342974</v>
      </c>
      <c r="E191" s="1580">
        <f t="shared" si="21"/>
        <v>879743.03</v>
      </c>
      <c r="F191" s="1580">
        <f t="shared" si="21"/>
        <v>4896051</v>
      </c>
      <c r="G191" s="1580">
        <f t="shared" si="21"/>
        <v>11910532</v>
      </c>
      <c r="H191" s="1580">
        <f t="shared" si="21"/>
        <v>11804618</v>
      </c>
      <c r="I191" s="1580">
        <f>SUM(I175:I190)</f>
        <v>720500</v>
      </c>
      <c r="J191" s="1580">
        <f t="shared" si="21"/>
        <v>896180</v>
      </c>
    </row>
    <row r="192" spans="1:10" x14ac:dyDescent="0.2">
      <c r="A192" s="1570"/>
      <c r="B192" s="1573"/>
      <c r="C192" s="1573"/>
      <c r="D192" s="1573"/>
      <c r="E192" s="1573"/>
      <c r="F192" s="1575"/>
      <c r="G192" s="1585"/>
      <c r="H192" s="1585"/>
      <c r="I192" s="1585"/>
      <c r="J192" s="1585"/>
    </row>
    <row r="193" spans="1:10" x14ac:dyDescent="0.2">
      <c r="A193" s="1579" t="s">
        <v>2158</v>
      </c>
      <c r="B193" s="1584"/>
      <c r="C193" s="1584"/>
      <c r="D193" s="1584"/>
      <c r="E193" s="1584"/>
      <c r="F193" s="1584"/>
      <c r="G193" s="1584"/>
      <c r="H193" s="1584"/>
      <c r="I193" s="1584"/>
      <c r="J193" s="1584"/>
    </row>
    <row r="194" spans="1:10" x14ac:dyDescent="0.2">
      <c r="A194" s="1570" t="s">
        <v>2159</v>
      </c>
      <c r="B194" s="1573">
        <v>-3794938</v>
      </c>
      <c r="C194" s="1573">
        <v>-1927637</v>
      </c>
      <c r="D194" s="1573">
        <v>-3857151</v>
      </c>
      <c r="E194" s="1573">
        <v>-3155364.21</v>
      </c>
      <c r="F194" s="1573">
        <v>-4855574.71</v>
      </c>
      <c r="G194" s="1585">
        <v>-2773720</v>
      </c>
      <c r="H194" s="1585">
        <v>-1179035</v>
      </c>
      <c r="I194" s="1585">
        <v>-3280000</v>
      </c>
      <c r="J194" s="1585">
        <v>-3808361</v>
      </c>
    </row>
    <row r="195" spans="1:10" x14ac:dyDescent="0.2">
      <c r="A195" s="1579" t="s">
        <v>2160</v>
      </c>
      <c r="B195" s="1580">
        <f>SUM(B194)</f>
        <v>-3794938</v>
      </c>
      <c r="C195" s="1580">
        <f>SUM(C194)</f>
        <v>-1927637</v>
      </c>
      <c r="D195" s="1580">
        <f t="shared" ref="D195:J195" si="22">SUM(D194)</f>
        <v>-3857151</v>
      </c>
      <c r="E195" s="1580">
        <f t="shared" si="22"/>
        <v>-3155364.21</v>
      </c>
      <c r="F195" s="1580">
        <f t="shared" si="22"/>
        <v>-4855574.71</v>
      </c>
      <c r="G195" s="1580">
        <f t="shared" si="22"/>
        <v>-2773720</v>
      </c>
      <c r="H195" s="1580">
        <f t="shared" si="22"/>
        <v>-1179035</v>
      </c>
      <c r="I195" s="1580">
        <f>SUM(I194)</f>
        <v>-3280000</v>
      </c>
      <c r="J195" s="1580">
        <f t="shared" si="22"/>
        <v>-3808361</v>
      </c>
    </row>
    <row r="196" spans="1:10" x14ac:dyDescent="0.2">
      <c r="A196" s="1586"/>
      <c r="B196" s="1574"/>
      <c r="C196" s="1574"/>
      <c r="D196" s="1574"/>
      <c r="E196" s="1574"/>
      <c r="F196" s="1574"/>
      <c r="G196" s="1574"/>
      <c r="H196" s="1574"/>
      <c r="I196" s="1574"/>
      <c r="J196" s="1574"/>
    </row>
    <row r="197" spans="1:10" ht="13.5" thickBot="1" x14ac:dyDescent="0.25">
      <c r="A197" s="1591" t="s">
        <v>267</v>
      </c>
      <c r="B197" s="1572">
        <v>0</v>
      </c>
      <c r="C197" s="1572">
        <v>0</v>
      </c>
      <c r="D197" s="1572">
        <v>0</v>
      </c>
      <c r="E197" s="1572">
        <v>0</v>
      </c>
      <c r="F197" s="1572">
        <v>0</v>
      </c>
      <c r="G197" s="1572">
        <v>0</v>
      </c>
      <c r="H197" s="1572"/>
      <c r="I197" s="1572">
        <v>0</v>
      </c>
      <c r="J197" s="1572"/>
    </row>
    <row r="198" spans="1:10" ht="14.25" thickTop="1" thickBot="1" x14ac:dyDescent="0.25">
      <c r="A198" s="1592" t="s">
        <v>388</v>
      </c>
      <c r="B198" s="1593">
        <f>+B195+B191+B172+B145+B81</f>
        <v>7877466</v>
      </c>
      <c r="C198" s="1593">
        <f>+C195+C191+C172+C145+C81</f>
        <v>7323898.1100000003</v>
      </c>
      <c r="D198" s="1593">
        <f t="shared" ref="D198:J198" si="23">+D195+D191+D172+D145+D81</f>
        <v>7701535.0036439495</v>
      </c>
      <c r="E198" s="1593">
        <f t="shared" si="23"/>
        <v>5537618.1100000003</v>
      </c>
      <c r="F198" s="1593">
        <f t="shared" si="23"/>
        <v>10390890.810000001</v>
      </c>
      <c r="G198" s="1593">
        <f t="shared" si="23"/>
        <v>18946752</v>
      </c>
      <c r="H198" s="1593">
        <f t="shared" si="23"/>
        <v>16853552</v>
      </c>
      <c r="I198" s="1593">
        <f>+I195+I191+I172+I145+I81</f>
        <v>8349413</v>
      </c>
      <c r="J198" s="1593">
        <f t="shared" si="23"/>
        <v>8148732</v>
      </c>
    </row>
    <row r="199" spans="1:10" ht="26.25" thickBot="1" x14ac:dyDescent="0.25">
      <c r="A199" s="1594" t="s">
        <v>2161</v>
      </c>
      <c r="B199" s="1572"/>
      <c r="C199" s="1572"/>
      <c r="D199" s="1572"/>
      <c r="E199" s="1572"/>
      <c r="F199" s="1572"/>
      <c r="G199" s="1572"/>
      <c r="H199" s="1572"/>
      <c r="I199" s="1572"/>
      <c r="J199" s="1572"/>
    </row>
    <row r="200" spans="1:10" ht="14.25" thickTop="1" thickBot="1" x14ac:dyDescent="0.25">
      <c r="A200" s="1595" t="s">
        <v>388</v>
      </c>
      <c r="B200" s="1593">
        <f t="shared" ref="B200:J200" si="24">B198+B199</f>
        <v>7877466</v>
      </c>
      <c r="C200" s="1593">
        <f t="shared" si="24"/>
        <v>7323898.1100000003</v>
      </c>
      <c r="D200" s="1593">
        <f t="shared" si="24"/>
        <v>7701535.0036439495</v>
      </c>
      <c r="E200" s="1593">
        <f t="shared" si="24"/>
        <v>5537618.1100000003</v>
      </c>
      <c r="F200" s="1593">
        <f t="shared" si="24"/>
        <v>10390890.810000001</v>
      </c>
      <c r="G200" s="1593">
        <f t="shared" si="24"/>
        <v>18946752</v>
      </c>
      <c r="H200" s="1593">
        <f t="shared" si="24"/>
        <v>16853552</v>
      </c>
      <c r="I200" s="1593">
        <f>I198+I199</f>
        <v>8349413</v>
      </c>
      <c r="J200" s="1593">
        <f t="shared" si="24"/>
        <v>8148732</v>
      </c>
    </row>
    <row r="202" spans="1:10" x14ac:dyDescent="0.2">
      <c r="F202" s="1734"/>
      <c r="G202" s="1734"/>
      <c r="H202" s="1734"/>
    </row>
    <row r="204" spans="1:10" x14ac:dyDescent="0.2">
      <c r="A204" s="1596" t="s">
        <v>13</v>
      </c>
      <c r="B204" s="1596"/>
      <c r="H204" s="13"/>
    </row>
    <row r="206" spans="1:10" ht="27.75" customHeight="1" x14ac:dyDescent="0.2">
      <c r="A206" s="1945" t="s">
        <v>618</v>
      </c>
      <c r="B206" s="1945"/>
      <c r="C206" s="1945"/>
      <c r="D206" s="1945"/>
      <c r="E206" s="1945"/>
      <c r="F206" s="1945"/>
      <c r="G206" s="1945"/>
      <c r="H206" s="1945"/>
      <c r="I206" s="1945"/>
    </row>
    <row r="207" spans="1:10" ht="33" customHeight="1" x14ac:dyDescent="0.2">
      <c r="A207" s="1945" t="s">
        <v>1562</v>
      </c>
      <c r="B207" s="1945"/>
      <c r="C207" s="1945"/>
      <c r="D207" s="1945"/>
      <c r="E207" s="1945"/>
      <c r="F207" s="1945"/>
      <c r="G207" s="1945"/>
      <c r="H207" s="1945"/>
      <c r="I207" s="1945"/>
      <c r="J207" s="1597"/>
    </row>
    <row r="208" spans="1:10" ht="27" customHeight="1" x14ac:dyDescent="0.2">
      <c r="A208" s="1945"/>
      <c r="B208" s="1945"/>
      <c r="C208" s="1945"/>
      <c r="D208" s="1945"/>
      <c r="E208" s="1945"/>
      <c r="F208" s="1945"/>
      <c r="G208" s="1945"/>
      <c r="H208" s="1945"/>
      <c r="I208" s="1945"/>
    </row>
    <row r="210" spans="1:10" x14ac:dyDescent="0.2">
      <c r="A210" s="1944"/>
      <c r="B210" s="1944"/>
      <c r="C210" s="1944"/>
      <c r="D210" s="1944"/>
      <c r="E210" s="1944"/>
      <c r="F210" s="1944"/>
      <c r="G210" s="1944"/>
      <c r="H210" s="1944"/>
      <c r="I210" s="1944"/>
      <c r="J210" s="1944"/>
    </row>
    <row r="211" spans="1:10" x14ac:dyDescent="0.2">
      <c r="A211" s="1944"/>
      <c r="B211" s="1944"/>
      <c r="C211" s="1944"/>
      <c r="D211" s="1944"/>
      <c r="E211" s="1944"/>
      <c r="F211" s="1944"/>
      <c r="G211" s="1944"/>
      <c r="H211" s="1944"/>
      <c r="I211" s="1944"/>
      <c r="J211" s="1944"/>
    </row>
    <row r="213" spans="1:10" x14ac:dyDescent="0.2">
      <c r="A213" s="3"/>
      <c r="B213" s="3"/>
    </row>
  </sheetData>
  <mergeCells count="6">
    <mergeCell ref="A210:J211"/>
    <mergeCell ref="A206:I206"/>
    <mergeCell ref="A207:I207"/>
    <mergeCell ref="A208:I208"/>
    <mergeCell ref="A9:H9"/>
    <mergeCell ref="A10:H10"/>
  </mergeCells>
  <phoneticPr fontId="17" type="noConversion"/>
  <dataValidations disablePrompts="1" count="1">
    <dataValidation type="list" allowBlank="1" showInputMessage="1" showErrorMessage="1" sqref="B14:J14">
      <formula1>"CGAAP, MIFRS, USGAAP, ASPE"</formula1>
    </dataValidation>
  </dataValidations>
  <pageMargins left="0.23622047244094491" right="0.23622047244094491" top="0.74803149606299213" bottom="0.74803149606299213" header="0.31496062992125984" footer="0.31496062992125984"/>
  <pageSetup scale="84" fitToHeight="4"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31"/>
  <sheetViews>
    <sheetView showGridLines="0" zoomScaleNormal="100" workbookViewId="0"/>
  </sheetViews>
  <sheetFormatPr defaultRowHeight="12.75" x14ac:dyDescent="0.2"/>
  <cols>
    <col min="1" max="1" width="23.85546875" style="61" customWidth="1"/>
    <col min="2" max="2" width="12.7109375" style="61" customWidth="1"/>
    <col min="3" max="4" width="11.7109375" style="61" customWidth="1"/>
    <col min="5" max="5" width="13.7109375" style="61" customWidth="1"/>
    <col min="6" max="7" width="12.7109375" style="61" customWidth="1"/>
    <col min="8" max="8" width="13" style="61" customWidth="1"/>
    <col min="9" max="10" width="10.7109375" style="61" customWidth="1"/>
    <col min="11" max="11" width="15.5703125" style="61" customWidth="1"/>
    <col min="12" max="12" width="0.85546875" style="61" customWidth="1"/>
    <col min="13" max="16" width="13.5703125" style="61" customWidth="1"/>
    <col min="17" max="16384" width="9.140625" style="61"/>
  </cols>
  <sheetData>
    <row r="1" spans="1:16" x14ac:dyDescent="0.2">
      <c r="O1" s="252" t="s">
        <v>394</v>
      </c>
      <c r="P1" s="1513" t="str">
        <f>EBNUMBER</f>
        <v>EB-2015-0089</v>
      </c>
    </row>
    <row r="2" spans="1:16" x14ac:dyDescent="0.2">
      <c r="O2" s="252" t="s">
        <v>395</v>
      </c>
      <c r="P2" s="254">
        <v>8</v>
      </c>
    </row>
    <row r="3" spans="1:16" x14ac:dyDescent="0.2">
      <c r="O3" s="252" t="s">
        <v>396</v>
      </c>
      <c r="P3" s="254" t="s">
        <v>2456</v>
      </c>
    </row>
    <row r="4" spans="1:16" x14ac:dyDescent="0.2">
      <c r="O4" s="252" t="s">
        <v>397</v>
      </c>
      <c r="P4" s="254" t="s">
        <v>2425</v>
      </c>
    </row>
    <row r="5" spans="1:16" x14ac:dyDescent="0.2">
      <c r="O5" s="252" t="s">
        <v>398</v>
      </c>
      <c r="P5" s="255">
        <v>15</v>
      </c>
    </row>
    <row r="6" spans="1:16" x14ac:dyDescent="0.2">
      <c r="O6" s="252"/>
      <c r="P6" s="253"/>
    </row>
    <row r="7" spans="1:16" x14ac:dyDescent="0.2">
      <c r="A7" s="1185"/>
      <c r="O7" s="252" t="s">
        <v>399</v>
      </c>
      <c r="P7" s="1836" t="s">
        <v>2455</v>
      </c>
    </row>
    <row r="9" spans="1:16" ht="18" x14ac:dyDescent="0.25">
      <c r="A9" s="1940" t="s">
        <v>38</v>
      </c>
      <c r="B9" s="1940"/>
      <c r="C9" s="1940"/>
      <c r="D9" s="1940"/>
      <c r="E9" s="1940"/>
      <c r="F9" s="1940"/>
      <c r="G9" s="1940"/>
      <c r="H9" s="1940"/>
      <c r="I9" s="1940"/>
      <c r="J9" s="1940"/>
      <c r="K9" s="1940"/>
      <c r="L9" s="1940"/>
      <c r="M9" s="1940"/>
      <c r="N9" s="1940"/>
      <c r="O9" s="1940"/>
      <c r="P9" s="1940"/>
    </row>
    <row r="10" spans="1:16" ht="18" x14ac:dyDescent="0.25">
      <c r="A10" s="1940" t="s">
        <v>2452</v>
      </c>
      <c r="B10" s="1940"/>
      <c r="C10" s="1940"/>
      <c r="D10" s="1940"/>
      <c r="E10" s="1940"/>
      <c r="F10" s="1940"/>
      <c r="G10" s="1940"/>
      <c r="H10" s="1940"/>
      <c r="I10" s="1940"/>
      <c r="J10" s="1940"/>
      <c r="K10" s="1940"/>
      <c r="L10" s="1940"/>
      <c r="M10" s="1940"/>
      <c r="N10" s="1940"/>
      <c r="O10" s="1940"/>
      <c r="P10" s="1940"/>
    </row>
    <row r="11" spans="1:16" ht="13.5" thickBot="1" x14ac:dyDescent="0.25"/>
    <row r="12" spans="1:16" ht="13.5" customHeight="1" thickBot="1" x14ac:dyDescent="0.25">
      <c r="A12" s="2433" t="s">
        <v>99</v>
      </c>
      <c r="B12" s="2421" t="s">
        <v>100</v>
      </c>
      <c r="C12" s="2425" t="s">
        <v>101</v>
      </c>
      <c r="D12" s="2426"/>
      <c r="E12" s="2427"/>
      <c r="F12" s="2423" t="s">
        <v>102</v>
      </c>
      <c r="G12" s="2424"/>
      <c r="H12" s="2432" t="s">
        <v>103</v>
      </c>
      <c r="I12" s="2423"/>
      <c r="J12" s="2424"/>
      <c r="K12" s="2421" t="s">
        <v>104</v>
      </c>
      <c r="L12" s="1815"/>
      <c r="M12" s="2421" t="s">
        <v>270</v>
      </c>
      <c r="N12" s="2421" t="s">
        <v>105</v>
      </c>
      <c r="O12" s="2421" t="s">
        <v>388</v>
      </c>
      <c r="P12" s="2428" t="s">
        <v>106</v>
      </c>
    </row>
    <row r="13" spans="1:16" ht="39" thickBot="1" x14ac:dyDescent="0.25">
      <c r="A13" s="2433"/>
      <c r="B13" s="2422"/>
      <c r="C13" s="1816" t="s">
        <v>107</v>
      </c>
      <c r="D13" s="1816" t="s">
        <v>108</v>
      </c>
      <c r="E13" s="1817" t="s">
        <v>109</v>
      </c>
      <c r="F13" s="1817" t="s">
        <v>110</v>
      </c>
      <c r="G13" s="1818" t="s">
        <v>111</v>
      </c>
      <c r="H13" s="1816" t="s">
        <v>24</v>
      </c>
      <c r="I13" s="2430" t="s">
        <v>112</v>
      </c>
      <c r="J13" s="2431"/>
      <c r="K13" s="2422"/>
      <c r="L13" s="1819"/>
      <c r="M13" s="2422"/>
      <c r="N13" s="2422"/>
      <c r="O13" s="2422"/>
      <c r="P13" s="2429"/>
    </row>
    <row r="14" spans="1:16" x14ac:dyDescent="0.2">
      <c r="A14" s="1292"/>
      <c r="B14" s="1292"/>
      <c r="C14" s="1292"/>
      <c r="D14" s="1292"/>
      <c r="E14" s="1292"/>
      <c r="F14" s="1292"/>
      <c r="G14" s="1293"/>
      <c r="H14" s="1292"/>
      <c r="I14" s="1294"/>
      <c r="J14" s="1294"/>
      <c r="K14" s="1295"/>
      <c r="L14" s="1296"/>
      <c r="M14" s="1295"/>
      <c r="N14" s="1295"/>
      <c r="O14" s="1295"/>
      <c r="P14" s="1293"/>
    </row>
    <row r="15" spans="1:16" x14ac:dyDescent="0.2">
      <c r="A15" s="1297" t="s">
        <v>113</v>
      </c>
      <c r="B15" s="1298" t="s">
        <v>1945</v>
      </c>
      <c r="C15" s="1299">
        <f>+'App.2-IA_Act_Frcst_Data'!F16</f>
        <v>33001</v>
      </c>
      <c r="D15" s="1299">
        <f>+'App.2-IA_Act_Frcst_Data'!G16</f>
        <v>34501</v>
      </c>
      <c r="E15" s="1906">
        <f t="shared" ref="E15:E22" si="0">IF(SUM(C15:D15)=0,0,AVERAGE(C15:D15))</f>
        <v>33751</v>
      </c>
      <c r="F15" s="1299">
        <f>+'App.2-IA_Act_Frcst_Data'!G17</f>
        <v>311504507.10565919</v>
      </c>
      <c r="G15" s="1300"/>
      <c r="H15" s="1907">
        <f>+'[21]Rates By Rate Class'!$D$8</f>
        <v>18.61</v>
      </c>
      <c r="I15" s="1301">
        <f>+'[21]Rates By Rate Class'!$E$8</f>
        <v>1.0999999999999999E-2</v>
      </c>
      <c r="J15" s="1301"/>
      <c r="K15" s="1302">
        <f>H15*E15*12+I15*F15+J15*G15</f>
        <v>10963822.898162251</v>
      </c>
      <c r="L15" s="1296"/>
      <c r="M15" s="1303">
        <f>+'[21]Rates By Rate Class'!B8</f>
        <v>10962581.267557979</v>
      </c>
      <c r="N15" s="1303"/>
      <c r="O15" s="1304">
        <f t="shared" ref="O15:O22" si="1">SUM(M15:N15)</f>
        <v>10962581.267557979</v>
      </c>
      <c r="P15" s="1305">
        <f t="shared" ref="P15:P22" si="2">O15-K15</f>
        <v>-1241.6306042727083</v>
      </c>
    </row>
    <row r="16" spans="1:16" x14ac:dyDescent="0.2">
      <c r="A16" s="1297" t="s">
        <v>114</v>
      </c>
      <c r="B16" s="1298" t="s">
        <v>1945</v>
      </c>
      <c r="C16" s="1299">
        <f>+'App.2-IA_Act_Frcst_Data'!E25</f>
        <v>2544</v>
      </c>
      <c r="D16" s="1299">
        <f>+'App.2-IA_Act_Frcst_Data'!F25</f>
        <v>2574</v>
      </c>
      <c r="E16" s="1906">
        <f t="shared" si="0"/>
        <v>2559</v>
      </c>
      <c r="F16" s="1299">
        <f>+'App.2-IA_Act_Frcst_Data'!G26</f>
        <v>91412831.730080053</v>
      </c>
      <c r="G16" s="1300"/>
      <c r="H16" s="1907">
        <f>+'[21]Rates By Rate Class'!$D$9</f>
        <v>16.506275542539452</v>
      </c>
      <c r="I16" s="1301">
        <f>+'[21]Rates By Rate Class'!$E$9</f>
        <v>1.7406617844859786E-2</v>
      </c>
      <c r="J16" s="1301"/>
      <c r="K16" s="1302">
        <f t="shared" ref="K16:K22" si="3">H16*E16*12+I16*F16+J16*G16</f>
        <v>2098062.9374022777</v>
      </c>
      <c r="L16" s="1296"/>
      <c r="M16" s="1303">
        <f>+'[21]Rates By Rate Class'!B9</f>
        <v>2107773.6321178004</v>
      </c>
      <c r="N16" s="1303"/>
      <c r="O16" s="1304">
        <f t="shared" si="1"/>
        <v>2107773.6321178004</v>
      </c>
      <c r="P16" s="1305">
        <f t="shared" si="2"/>
        <v>9710.6947155226953</v>
      </c>
    </row>
    <row r="17" spans="1:16" x14ac:dyDescent="0.2">
      <c r="A17" s="1796" t="s">
        <v>2343</v>
      </c>
      <c r="B17" s="1298" t="s">
        <v>1945</v>
      </c>
      <c r="C17" s="1299">
        <f>+'App.2-IA_Act_Frcst_Data'!F34</f>
        <v>293</v>
      </c>
      <c r="D17" s="1299">
        <f>+'App.2-IA_Act_Frcst_Data'!G34</f>
        <v>301.93278392268166</v>
      </c>
      <c r="E17" s="1906">
        <f t="shared" si="0"/>
        <v>297.46639196134083</v>
      </c>
      <c r="F17" s="1299"/>
      <c r="G17" s="1300">
        <f>+'App.2-IA_Act_Frcst_Data'!G36</f>
        <v>555651.28348282422</v>
      </c>
      <c r="H17" s="1907">
        <f>+'[21]Rates By Rate Class'!$D$10</f>
        <v>77.98</v>
      </c>
      <c r="I17" s="1301"/>
      <c r="J17" s="1301">
        <f>+'[21]Rates By Rate Class'!$E$10</f>
        <v>3.0099963876941223</v>
      </c>
      <c r="K17" s="1302">
        <f t="shared" si="3"/>
        <v>1950865.5070426478</v>
      </c>
      <c r="L17" s="1296"/>
      <c r="M17" s="1303">
        <f>+'[21]Rates By Rate Class'!B10</f>
        <v>1896274.227450914</v>
      </c>
      <c r="N17" s="1303">
        <f>+'[21]Rates By Rate Class'!$H$10</f>
        <v>54591.279591733932</v>
      </c>
      <c r="O17" s="1304">
        <f t="shared" si="1"/>
        <v>1950865.5070426478</v>
      </c>
      <c r="P17" s="1305">
        <f t="shared" si="2"/>
        <v>0</v>
      </c>
    </row>
    <row r="18" spans="1:16" x14ac:dyDescent="0.2">
      <c r="A18" s="1796" t="s">
        <v>2344</v>
      </c>
      <c r="B18" s="1298" t="s">
        <v>1945</v>
      </c>
      <c r="C18" s="1299">
        <f>+'App.2-IA_Act_Frcst_Data'!F43</f>
        <v>13</v>
      </c>
      <c r="D18" s="1299">
        <f>+'App.2-IA_Act_Frcst_Data'!G43</f>
        <v>13</v>
      </c>
      <c r="E18" s="1906">
        <f t="shared" si="0"/>
        <v>13</v>
      </c>
      <c r="F18" s="1299"/>
      <c r="G18" s="1300">
        <f>+'App.2-IA_Act_Frcst_Data'!G45</f>
        <v>245808.10482149263</v>
      </c>
      <c r="H18" s="1907">
        <f>+'[21]Rates By Rate Class'!$D$11</f>
        <v>612.06758430541402</v>
      </c>
      <c r="I18" s="1301"/>
      <c r="J18" s="1301">
        <f>+'[21]Rates By Rate Class'!$E$11</f>
        <v>2.1082127647567956</v>
      </c>
      <c r="K18" s="1302">
        <f t="shared" si="3"/>
        <v>613698.32741699181</v>
      </c>
      <c r="L18" s="1296"/>
      <c r="M18" s="1303">
        <f>+'[21]Rates By Rate Class'!B11</f>
        <v>477715.51849307591</v>
      </c>
      <c r="N18" s="1303">
        <f>+'[21]Rates By Rate Class'!$H$11</f>
        <v>135982.80892391581</v>
      </c>
      <c r="O18" s="1304">
        <f t="shared" si="1"/>
        <v>613698.3274169917</v>
      </c>
      <c r="P18" s="1305">
        <f t="shared" si="2"/>
        <v>0</v>
      </c>
    </row>
    <row r="19" spans="1:16" x14ac:dyDescent="0.2">
      <c r="A19" s="1297" t="s">
        <v>115</v>
      </c>
      <c r="B19" s="1298" t="s">
        <v>1945</v>
      </c>
      <c r="C19" s="1299">
        <f>+'App.2-IA_Act_Frcst_Data'!F52</f>
        <v>3</v>
      </c>
      <c r="D19" s="1299">
        <f>+'App.2-IA_Act_Frcst_Data'!G52</f>
        <v>3</v>
      </c>
      <c r="E19" s="1906">
        <f t="shared" si="0"/>
        <v>3</v>
      </c>
      <c r="F19" s="1299"/>
      <c r="G19" s="1300">
        <f>+'App.2-IA_Act_Frcst_Data'!G54</f>
        <v>260162.16410264492</v>
      </c>
      <c r="H19" s="1907">
        <f>+'[21]Rates By Rate Class'!$D$12</f>
        <v>2443.7474808507045</v>
      </c>
      <c r="I19" s="1301"/>
      <c r="J19" s="1301">
        <f>+'[21]Rates By Rate Class'!$E$12</f>
        <v>1.4630222001732529</v>
      </c>
      <c r="K19" s="1302">
        <f t="shared" si="3"/>
        <v>468597.9310379118</v>
      </c>
      <c r="L19" s="1296"/>
      <c r="M19" s="1303">
        <f>+'[21]Rates By Rate Class'!B12</f>
        <v>468597.9310379118</v>
      </c>
      <c r="N19" s="1303"/>
      <c r="O19" s="1304">
        <f t="shared" si="1"/>
        <v>468597.9310379118</v>
      </c>
      <c r="P19" s="1305">
        <f t="shared" si="2"/>
        <v>0</v>
      </c>
    </row>
    <row r="20" spans="1:16" x14ac:dyDescent="0.2">
      <c r="A20" s="1297" t="s">
        <v>116</v>
      </c>
      <c r="B20" s="1298" t="s">
        <v>2342</v>
      </c>
      <c r="C20" s="1299">
        <f>+'App.2-IA_Act_Frcst_Data'!F61</f>
        <v>3164.614044620675</v>
      </c>
      <c r="D20" s="1299">
        <f>+'App.2-IA_Act_Frcst_Data'!G61</f>
        <v>3233.7042464999763</v>
      </c>
      <c r="E20" s="1906">
        <f t="shared" si="0"/>
        <v>3199.1591455603257</v>
      </c>
      <c r="F20" s="1299"/>
      <c r="G20" s="1300">
        <f>+'App.2-IA_Act_Frcst_Data'!G63</f>
        <v>23290.889535479138</v>
      </c>
      <c r="H20" s="1907">
        <f>+'[21]Rates By Rate Class'!$D$14</f>
        <v>2.4044428291719795</v>
      </c>
      <c r="I20" s="1301"/>
      <c r="J20" s="1301">
        <f>+'[21]Rates By Rate Class'!$E$14</f>
        <v>10.526509268301446</v>
      </c>
      <c r="K20" s="1302">
        <f t="shared" si="3"/>
        <v>337478.1077652761</v>
      </c>
      <c r="L20" s="1296"/>
      <c r="M20" s="1303">
        <f>+'[21]Rates By Rate Class'!$B$14</f>
        <v>337478.1077652761</v>
      </c>
      <c r="N20" s="1303"/>
      <c r="O20" s="1304">
        <f t="shared" si="1"/>
        <v>337478.1077652761</v>
      </c>
      <c r="P20" s="1305">
        <f t="shared" si="2"/>
        <v>0</v>
      </c>
    </row>
    <row r="21" spans="1:16" x14ac:dyDescent="0.2">
      <c r="A21" s="1297" t="s">
        <v>117</v>
      </c>
      <c r="B21" s="1298" t="s">
        <v>2342</v>
      </c>
      <c r="C21" s="1299">
        <f>+'App.2-IA_Act_Frcst_Data'!F70</f>
        <v>246.56251236299744</v>
      </c>
      <c r="D21" s="1299">
        <f>+'App.2-IA_Act_Frcst_Data'!G70</f>
        <v>242.20347610658669</v>
      </c>
      <c r="E21" s="1906">
        <f t="shared" si="0"/>
        <v>244.38299423479208</v>
      </c>
      <c r="F21" s="1299"/>
      <c r="G21" s="1300">
        <f>+'App.2-IA_Act_Frcst_Data'!G72</f>
        <v>403.86488874638457</v>
      </c>
      <c r="H21" s="1907">
        <f>+'[21]Rates By Rate Class'!$D$13</f>
        <v>3.4411865619120316</v>
      </c>
      <c r="I21" s="1301"/>
      <c r="J21" s="1301">
        <f>+'[21]Rates By Rate Class'!$E$13</f>
        <v>26.149619167754238</v>
      </c>
      <c r="K21" s="1302">
        <f t="shared" si="3"/>
        <v>20652.522744592494</v>
      </c>
      <c r="L21" s="1296"/>
      <c r="M21" s="1303">
        <f>+'[21]Rates By Rate Class'!$B$13</f>
        <v>20652.522744592494</v>
      </c>
      <c r="N21" s="1303"/>
      <c r="O21" s="1304">
        <f t="shared" si="1"/>
        <v>20652.522744592494</v>
      </c>
      <c r="P21" s="1305">
        <f t="shared" si="2"/>
        <v>0</v>
      </c>
    </row>
    <row r="22" spans="1:16" ht="13.5" thickBot="1" x14ac:dyDescent="0.25">
      <c r="A22" s="1297" t="s">
        <v>118</v>
      </c>
      <c r="B22" s="1298" t="s">
        <v>2342</v>
      </c>
      <c r="C22" s="1299">
        <f>+'App.2-IA_Act_Frcst_Data'!F79</f>
        <v>178</v>
      </c>
      <c r="D22" s="1299">
        <f>+'App.2-IA_Act_Frcst_Data'!G79</f>
        <v>178</v>
      </c>
      <c r="E22" s="1906">
        <f t="shared" si="0"/>
        <v>178</v>
      </c>
      <c r="F22" s="1299">
        <f>+'App.2-IA_Act_Frcst_Data'!G80</f>
        <v>1096422.73</v>
      </c>
      <c r="G22" s="1300"/>
      <c r="H22" s="1907">
        <f>+'[21]Rates By Rate Class'!$D$15</f>
        <v>7.8629894402642497</v>
      </c>
      <c r="I22" s="1301">
        <f>+'[21]Rates By Rate Class'!$E$15</f>
        <v>1.6606313576130603E-2</v>
      </c>
      <c r="J22" s="1301"/>
      <c r="K22" s="1302">
        <f t="shared" si="3"/>
        <v>35002.885110781615</v>
      </c>
      <c r="L22" s="1296"/>
      <c r="M22" s="1303">
        <f>+'[21]Rates By Rate Class'!$B$15</f>
        <v>35002.885110781615</v>
      </c>
      <c r="N22" s="1303"/>
      <c r="O22" s="1304">
        <f t="shared" si="1"/>
        <v>35002.885110781615</v>
      </c>
      <c r="P22" s="1305">
        <f t="shared" si="2"/>
        <v>0</v>
      </c>
    </row>
    <row r="23" spans="1:16" ht="13.5" thickTop="1" x14ac:dyDescent="0.2">
      <c r="A23" s="1292"/>
      <c r="B23" s="1292"/>
      <c r="C23" s="1292"/>
      <c r="D23" s="1292"/>
      <c r="E23" s="1292"/>
      <c r="F23" s="1292"/>
      <c r="G23" s="1293"/>
      <c r="H23" s="1292"/>
      <c r="I23" s="1292"/>
      <c r="J23" s="1292"/>
      <c r="K23" s="1306"/>
      <c r="L23" s="1296"/>
      <c r="M23" s="1307"/>
      <c r="N23" s="1307"/>
      <c r="O23" s="1292"/>
      <c r="P23" s="1293"/>
    </row>
    <row r="24" spans="1:16" ht="13.5" thickBot="1" x14ac:dyDescent="0.25">
      <c r="A24" s="1243" t="s">
        <v>388</v>
      </c>
      <c r="B24" s="1308"/>
      <c r="C24" s="1308"/>
      <c r="D24" s="1308"/>
      <c r="E24" s="1308"/>
      <c r="F24" s="1308"/>
      <c r="G24" s="1309"/>
      <c r="H24" s="1308"/>
      <c r="I24" s="1308"/>
      <c r="J24" s="1308"/>
      <c r="K24" s="1310">
        <f>SUM(K15:K22)</f>
        <v>16488181.116682732</v>
      </c>
      <c r="L24" s="1311"/>
      <c r="M24" s="1312">
        <f>SUM(M15:M22)</f>
        <v>16306076.092278333</v>
      </c>
      <c r="N24" s="1312">
        <f>SUM(N15:N22)</f>
        <v>190574.08851564975</v>
      </c>
      <c r="O24" s="1312">
        <f>M24+N24</f>
        <v>16496650.180793984</v>
      </c>
      <c r="P24" s="1313">
        <f>O24-K24</f>
        <v>8469.064111251384</v>
      </c>
    </row>
    <row r="26" spans="1:16" x14ac:dyDescent="0.2">
      <c r="A26" s="1314" t="s">
        <v>122</v>
      </c>
      <c r="B26" s="1490"/>
      <c r="C26" s="1490"/>
      <c r="D26" s="1490"/>
      <c r="E26" s="1490"/>
      <c r="F26" s="1490"/>
      <c r="G26" s="1490"/>
      <c r="H26" s="1490"/>
      <c r="I26" s="1490"/>
      <c r="J26" s="1490"/>
      <c r="K26" s="1490"/>
    </row>
    <row r="27" spans="1:16" x14ac:dyDescent="0.2">
      <c r="A27" s="1490"/>
      <c r="B27" s="1490"/>
      <c r="C27" s="1490"/>
      <c r="D27" s="1490"/>
      <c r="E27" s="1490"/>
      <c r="F27" s="1490"/>
      <c r="G27" s="1490"/>
      <c r="H27" s="1490"/>
      <c r="I27" s="1490"/>
      <c r="J27" s="1490"/>
      <c r="K27" s="1490"/>
    </row>
    <row r="28" spans="1:16" x14ac:dyDescent="0.2">
      <c r="A28" s="2186" t="s">
        <v>1502</v>
      </c>
      <c r="B28" s="2186"/>
      <c r="C28" s="2186"/>
      <c r="D28" s="2186"/>
      <c r="E28" s="2186"/>
      <c r="F28" s="2186"/>
      <c r="G28" s="2186"/>
      <c r="H28" s="2186"/>
      <c r="I28" s="2186"/>
      <c r="J28" s="2186"/>
      <c r="K28" s="2186"/>
      <c r="L28" s="2186"/>
      <c r="M28" s="2186"/>
      <c r="N28" s="2186"/>
    </row>
    <row r="29" spans="1:16" x14ac:dyDescent="0.2">
      <c r="A29" s="2186"/>
      <c r="B29" s="2186"/>
      <c r="C29" s="2186"/>
      <c r="D29" s="2186"/>
      <c r="E29" s="2186"/>
      <c r="F29" s="2186"/>
      <c r="G29" s="2186"/>
      <c r="H29" s="2186"/>
      <c r="I29" s="2186"/>
      <c r="J29" s="2186"/>
      <c r="K29" s="2186"/>
      <c r="L29" s="2186"/>
      <c r="M29" s="2186"/>
      <c r="N29" s="2186"/>
    </row>
    <row r="30" spans="1:16" x14ac:dyDescent="0.2">
      <c r="A30" s="2186" t="s">
        <v>1501</v>
      </c>
      <c r="B30" s="2186"/>
      <c r="C30" s="2186"/>
      <c r="D30" s="2186"/>
      <c r="E30" s="2186"/>
      <c r="F30" s="2186"/>
      <c r="G30" s="2186"/>
      <c r="H30" s="2186"/>
      <c r="I30" s="2186"/>
      <c r="J30" s="2186"/>
      <c r="K30" s="2186"/>
      <c r="L30" s="2186"/>
      <c r="M30" s="2186"/>
      <c r="N30" s="2186"/>
    </row>
    <row r="31" spans="1:16" x14ac:dyDescent="0.2">
      <c r="A31" s="2186"/>
      <c r="B31" s="2186"/>
      <c r="C31" s="2186"/>
      <c r="D31" s="2186"/>
      <c r="E31" s="2186"/>
      <c r="F31" s="2186"/>
      <c r="G31" s="2186"/>
      <c r="H31" s="2186"/>
      <c r="I31" s="2186"/>
      <c r="J31" s="2186"/>
      <c r="K31" s="2186"/>
      <c r="L31" s="2186"/>
      <c r="M31" s="2186"/>
      <c r="N31" s="2186"/>
    </row>
  </sheetData>
  <mergeCells count="15">
    <mergeCell ref="A30:N31"/>
    <mergeCell ref="A28:N29"/>
    <mergeCell ref="A9:P9"/>
    <mergeCell ref="K12:K13"/>
    <mergeCell ref="A10:P10"/>
    <mergeCell ref="F12:G12"/>
    <mergeCell ref="C12:E12"/>
    <mergeCell ref="M12:M13"/>
    <mergeCell ref="N12:N13"/>
    <mergeCell ref="O12:O13"/>
    <mergeCell ref="P12:P13"/>
    <mergeCell ref="B12:B13"/>
    <mergeCell ref="I13:J13"/>
    <mergeCell ref="H12:J12"/>
    <mergeCell ref="A12:A13"/>
  </mergeCells>
  <phoneticPr fontId="17" type="noConversion"/>
  <dataValidations count="1">
    <dataValidation type="list" allowBlank="1" showInputMessage="1" showErrorMessage="1" sqref="B15:B22">
      <formula1>"Customers, Connections"</formula1>
    </dataValidation>
  </dataValidations>
  <pageMargins left="0.75" right="0.75" top="1" bottom="1" header="0.5" footer="0.5"/>
  <pageSetup scale="61" orientation="landscape" r:id="rId1"/>
  <headerFooter alignWithMargins="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1:V635"/>
  <sheetViews>
    <sheetView showGridLines="0" topLeftCell="C1" zoomScaleNormal="100" workbookViewId="0"/>
  </sheetViews>
  <sheetFormatPr defaultRowHeight="12.75" x14ac:dyDescent="0.2"/>
  <cols>
    <col min="1" max="1" width="15.28515625" style="140" hidden="1" customWidth="1"/>
    <col min="2" max="2" width="9.140625" style="140" hidden="1" customWidth="1"/>
    <col min="3" max="3" width="3.28515625" style="140" customWidth="1"/>
    <col min="4" max="4" width="34.7109375" style="140" customWidth="1"/>
    <col min="5" max="5" width="13.140625" style="140" customWidth="1"/>
    <col min="6" max="6" width="12.28515625" style="140" customWidth="1"/>
    <col min="7" max="7" width="11.5703125" style="140" customWidth="1"/>
    <col min="8" max="8" width="18.140625" style="140" customWidth="1"/>
    <col min="9" max="9" width="13.140625" style="140" customWidth="1"/>
    <col min="10" max="10" width="13.42578125" style="140" customWidth="1"/>
    <col min="11" max="11" width="13.5703125" style="140" customWidth="1"/>
    <col min="12" max="12" width="13.28515625" style="140" customWidth="1"/>
    <col min="13" max="13" width="13.7109375" style="140" customWidth="1"/>
    <col min="14" max="14" width="17.7109375" style="140" customWidth="1"/>
    <col min="15" max="15" width="10.85546875" style="140" bestFit="1" customWidth="1"/>
    <col min="16" max="16" width="3.85546875" style="140" customWidth="1"/>
    <col min="17" max="17" width="9.140625" style="140"/>
    <col min="18" max="18" width="0" style="140" hidden="1" customWidth="1"/>
    <col min="19" max="21" width="9.140625" style="140" hidden="1" customWidth="1"/>
    <col min="22" max="27" width="0" style="140" hidden="1" customWidth="1"/>
    <col min="28" max="16384" width="9.140625" style="140"/>
  </cols>
  <sheetData>
    <row r="1" spans="3:22" s="133" customFormat="1" ht="15" customHeight="1" x14ac:dyDescent="0.2">
      <c r="C1" s="131"/>
      <c r="D1" s="131"/>
      <c r="E1" s="131"/>
      <c r="F1" s="131"/>
      <c r="G1" s="131"/>
      <c r="H1" s="131"/>
      <c r="I1" s="131"/>
      <c r="J1" s="131"/>
      <c r="K1" s="131"/>
      <c r="L1" s="32" t="s">
        <v>394</v>
      </c>
      <c r="M1" s="132" t="str">
        <f>EBNUMBER</f>
        <v>EB-2015-0089</v>
      </c>
      <c r="P1" s="31"/>
      <c r="R1" s="134"/>
      <c r="S1" s="134"/>
      <c r="T1" s="134">
        <v>1</v>
      </c>
      <c r="U1" s="134"/>
      <c r="V1" s="134"/>
    </row>
    <row r="2" spans="3:22" s="133" customFormat="1" ht="15" customHeight="1" x14ac:dyDescent="0.25">
      <c r="C2" s="135"/>
      <c r="D2" s="135"/>
      <c r="E2" s="135"/>
      <c r="F2" s="135"/>
      <c r="G2" s="135"/>
      <c r="H2" s="135"/>
      <c r="I2" s="135"/>
      <c r="J2" s="135"/>
      <c r="K2" s="135"/>
      <c r="L2" s="32" t="s">
        <v>395</v>
      </c>
      <c r="M2" s="136">
        <v>1</v>
      </c>
      <c r="P2" s="31"/>
      <c r="R2" s="134"/>
      <c r="S2" s="134"/>
      <c r="T2" s="134"/>
      <c r="U2" s="134"/>
      <c r="V2" s="134"/>
    </row>
    <row r="3" spans="3:22" s="133" customFormat="1" ht="15" customHeight="1" x14ac:dyDescent="0.25">
      <c r="C3" s="2437"/>
      <c r="D3" s="2437"/>
      <c r="E3" s="2437"/>
      <c r="F3" s="2437"/>
      <c r="G3" s="2437"/>
      <c r="H3" s="2437"/>
      <c r="I3" s="2437"/>
      <c r="J3" s="2437"/>
      <c r="K3" s="2437"/>
      <c r="L3" s="32" t="s">
        <v>396</v>
      </c>
      <c r="M3" s="136" t="s">
        <v>2456</v>
      </c>
      <c r="P3" s="31"/>
      <c r="R3" s="134"/>
      <c r="S3" s="134"/>
      <c r="T3" s="134"/>
      <c r="U3" s="134"/>
      <c r="V3" s="134"/>
    </row>
    <row r="4" spans="3:22" s="133" customFormat="1" ht="15" customHeight="1" x14ac:dyDescent="0.25">
      <c r="C4" s="135"/>
      <c r="D4" s="135"/>
      <c r="E4" s="135"/>
      <c r="F4" s="135"/>
      <c r="G4" s="135"/>
      <c r="H4" s="135"/>
      <c r="I4" s="137"/>
      <c r="J4" s="137"/>
      <c r="K4" s="137"/>
      <c r="L4" s="32" t="s">
        <v>397</v>
      </c>
      <c r="M4" s="136" t="s">
        <v>2400</v>
      </c>
      <c r="P4" s="31"/>
      <c r="R4" s="134"/>
      <c r="S4" s="134"/>
      <c r="T4" s="134"/>
      <c r="U4" s="134"/>
      <c r="V4" s="134"/>
    </row>
    <row r="5" spans="3:22" s="133" customFormat="1" ht="15" customHeight="1" x14ac:dyDescent="0.25">
      <c r="E5" s="138"/>
      <c r="L5" s="32" t="s">
        <v>398</v>
      </c>
      <c r="M5" s="139">
        <v>55</v>
      </c>
      <c r="P5" s="31"/>
      <c r="R5" s="134"/>
      <c r="S5" s="134"/>
      <c r="T5" s="134"/>
      <c r="U5" s="134"/>
      <c r="V5" s="134"/>
    </row>
    <row r="6" spans="3:22" s="133" customFormat="1" ht="9" customHeight="1" x14ac:dyDescent="0.2">
      <c r="L6" s="32"/>
      <c r="M6" s="132"/>
      <c r="P6" s="31"/>
      <c r="R6" s="134"/>
      <c r="S6" s="134"/>
      <c r="T6" s="134"/>
      <c r="U6" s="134"/>
      <c r="V6" s="134"/>
    </row>
    <row r="7" spans="3:22" s="133" customFormat="1" x14ac:dyDescent="0.2">
      <c r="L7" s="32" t="s">
        <v>399</v>
      </c>
      <c r="M7" s="1904" t="s">
        <v>2455</v>
      </c>
      <c r="P7" s="31"/>
      <c r="R7" s="134"/>
      <c r="S7" s="134"/>
      <c r="T7" s="134"/>
      <c r="U7" s="134"/>
      <c r="V7" s="134"/>
    </row>
    <row r="8" spans="3:22" s="133" customFormat="1" ht="15" customHeight="1" x14ac:dyDescent="0.2">
      <c r="N8" s="31"/>
      <c r="O8" s="31"/>
      <c r="P8" s="31"/>
      <c r="R8" s="134"/>
      <c r="S8" s="134"/>
      <c r="T8" s="134"/>
      <c r="U8" s="134"/>
      <c r="V8" s="134"/>
    </row>
    <row r="9" spans="3:22" s="31" customFormat="1" ht="7.5" customHeight="1" x14ac:dyDescent="0.2">
      <c r="R9" s="140"/>
      <c r="S9" s="140"/>
      <c r="T9" s="140"/>
      <c r="U9" s="140"/>
      <c r="V9" s="140"/>
    </row>
    <row r="10" spans="3:22" s="31" customFormat="1" ht="18.75" customHeight="1" x14ac:dyDescent="0.25">
      <c r="D10" s="2438" t="s">
        <v>559</v>
      </c>
      <c r="E10" s="2438"/>
      <c r="F10" s="2438"/>
      <c r="G10" s="2438"/>
      <c r="H10" s="2438"/>
      <c r="I10" s="2438"/>
      <c r="J10" s="2438"/>
      <c r="K10" s="2438"/>
      <c r="L10" s="2438"/>
      <c r="M10" s="2438"/>
      <c r="N10" s="141"/>
      <c r="O10" s="141"/>
      <c r="R10" s="140"/>
      <c r="S10" s="140"/>
      <c r="T10" s="140"/>
      <c r="U10" s="140"/>
      <c r="V10" s="140"/>
    </row>
    <row r="11" spans="3:22" s="31" customFormat="1" ht="18.75" customHeight="1" x14ac:dyDescent="0.25">
      <c r="D11" s="2438" t="s">
        <v>59</v>
      </c>
      <c r="E11" s="2438"/>
      <c r="F11" s="2438"/>
      <c r="G11" s="2438"/>
      <c r="H11" s="2438"/>
      <c r="I11" s="2438"/>
      <c r="J11" s="2438"/>
      <c r="K11" s="2438"/>
      <c r="L11" s="2438"/>
      <c r="M11" s="2438"/>
      <c r="N11" s="2438"/>
      <c r="O11" s="2438"/>
      <c r="R11" s="140"/>
      <c r="S11" s="140"/>
      <c r="T11" s="140"/>
      <c r="U11" s="140"/>
      <c r="V11" s="140"/>
    </row>
    <row r="12" spans="3:22" s="31" customFormat="1" ht="186.75" customHeight="1" x14ac:dyDescent="0.2">
      <c r="D12" s="2439" t="s">
        <v>1938</v>
      </c>
      <c r="E12" s="2439"/>
      <c r="F12" s="2439"/>
      <c r="G12" s="2439"/>
      <c r="H12" s="2439"/>
      <c r="I12" s="2439"/>
      <c r="J12" s="2439"/>
      <c r="K12" s="2439"/>
      <c r="L12" s="2439"/>
      <c r="M12" s="2439"/>
      <c r="R12" s="140"/>
      <c r="S12" s="140"/>
      <c r="T12" s="140"/>
      <c r="U12" s="140"/>
      <c r="V12" s="140"/>
    </row>
    <row r="13" spans="3:22" s="31" customFormat="1" ht="15.75" customHeight="1" x14ac:dyDescent="0.2">
      <c r="C13" s="142"/>
      <c r="D13" s="31" t="s">
        <v>806</v>
      </c>
      <c r="R13" s="140"/>
      <c r="S13" s="140"/>
      <c r="T13" s="140"/>
      <c r="U13" s="140"/>
      <c r="V13" s="140"/>
    </row>
    <row r="14" spans="3:22" s="31" customFormat="1" x14ac:dyDescent="0.2">
      <c r="R14" s="140"/>
      <c r="S14" s="140"/>
      <c r="T14" s="140"/>
      <c r="U14" s="140"/>
      <c r="V14" s="140"/>
    </row>
    <row r="15" spans="3:22" s="31" customFormat="1" ht="27.75" hidden="1" customHeight="1" x14ac:dyDescent="0.2">
      <c r="R15" s="140"/>
      <c r="S15" s="140"/>
      <c r="T15" s="140"/>
      <c r="U15" s="140"/>
      <c r="V15" s="140"/>
    </row>
    <row r="16" spans="3:22" s="31" customFormat="1" hidden="1" x14ac:dyDescent="0.2">
      <c r="R16" s="140"/>
      <c r="S16" s="140"/>
      <c r="T16" s="140"/>
      <c r="U16" s="140"/>
      <c r="V16" s="140"/>
    </row>
    <row r="17" spans="3:22" s="31" customFormat="1" hidden="1" x14ac:dyDescent="0.2">
      <c r="R17" s="140"/>
      <c r="S17" s="140"/>
      <c r="T17" s="140"/>
      <c r="U17" s="140"/>
      <c r="V17" s="140"/>
    </row>
    <row r="18" spans="3:22" s="31" customFormat="1" hidden="1" x14ac:dyDescent="0.2">
      <c r="C18" s="143"/>
      <c r="R18" s="140"/>
      <c r="S18" s="140"/>
      <c r="T18" s="140"/>
      <c r="U18" s="140"/>
      <c r="V18" s="140"/>
    </row>
    <row r="19" spans="3:22" s="31" customFormat="1" hidden="1" x14ac:dyDescent="0.2">
      <c r="C19" s="143"/>
      <c r="R19" s="140"/>
      <c r="S19" s="140"/>
      <c r="T19" s="140"/>
      <c r="U19" s="140"/>
      <c r="V19" s="140"/>
    </row>
    <row r="20" spans="3:22" s="31" customFormat="1" hidden="1" x14ac:dyDescent="0.2">
      <c r="R20" s="140"/>
      <c r="S20" s="140"/>
      <c r="T20" s="140"/>
      <c r="U20" s="140"/>
      <c r="V20" s="140"/>
    </row>
    <row r="21" spans="3:22" s="31" customFormat="1" hidden="1" x14ac:dyDescent="0.2">
      <c r="R21" s="140"/>
      <c r="S21" s="140"/>
      <c r="T21" s="140"/>
      <c r="U21" s="140"/>
      <c r="V21" s="140"/>
    </row>
    <row r="22" spans="3:22" s="31" customFormat="1" hidden="1" x14ac:dyDescent="0.2">
      <c r="R22" s="140"/>
      <c r="S22" s="140"/>
      <c r="T22" s="140"/>
      <c r="U22" s="140"/>
      <c r="V22" s="140"/>
    </row>
    <row r="23" spans="3:22" s="31" customFormat="1" hidden="1" x14ac:dyDescent="0.2">
      <c r="R23" s="140"/>
      <c r="S23" s="140"/>
      <c r="T23" s="140"/>
      <c r="U23" s="140"/>
      <c r="V23" s="140"/>
    </row>
    <row r="24" spans="3:22" s="31" customFormat="1" hidden="1" x14ac:dyDescent="0.2">
      <c r="R24" s="140"/>
      <c r="S24" s="140"/>
      <c r="T24" s="140"/>
      <c r="U24" s="140"/>
      <c r="V24" s="140"/>
    </row>
    <row r="25" spans="3:22" s="31" customFormat="1" hidden="1" x14ac:dyDescent="0.2">
      <c r="R25" s="140"/>
      <c r="S25" s="140"/>
      <c r="T25" s="140"/>
      <c r="U25" s="140"/>
      <c r="V25" s="140"/>
    </row>
    <row r="26" spans="3:22" s="31" customFormat="1" hidden="1" x14ac:dyDescent="0.2">
      <c r="R26" s="140"/>
      <c r="S26" s="140"/>
      <c r="T26" s="140"/>
      <c r="U26" s="140"/>
      <c r="V26" s="140"/>
    </row>
    <row r="27" spans="3:22" s="31" customFormat="1" hidden="1" x14ac:dyDescent="0.2">
      <c r="R27" s="140"/>
      <c r="S27" s="140"/>
      <c r="T27" s="140"/>
      <c r="U27" s="140"/>
      <c r="V27" s="140"/>
    </row>
    <row r="28" spans="3:22" s="31" customFormat="1" ht="15.75" x14ac:dyDescent="0.25">
      <c r="D28" s="144" t="s">
        <v>1863</v>
      </c>
      <c r="R28" s="140"/>
      <c r="S28" s="140"/>
      <c r="T28" s="140"/>
      <c r="U28" s="140"/>
      <c r="V28" s="140"/>
    </row>
    <row r="29" spans="3:22" s="31" customFormat="1" ht="51" x14ac:dyDescent="0.2">
      <c r="D29" s="2440" t="s">
        <v>1864</v>
      </c>
      <c r="E29" s="2441"/>
      <c r="F29" s="2442"/>
      <c r="G29" s="145" t="s">
        <v>977</v>
      </c>
      <c r="H29" s="146" t="s">
        <v>1865</v>
      </c>
      <c r="I29" s="146" t="s">
        <v>1866</v>
      </c>
      <c r="J29" s="146" t="s">
        <v>1867</v>
      </c>
      <c r="K29" s="146" t="s">
        <v>1868</v>
      </c>
      <c r="L29" s="146" t="s">
        <v>1869</v>
      </c>
      <c r="M29" s="146" t="s">
        <v>1870</v>
      </c>
      <c r="R29" s="140"/>
      <c r="S29" s="140"/>
      <c r="T29" s="140"/>
      <c r="U29" s="140"/>
      <c r="V29" s="140"/>
    </row>
    <row r="30" spans="3:22" s="31" customFormat="1" x14ac:dyDescent="0.2">
      <c r="C30" s="31">
        <v>1</v>
      </c>
      <c r="D30" s="2434" t="s">
        <v>113</v>
      </c>
      <c r="E30" s="2435"/>
      <c r="F30" s="2436"/>
      <c r="G30" s="147" t="s">
        <v>110</v>
      </c>
      <c r="H30" s="148" t="s">
        <v>1871</v>
      </c>
      <c r="I30" s="148" t="s">
        <v>1988</v>
      </c>
      <c r="J30" s="149">
        <v>1.0362</v>
      </c>
      <c r="K30" s="149">
        <v>1.0375000000000001</v>
      </c>
      <c r="L30" s="150">
        <f>+'App.2-IA_Act_Frcst_Data'!G17</f>
        <v>311504507.10565919</v>
      </c>
      <c r="M30" s="150"/>
      <c r="N30" s="28"/>
      <c r="R30" s="140"/>
      <c r="S30" s="140"/>
      <c r="T30" s="140">
        <f>SUM(J30:M30)</f>
        <v>311504509.1793592</v>
      </c>
      <c r="U30" s="140">
        <v>78</v>
      </c>
      <c r="V30" s="140"/>
    </row>
    <row r="31" spans="3:22" s="31" customFormat="1" x14ac:dyDescent="0.2">
      <c r="C31" s="31">
        <v>2</v>
      </c>
      <c r="D31" s="2434" t="s">
        <v>2232</v>
      </c>
      <c r="E31" s="2435"/>
      <c r="F31" s="2436"/>
      <c r="G31" s="147" t="s">
        <v>110</v>
      </c>
      <c r="H31" s="148" t="s">
        <v>1871</v>
      </c>
      <c r="I31" s="148" t="s">
        <v>1988</v>
      </c>
      <c r="J31" s="149">
        <v>1.0362</v>
      </c>
      <c r="K31" s="149">
        <v>1.0375000000000001</v>
      </c>
      <c r="L31" s="150">
        <f>+'App.2-IA_Act_Frcst_Data'!G26</f>
        <v>91412831.730080053</v>
      </c>
      <c r="M31" s="150"/>
      <c r="N31" s="28"/>
      <c r="R31" s="140"/>
      <c r="S31" s="140"/>
      <c r="T31" s="140">
        <f t="shared" ref="T31:T49" si="0">SUM(J31:M31)</f>
        <v>91412833.803780049</v>
      </c>
      <c r="U31" s="140">
        <f>U30+68</f>
        <v>146</v>
      </c>
      <c r="V31" s="140"/>
    </row>
    <row r="32" spans="3:22" s="31" customFormat="1" x14ac:dyDescent="0.2">
      <c r="C32" s="31">
        <v>3</v>
      </c>
      <c r="D32" s="2434" t="s">
        <v>2345</v>
      </c>
      <c r="E32" s="2435"/>
      <c r="F32" s="2436"/>
      <c r="G32" s="147" t="s">
        <v>111</v>
      </c>
      <c r="H32" s="148" t="s">
        <v>1873</v>
      </c>
      <c r="I32" s="148" t="s">
        <v>1988</v>
      </c>
      <c r="J32" s="149">
        <v>1.0362</v>
      </c>
      <c r="K32" s="149">
        <v>1.0375000000000001</v>
      </c>
      <c r="L32" s="150">
        <f>+'App.2-IA_Act_Frcst_Data'!G35</f>
        <v>206918158.48785442</v>
      </c>
      <c r="M32" s="150">
        <f>+'App.2-IA_Act_Frcst_Data'!G36</f>
        <v>555651.28348282422</v>
      </c>
      <c r="N32" s="28"/>
      <c r="R32" s="140"/>
      <c r="S32" s="140"/>
      <c r="T32" s="140">
        <f t="shared" si="0"/>
        <v>207473811.84503725</v>
      </c>
      <c r="U32" s="140">
        <f t="shared" ref="U32:U49" si="1">U31+68</f>
        <v>214</v>
      </c>
      <c r="V32" s="140"/>
    </row>
    <row r="33" spans="3:22" s="31" customFormat="1" x14ac:dyDescent="0.2">
      <c r="C33" s="31">
        <v>4</v>
      </c>
      <c r="D33" s="2434" t="s">
        <v>2346</v>
      </c>
      <c r="E33" s="2435"/>
      <c r="F33" s="2436"/>
      <c r="G33" s="147" t="s">
        <v>111</v>
      </c>
      <c r="H33" s="148" t="s">
        <v>1873</v>
      </c>
      <c r="I33" s="148" t="s">
        <v>1988</v>
      </c>
      <c r="J33" s="149">
        <v>1.0362</v>
      </c>
      <c r="K33" s="149">
        <v>1.0375000000000001</v>
      </c>
      <c r="L33" s="150">
        <f>+'App.2-IA_Act_Frcst_Data'!G44</f>
        <v>116570267.303496</v>
      </c>
      <c r="M33" s="150">
        <f>+'App.2-IA_Act_Frcst_Data'!G45</f>
        <v>245808.10482149263</v>
      </c>
      <c r="N33" s="28"/>
      <c r="R33" s="140"/>
      <c r="S33" s="140"/>
      <c r="T33" s="140">
        <f t="shared" si="0"/>
        <v>116816077.48201749</v>
      </c>
      <c r="U33" s="140">
        <f t="shared" si="1"/>
        <v>282</v>
      </c>
      <c r="V33" s="140"/>
    </row>
    <row r="34" spans="3:22" s="31" customFormat="1" x14ac:dyDescent="0.2">
      <c r="C34" s="31">
        <v>5</v>
      </c>
      <c r="D34" s="2434" t="s">
        <v>115</v>
      </c>
      <c r="E34" s="2435"/>
      <c r="F34" s="2436"/>
      <c r="G34" s="147" t="s">
        <v>111</v>
      </c>
      <c r="H34" s="148" t="s">
        <v>1873</v>
      </c>
      <c r="I34" s="148" t="s">
        <v>1988</v>
      </c>
      <c r="J34" s="149">
        <v>1.0148999999999999</v>
      </c>
      <c r="K34" s="149">
        <v>1.0154000000000001</v>
      </c>
      <c r="L34" s="150">
        <f>+'App.2-IA_Act_Frcst_Data'!G53</f>
        <v>135893889.41732097</v>
      </c>
      <c r="M34" s="150">
        <f>+'App.2-IA_Act_Frcst_Data'!G54</f>
        <v>260162.16410264492</v>
      </c>
      <c r="N34" s="28"/>
      <c r="R34" s="140"/>
      <c r="S34" s="140"/>
      <c r="T34" s="140">
        <f t="shared" si="0"/>
        <v>136154053.6117236</v>
      </c>
      <c r="U34" s="140">
        <f t="shared" si="1"/>
        <v>350</v>
      </c>
      <c r="V34" s="140"/>
    </row>
    <row r="35" spans="3:22" s="31" customFormat="1" x14ac:dyDescent="0.2">
      <c r="C35" s="31">
        <v>6</v>
      </c>
      <c r="D35" s="2434" t="s">
        <v>2348</v>
      </c>
      <c r="E35" s="2435"/>
      <c r="F35" s="2436"/>
      <c r="G35" s="147" t="s">
        <v>110</v>
      </c>
      <c r="H35" s="148" t="s">
        <v>1871</v>
      </c>
      <c r="I35" s="148" t="s">
        <v>1988</v>
      </c>
      <c r="J35" s="149">
        <v>1.0362</v>
      </c>
      <c r="K35" s="149">
        <v>1.0375000000000001</v>
      </c>
      <c r="L35" s="150">
        <f>+'App.2-IA_Act_Frcst_Data'!G80</f>
        <v>1096422.73</v>
      </c>
      <c r="M35" s="150"/>
      <c r="N35" s="28"/>
      <c r="R35" s="140"/>
      <c r="S35" s="140"/>
      <c r="T35" s="140">
        <f t="shared" si="0"/>
        <v>1096424.8037</v>
      </c>
      <c r="U35" s="140">
        <f t="shared" si="1"/>
        <v>418</v>
      </c>
      <c r="V35" s="140"/>
    </row>
    <row r="36" spans="3:22" s="31" customFormat="1" x14ac:dyDescent="0.2">
      <c r="C36" s="31">
        <v>7</v>
      </c>
      <c r="D36" s="2434" t="s">
        <v>2347</v>
      </c>
      <c r="E36" s="2435"/>
      <c r="F36" s="2436"/>
      <c r="G36" s="147" t="s">
        <v>111</v>
      </c>
      <c r="H36" s="148" t="s">
        <v>1871</v>
      </c>
      <c r="I36" s="148" t="s">
        <v>1988</v>
      </c>
      <c r="J36" s="149">
        <v>1.0362</v>
      </c>
      <c r="K36" s="149">
        <v>1.0375000000000001</v>
      </c>
      <c r="L36" s="150">
        <f>+'App.2-IA_Act_Frcst_Data'!G71</f>
        <v>145710.64372659678</v>
      </c>
      <c r="M36" s="150">
        <f>+'App.2-IA_Act_Frcst_Data'!G72</f>
        <v>403.86488874638457</v>
      </c>
      <c r="N36" s="28"/>
      <c r="R36" s="140"/>
      <c r="S36" s="140"/>
      <c r="T36" s="140">
        <f t="shared" si="0"/>
        <v>146116.58231534317</v>
      </c>
      <c r="U36" s="140">
        <f t="shared" si="1"/>
        <v>486</v>
      </c>
      <c r="V36" s="140"/>
    </row>
    <row r="37" spans="3:22" s="31" customFormat="1" x14ac:dyDescent="0.2">
      <c r="C37" s="31">
        <v>8</v>
      </c>
      <c r="D37" s="2434" t="s">
        <v>116</v>
      </c>
      <c r="E37" s="2435"/>
      <c r="F37" s="2436"/>
      <c r="G37" s="147" t="s">
        <v>111</v>
      </c>
      <c r="H37" s="148" t="s">
        <v>1873</v>
      </c>
      <c r="I37" s="148" t="s">
        <v>1988</v>
      </c>
      <c r="J37" s="149">
        <v>1.0362</v>
      </c>
      <c r="K37" s="149">
        <v>1.0375000000000001</v>
      </c>
      <c r="L37" s="150">
        <f>+'App.2-IA_Act_Frcst_Data'!G62</f>
        <v>8298678.7683863798</v>
      </c>
      <c r="M37" s="150">
        <f>+'App.2-IA_Act_Frcst_Data'!G63</f>
        <v>23290.889535479138</v>
      </c>
      <c r="N37" s="28"/>
      <c r="R37" s="140"/>
      <c r="S37" s="140"/>
      <c r="T37" s="140">
        <f t="shared" si="0"/>
        <v>8321971.7316218587</v>
      </c>
      <c r="U37" s="140">
        <f t="shared" si="1"/>
        <v>554</v>
      </c>
      <c r="V37" s="140"/>
    </row>
    <row r="38" spans="3:22" s="31" customFormat="1" x14ac:dyDescent="0.2">
      <c r="C38" s="31">
        <v>9</v>
      </c>
      <c r="D38" s="2446" t="s">
        <v>1593</v>
      </c>
      <c r="E38" s="2447"/>
      <c r="F38" s="2447"/>
      <c r="G38" s="147"/>
      <c r="H38" s="148"/>
      <c r="I38" s="148"/>
      <c r="J38" s="149"/>
      <c r="K38" s="149"/>
      <c r="L38" s="150"/>
      <c r="M38" s="150"/>
      <c r="N38" s="28"/>
      <c r="R38" s="140"/>
      <c r="S38" s="140"/>
      <c r="T38" s="140">
        <f t="shared" si="0"/>
        <v>0</v>
      </c>
      <c r="U38" s="140">
        <f t="shared" si="1"/>
        <v>622</v>
      </c>
      <c r="V38" s="140"/>
    </row>
    <row r="39" spans="3:22" s="31" customFormat="1" x14ac:dyDescent="0.2">
      <c r="C39" s="31">
        <v>10</v>
      </c>
      <c r="D39" s="2446" t="s">
        <v>1594</v>
      </c>
      <c r="E39" s="2447"/>
      <c r="F39" s="2447"/>
      <c r="G39" s="147"/>
      <c r="H39" s="148"/>
      <c r="I39" s="148"/>
      <c r="J39" s="149"/>
      <c r="K39" s="149"/>
      <c r="L39" s="150"/>
      <c r="M39" s="150"/>
      <c r="N39" s="28"/>
      <c r="R39" s="140"/>
      <c r="S39" s="140"/>
      <c r="T39" s="140">
        <f t="shared" si="0"/>
        <v>0</v>
      </c>
      <c r="U39" s="140">
        <f t="shared" si="1"/>
        <v>690</v>
      </c>
      <c r="V39" s="140"/>
    </row>
    <row r="40" spans="3:22" s="31" customFormat="1" x14ac:dyDescent="0.2">
      <c r="C40" s="31">
        <v>11</v>
      </c>
      <c r="D40" s="2446" t="s">
        <v>1874</v>
      </c>
      <c r="E40" s="2447"/>
      <c r="F40" s="2447"/>
      <c r="G40" s="147"/>
      <c r="H40" s="148"/>
      <c r="I40" s="148"/>
      <c r="J40" s="149"/>
      <c r="K40" s="149"/>
      <c r="L40" s="150"/>
      <c r="M40" s="150"/>
      <c r="N40" s="28"/>
      <c r="R40" s="140"/>
      <c r="S40" s="140"/>
      <c r="T40" s="140">
        <f t="shared" si="0"/>
        <v>0</v>
      </c>
      <c r="U40" s="140">
        <f t="shared" si="1"/>
        <v>758</v>
      </c>
      <c r="V40" s="140"/>
    </row>
    <row r="41" spans="3:22" s="31" customFormat="1" x14ac:dyDescent="0.2">
      <c r="C41" s="31">
        <v>12</v>
      </c>
      <c r="D41" s="2446" t="s">
        <v>1875</v>
      </c>
      <c r="E41" s="2447"/>
      <c r="F41" s="2447"/>
      <c r="G41" s="147"/>
      <c r="H41" s="148"/>
      <c r="I41" s="148"/>
      <c r="J41" s="149"/>
      <c r="K41" s="149"/>
      <c r="L41" s="150"/>
      <c r="M41" s="150"/>
      <c r="N41" s="28"/>
      <c r="R41" s="140"/>
      <c r="S41" s="140"/>
      <c r="T41" s="140">
        <f t="shared" si="0"/>
        <v>0</v>
      </c>
      <c r="U41" s="140">
        <f t="shared" si="1"/>
        <v>826</v>
      </c>
      <c r="V41" s="140"/>
    </row>
    <row r="42" spans="3:22" s="31" customFormat="1" x14ac:dyDescent="0.2">
      <c r="C42" s="31">
        <v>13</v>
      </c>
      <c r="D42" s="2446" t="s">
        <v>1876</v>
      </c>
      <c r="E42" s="2447"/>
      <c r="F42" s="2447"/>
      <c r="G42" s="147"/>
      <c r="H42" s="148"/>
      <c r="I42" s="148"/>
      <c r="J42" s="149"/>
      <c r="K42" s="149"/>
      <c r="L42" s="150"/>
      <c r="M42" s="150"/>
      <c r="N42" s="28"/>
      <c r="R42" s="140"/>
      <c r="S42" s="140"/>
      <c r="T42" s="140">
        <f t="shared" si="0"/>
        <v>0</v>
      </c>
      <c r="U42" s="140">
        <f t="shared" si="1"/>
        <v>894</v>
      </c>
      <c r="V42" s="140"/>
    </row>
    <row r="43" spans="3:22" s="31" customFormat="1" x14ac:dyDescent="0.2">
      <c r="C43" s="31">
        <v>14</v>
      </c>
      <c r="D43" s="2446" t="s">
        <v>1877</v>
      </c>
      <c r="E43" s="2447"/>
      <c r="F43" s="2447"/>
      <c r="G43" s="147"/>
      <c r="H43" s="148"/>
      <c r="I43" s="148"/>
      <c r="J43" s="149"/>
      <c r="K43" s="149"/>
      <c r="L43" s="150"/>
      <c r="M43" s="150"/>
      <c r="N43" s="28"/>
      <c r="R43" s="140"/>
      <c r="S43" s="140"/>
      <c r="T43" s="140">
        <f t="shared" si="0"/>
        <v>0</v>
      </c>
      <c r="U43" s="140">
        <f t="shared" si="1"/>
        <v>962</v>
      </c>
      <c r="V43" s="140"/>
    </row>
    <row r="44" spans="3:22" s="31" customFormat="1" x14ac:dyDescent="0.2">
      <c r="C44" s="31">
        <v>15</v>
      </c>
      <c r="D44" s="2446" t="s">
        <v>1878</v>
      </c>
      <c r="E44" s="2447"/>
      <c r="F44" s="2447"/>
      <c r="G44" s="147"/>
      <c r="H44" s="148"/>
      <c r="I44" s="148"/>
      <c r="J44" s="149"/>
      <c r="K44" s="149"/>
      <c r="L44" s="150"/>
      <c r="M44" s="150"/>
      <c r="N44" s="28"/>
      <c r="R44" s="140"/>
      <c r="S44" s="140"/>
      <c r="T44" s="140">
        <f t="shared" si="0"/>
        <v>0</v>
      </c>
      <c r="U44" s="140">
        <f t="shared" si="1"/>
        <v>1030</v>
      </c>
      <c r="V44" s="140"/>
    </row>
    <row r="45" spans="3:22" s="31" customFormat="1" x14ac:dyDescent="0.2">
      <c r="C45" s="31">
        <v>16</v>
      </c>
      <c r="D45" s="2446" t="s">
        <v>1879</v>
      </c>
      <c r="E45" s="2447"/>
      <c r="F45" s="2447"/>
      <c r="G45" s="147"/>
      <c r="H45" s="148"/>
      <c r="I45" s="148"/>
      <c r="J45" s="149"/>
      <c r="K45" s="149"/>
      <c r="L45" s="150"/>
      <c r="M45" s="150"/>
      <c r="N45" s="28"/>
      <c r="R45" s="140"/>
      <c r="S45" s="140"/>
      <c r="T45" s="140">
        <f t="shared" si="0"/>
        <v>0</v>
      </c>
      <c r="U45" s="140">
        <f t="shared" si="1"/>
        <v>1098</v>
      </c>
      <c r="V45" s="140"/>
    </row>
    <row r="46" spans="3:22" s="31" customFormat="1" x14ac:dyDescent="0.2">
      <c r="C46" s="31">
        <v>17</v>
      </c>
      <c r="D46" s="2446" t="s">
        <v>1880</v>
      </c>
      <c r="E46" s="2447"/>
      <c r="F46" s="2447"/>
      <c r="G46" s="147"/>
      <c r="H46" s="148"/>
      <c r="I46" s="148"/>
      <c r="J46" s="149"/>
      <c r="K46" s="149"/>
      <c r="L46" s="150"/>
      <c r="M46" s="150"/>
      <c r="N46" s="28"/>
      <c r="R46" s="140"/>
      <c r="S46" s="140"/>
      <c r="T46" s="140">
        <f t="shared" si="0"/>
        <v>0</v>
      </c>
      <c r="U46" s="140">
        <f t="shared" si="1"/>
        <v>1166</v>
      </c>
      <c r="V46" s="140"/>
    </row>
    <row r="47" spans="3:22" s="31" customFormat="1" x14ac:dyDescent="0.2">
      <c r="C47" s="31">
        <v>18</v>
      </c>
      <c r="D47" s="2446" t="s">
        <v>1881</v>
      </c>
      <c r="E47" s="2447"/>
      <c r="F47" s="2447"/>
      <c r="G47" s="147"/>
      <c r="H47" s="148"/>
      <c r="I47" s="148"/>
      <c r="J47" s="149"/>
      <c r="K47" s="149"/>
      <c r="L47" s="150"/>
      <c r="M47" s="150"/>
      <c r="N47" s="28"/>
      <c r="R47" s="140"/>
      <c r="S47" s="140"/>
      <c r="T47" s="140">
        <f t="shared" si="0"/>
        <v>0</v>
      </c>
      <c r="U47" s="140">
        <f t="shared" si="1"/>
        <v>1234</v>
      </c>
      <c r="V47" s="140"/>
    </row>
    <row r="48" spans="3:22" s="31" customFormat="1" x14ac:dyDescent="0.2">
      <c r="C48" s="31">
        <v>19</v>
      </c>
      <c r="D48" s="2446" t="s">
        <v>1882</v>
      </c>
      <c r="E48" s="2447"/>
      <c r="F48" s="2447"/>
      <c r="G48" s="147"/>
      <c r="H48" s="148"/>
      <c r="I48" s="148"/>
      <c r="J48" s="149"/>
      <c r="K48" s="149"/>
      <c r="L48" s="150"/>
      <c r="M48" s="150"/>
      <c r="N48" s="28"/>
      <c r="R48" s="140"/>
      <c r="S48" s="140"/>
      <c r="T48" s="140">
        <f t="shared" si="0"/>
        <v>0</v>
      </c>
      <c r="U48" s="140">
        <f t="shared" si="1"/>
        <v>1302</v>
      </c>
      <c r="V48" s="140"/>
    </row>
    <row r="49" spans="2:22" s="31" customFormat="1" x14ac:dyDescent="0.2">
      <c r="C49" s="31">
        <v>20</v>
      </c>
      <c r="D49" s="2446" t="s">
        <v>1883</v>
      </c>
      <c r="E49" s="2447"/>
      <c r="F49" s="2447"/>
      <c r="G49" s="147"/>
      <c r="H49" s="148"/>
      <c r="I49" s="148"/>
      <c r="J49" s="149"/>
      <c r="K49" s="149"/>
      <c r="L49" s="150"/>
      <c r="M49" s="150"/>
      <c r="N49" s="28"/>
      <c r="R49" s="140"/>
      <c r="S49" s="140"/>
      <c r="T49" s="140">
        <f t="shared" si="0"/>
        <v>0</v>
      </c>
      <c r="U49" s="140">
        <f t="shared" si="1"/>
        <v>1370</v>
      </c>
      <c r="V49" s="140"/>
    </row>
    <row r="50" spans="2:22" s="31" customFormat="1" x14ac:dyDescent="0.2">
      <c r="R50" s="140"/>
      <c r="S50" s="140"/>
      <c r="T50" s="140"/>
      <c r="U50" s="140"/>
      <c r="V50" s="140"/>
    </row>
    <row r="51" spans="2:22" s="31" customFormat="1" ht="15.75" x14ac:dyDescent="0.25">
      <c r="D51" s="144" t="s">
        <v>1884</v>
      </c>
      <c r="R51" s="140"/>
      <c r="S51" s="140"/>
      <c r="T51" s="140"/>
      <c r="U51" s="140"/>
      <c r="V51" s="140"/>
    </row>
    <row r="52" spans="2:22" s="31" customFormat="1" ht="12.75" customHeight="1" x14ac:dyDescent="0.2">
      <c r="D52" s="2448" t="s">
        <v>1864</v>
      </c>
      <c r="E52" s="2449"/>
      <c r="F52" s="2450"/>
      <c r="G52" s="2443" t="s">
        <v>977</v>
      </c>
      <c r="H52" s="2444" t="s">
        <v>268</v>
      </c>
      <c r="I52" s="2444"/>
      <c r="J52" s="2444"/>
      <c r="K52" s="2444"/>
      <c r="L52" s="2444"/>
      <c r="M52" s="2444"/>
      <c r="N52" s="2444" t="s">
        <v>388</v>
      </c>
      <c r="O52" s="2444"/>
      <c r="R52" s="140"/>
      <c r="S52" s="140"/>
      <c r="T52" s="140"/>
      <c r="U52" s="140"/>
      <c r="V52" s="140"/>
    </row>
    <row r="53" spans="2:22" s="31" customFormat="1" x14ac:dyDescent="0.2">
      <c r="D53" s="2451"/>
      <c r="E53" s="2452"/>
      <c r="F53" s="2453"/>
      <c r="G53" s="2443"/>
      <c r="H53" s="2445" t="s">
        <v>1885</v>
      </c>
      <c r="I53" s="2445"/>
      <c r="J53" s="2445" t="s">
        <v>197</v>
      </c>
      <c r="K53" s="2445"/>
      <c r="L53" s="2445" t="s">
        <v>199</v>
      </c>
      <c r="M53" s="2445"/>
      <c r="N53" s="2445" t="s">
        <v>1886</v>
      </c>
      <c r="O53" s="2445"/>
      <c r="R53" s="140"/>
      <c r="S53" s="140"/>
      <c r="T53" s="140"/>
      <c r="U53" s="140"/>
      <c r="V53" s="140"/>
    </row>
    <row r="54" spans="2:22" s="31" customFormat="1" x14ac:dyDescent="0.2">
      <c r="D54" s="2454"/>
      <c r="E54" s="2455"/>
      <c r="F54" s="2456"/>
      <c r="G54" s="2443"/>
      <c r="H54" s="151" t="s">
        <v>217</v>
      </c>
      <c r="I54" s="151" t="s">
        <v>218</v>
      </c>
      <c r="J54" s="151" t="s">
        <v>217</v>
      </c>
      <c r="K54" s="151" t="s">
        <v>218</v>
      </c>
      <c r="L54" s="151" t="s">
        <v>217</v>
      </c>
      <c r="M54" s="151" t="s">
        <v>218</v>
      </c>
      <c r="N54" s="151" t="s">
        <v>217</v>
      </c>
      <c r="O54" s="151" t="s">
        <v>218</v>
      </c>
      <c r="R54" s="140"/>
      <c r="S54" s="140"/>
      <c r="T54" s="140"/>
      <c r="U54" s="140"/>
      <c r="V54" s="140"/>
    </row>
    <row r="55" spans="2:22" s="31" customFormat="1" x14ac:dyDescent="0.2">
      <c r="B55" s="31" t="str">
        <f>H30</f>
        <v>RPP</v>
      </c>
      <c r="C55" s="31">
        <v>1</v>
      </c>
      <c r="D55" s="2457" t="str">
        <f t="shared" ref="D55:D74" si="2">IF(ISBLANK(D30), "", D30)</f>
        <v>Residential</v>
      </c>
      <c r="E55" s="2458"/>
      <c r="F55" s="2458"/>
      <c r="G55" s="152" t="str">
        <f t="shared" ref="G55:G64" si="3">IF(ISBLANK(G30), "", G30)</f>
        <v>kWh</v>
      </c>
      <c r="H55" s="153">
        <f>IF(LEN($G55)&gt;1, (SUMPRODUCT(--($A$78:$A$1000=$D55), --($B$78:$B$1000="ST_A"), $L$78:$L$1000)), "")</f>
        <v>0.80000000000000426</v>
      </c>
      <c r="I55" s="154">
        <f>IF(LEN($G55)&gt;1, (SUMPRODUCT(--($A$78:$A$1000=$D55), --($B$78:$B$1000="ST_A"), $M$78:$M$1000)), "")</f>
        <v>2.8449502133712813E-2</v>
      </c>
      <c r="J55" s="153">
        <f>IF(LEN($G55)&gt;1, (SUMPRODUCT(--($A$78:$A$1000=$D55), --($B$78:$B$1000="ST_B"), $L$78:$L$1000)), "")</f>
        <v>1.1012256000000065</v>
      </c>
      <c r="K55" s="154">
        <f>IF(LEN($G55)&gt;1, (SUMPRODUCT(--($A$78:$A$1000=$D55), --($B$78:$B$1000="ST_B"), $M$78:$M$1000)), "")</f>
        <v>3.4383242169695447E-2</v>
      </c>
      <c r="L55" s="153">
        <f>IF(LEN($G55)&gt;1, (SUMPRODUCT(--($A$78:$A$1000=$D55), --($B$78:$B$1000="ST_C"), $L$78:$L$1000)), "")</f>
        <v>0.6176816000000116</v>
      </c>
      <c r="M55" s="154">
        <f>IF(LEN($G55)&gt;1, (SUMPRODUCT(--($A$78:$A$1000=$D55), --($B$78:$B$1000="ST_C"), $M$78:$M$1000)), "")</f>
        <v>1.4183105567809075E-2</v>
      </c>
      <c r="N55" s="153">
        <f>IF(LEN($G55)&gt;1, (SUMPRODUCT(--($A$78:$A$1000=$D55), --($B$78:$B$1000=$B55&amp;"_TOTAL"), $L$78:$L$1000)), "")</f>
        <v>-5.3419511519999787</v>
      </c>
      <c r="O55" s="154">
        <f>IF(LEN($G55)&gt;1, (SUMPRODUCT(--($A$78:$A$1000=$D55), --($B$78:$B$1000=$B55&amp;"_TOTAL"), $M$78:$M$1000)), "")</f>
        <v>-3.4801783409726776E-2</v>
      </c>
      <c r="R55" s="140"/>
      <c r="S55" s="140"/>
      <c r="T55" s="140"/>
      <c r="U55" s="140"/>
      <c r="V55" s="140"/>
    </row>
    <row r="56" spans="2:22" s="31" customFormat="1" x14ac:dyDescent="0.2">
      <c r="B56" s="31" t="str">
        <f t="shared" ref="B56:B74" si="4">H31</f>
        <v>RPP</v>
      </c>
      <c r="C56" s="31">
        <v>2</v>
      </c>
      <c r="D56" s="2457" t="str">
        <f t="shared" si="2"/>
        <v>GS &lt;50 kW</v>
      </c>
      <c r="E56" s="2458"/>
      <c r="F56" s="2458"/>
      <c r="G56" s="152" t="str">
        <f t="shared" si="3"/>
        <v>kWh</v>
      </c>
      <c r="H56" s="153">
        <f t="shared" ref="H56:H74" si="5">IF(LEN($G56)&gt;1, (SUMPRODUCT(--($A$78:$A$1000=$D56), --($B$78:$B$1000="ST_A"), $L$78:$L$1000)), "")</f>
        <v>-1.6700000000000017</v>
      </c>
      <c r="I56" s="154">
        <f t="shared" ref="I56:I74" si="6">IF(LEN($G56)&gt;1, (SUMPRODUCT(--($A$78:$A$1000=$D56), --($B$78:$B$1000="ST_A"), $M$78:$M$1000)), "")</f>
        <v>-3.0880177514792932E-2</v>
      </c>
      <c r="J56" s="153">
        <f t="shared" ref="J56:J74" si="7">IF(LEN($G56)&gt;1, (SUMPRODUCT(--($A$78:$A$1000=$D56), --($B$78:$B$1000="ST_B"), $L$78:$L$1000)), "")</f>
        <v>-2.8044360000000168</v>
      </c>
      <c r="K56" s="154">
        <f t="shared" ref="K56:K74" si="8">IF(LEN($G56)&gt;1, (SUMPRODUCT(--($A$78:$A$1000=$D56), --($B$78:$B$1000="ST_B"), $M$78:$M$1000)), "")</f>
        <v>-4.4752874238952647E-2</v>
      </c>
      <c r="L56" s="153">
        <f t="shared" ref="L56:L74" si="9">IF(LEN($G56)&gt;1, (SUMPRODUCT(--($A$78:$A$1000=$D56), --($B$78:$B$1000="ST_C"), $L$78:$L$1000)), "")</f>
        <v>-4.0166760000000181</v>
      </c>
      <c r="M56" s="154">
        <f t="shared" ref="M56:M74" si="10">IF(LEN($G56)&gt;1, (SUMPRODUCT(--($A$78:$A$1000=$D56), --($B$78:$B$1000="ST_C"), $M$78:$M$1000)), "")</f>
        <v>-4.5244466888651851E-2</v>
      </c>
      <c r="N56" s="153">
        <f t="shared" ref="N56:N74" si="11">IF(LEN($G56)&gt;1, (SUMPRODUCT(--($A$78:$A$1000=$D56), --($B$78:$B$1000=$B56&amp;"_TOTAL"), $L$78:$L$1000)), "")</f>
        <v>-3.8186722800000439</v>
      </c>
      <c r="O56" s="154">
        <f t="shared" ref="O56:O74" si="12">IF(LEN($G56)&gt;1, (SUMPRODUCT(--($A$78:$A$1000=$D56), --($B$78:$B$1000=$B56&amp;"_TOTAL"), $M$78:$M$1000)), "")</f>
        <v>-1.0589613703009563E-2</v>
      </c>
      <c r="R56" s="140"/>
      <c r="S56" s="140"/>
      <c r="T56" s="140"/>
      <c r="U56" s="140"/>
      <c r="V56" s="140"/>
    </row>
    <row r="57" spans="2:22" s="31" customFormat="1" x14ac:dyDescent="0.2">
      <c r="B57" s="31" t="str">
        <f t="shared" si="4"/>
        <v>Non-RPP (Other)</v>
      </c>
      <c r="C57" s="31">
        <v>3</v>
      </c>
      <c r="D57" s="2457" t="str">
        <f t="shared" si="2"/>
        <v>GS &gt;50 to 999 kW</v>
      </c>
      <c r="E57" s="2458"/>
      <c r="F57" s="2458"/>
      <c r="G57" s="152" t="str">
        <f t="shared" si="3"/>
        <v>kW</v>
      </c>
      <c r="H57" s="153">
        <f t="shared" si="5"/>
        <v>306.13999999999987</v>
      </c>
      <c r="I57" s="154">
        <f t="shared" si="6"/>
        <v>0.62513272890631355</v>
      </c>
      <c r="J57" s="153">
        <f t="shared" si="7"/>
        <v>418.03499999999997</v>
      </c>
      <c r="K57" s="154">
        <f t="shared" si="8"/>
        <v>0.83340311004784684</v>
      </c>
      <c r="L57" s="153">
        <f t="shared" si="9"/>
        <v>379.98</v>
      </c>
      <c r="M57" s="154">
        <f t="shared" si="10"/>
        <v>0.27896835010902366</v>
      </c>
      <c r="N57" s="153">
        <f t="shared" si="11"/>
        <v>454.03626000000077</v>
      </c>
      <c r="O57" s="154">
        <f t="shared" si="12"/>
        <v>5.995574518069683E-2</v>
      </c>
      <c r="R57" s="140"/>
      <c r="S57" s="140"/>
      <c r="T57" s="140"/>
      <c r="U57" s="140"/>
      <c r="V57" s="140"/>
    </row>
    <row r="58" spans="2:22" s="31" customFormat="1" x14ac:dyDescent="0.2">
      <c r="B58" s="31" t="str">
        <f t="shared" si="4"/>
        <v>Non-RPP (Other)</v>
      </c>
      <c r="C58" s="31">
        <v>4</v>
      </c>
      <c r="D58" s="2457" t="str">
        <f t="shared" si="2"/>
        <v>GS &gt;1,000 to 4,999 kW</v>
      </c>
      <c r="E58" s="2458"/>
      <c r="F58" s="2458"/>
      <c r="G58" s="152" t="str">
        <f t="shared" si="3"/>
        <v>kW</v>
      </c>
      <c r="H58" s="153">
        <f t="shared" si="5"/>
        <v>1240.33</v>
      </c>
      <c r="I58" s="154">
        <f t="shared" si="6"/>
        <v>0.19803012450226234</v>
      </c>
      <c r="J58" s="153">
        <f t="shared" si="7"/>
        <v>4744.6699999999992</v>
      </c>
      <c r="K58" s="154">
        <f t="shared" si="8"/>
        <v>0.74094253821311873</v>
      </c>
      <c r="L58" s="153">
        <f t="shared" si="9"/>
        <v>4295.3899999999958</v>
      </c>
      <c r="M58" s="154">
        <f t="shared" si="10"/>
        <v>0.25938533371014738</v>
      </c>
      <c r="N58" s="153">
        <f t="shared" si="11"/>
        <v>5477.65985799997</v>
      </c>
      <c r="O58" s="154">
        <f t="shared" si="12"/>
        <v>3.1966122945844243E-2</v>
      </c>
      <c r="R58" s="140"/>
      <c r="S58" s="140"/>
      <c r="T58" s="140"/>
      <c r="U58" s="140"/>
      <c r="V58" s="140"/>
    </row>
    <row r="59" spans="2:22" s="31" customFormat="1" x14ac:dyDescent="0.2">
      <c r="B59" s="31" t="str">
        <f t="shared" si="4"/>
        <v>Non-RPP (Other)</v>
      </c>
      <c r="C59" s="31">
        <v>5</v>
      </c>
      <c r="D59" s="2457" t="str">
        <f t="shared" si="2"/>
        <v>Large Use</v>
      </c>
      <c r="E59" s="2458"/>
      <c r="F59" s="2458"/>
      <c r="G59" s="152" t="str">
        <f t="shared" si="3"/>
        <v>kW</v>
      </c>
      <c r="H59" s="153">
        <f t="shared" si="5"/>
        <v>5779.1100000000006</v>
      </c>
      <c r="I59" s="154">
        <f t="shared" si="6"/>
        <v>0.28571266129430961</v>
      </c>
      <c r="J59" s="153">
        <f t="shared" si="7"/>
        <v>-11847.09</v>
      </c>
      <c r="K59" s="154">
        <f t="shared" si="8"/>
        <v>-0.56856843934020262</v>
      </c>
      <c r="L59" s="153">
        <f t="shared" si="9"/>
        <v>-13740.589999999997</v>
      </c>
      <c r="M59" s="154">
        <f t="shared" si="10"/>
        <v>-0.2140012148018938</v>
      </c>
      <c r="N59" s="153">
        <f t="shared" si="11"/>
        <v>-14024.031222999911</v>
      </c>
      <c r="O59" s="154">
        <f t="shared" si="12"/>
        <v>-2.7034988842066454E-2</v>
      </c>
      <c r="R59" s="140"/>
      <c r="S59" s="140"/>
      <c r="T59" s="140"/>
      <c r="U59" s="140"/>
      <c r="V59" s="140"/>
    </row>
    <row r="60" spans="2:22" s="31" customFormat="1" x14ac:dyDescent="0.2">
      <c r="B60" s="31" t="str">
        <f t="shared" si="4"/>
        <v>RPP</v>
      </c>
      <c r="C60" s="31">
        <v>6</v>
      </c>
      <c r="D60" s="2457" t="str">
        <f t="shared" si="2"/>
        <v>Unmetered &amp; Scattered</v>
      </c>
      <c r="E60" s="2458"/>
      <c r="F60" s="2458"/>
      <c r="G60" s="152" t="str">
        <f t="shared" si="3"/>
        <v>kWh</v>
      </c>
      <c r="H60" s="153">
        <f t="shared" si="5"/>
        <v>-0.96000000000000085</v>
      </c>
      <c r="I60" s="154">
        <f t="shared" si="6"/>
        <v>-6.1843715776589633E-2</v>
      </c>
      <c r="J60" s="153">
        <f t="shared" si="7"/>
        <v>-0.70372328999999212</v>
      </c>
      <c r="K60" s="154">
        <f t="shared" si="8"/>
        <v>-4.1149860402621877E-2</v>
      </c>
      <c r="L60" s="153">
        <f t="shared" si="9"/>
        <v>-0.94920188999999056</v>
      </c>
      <c r="M60" s="154">
        <f t="shared" si="10"/>
        <v>-4.2395519128779077E-2</v>
      </c>
      <c r="N60" s="153">
        <f t="shared" si="11"/>
        <v>-0.9267633866999887</v>
      </c>
      <c r="O60" s="154">
        <f t="shared" si="12"/>
        <v>-1.1846156246788472E-2</v>
      </c>
      <c r="R60" s="140"/>
      <c r="S60" s="140"/>
      <c r="T60" s="140"/>
      <c r="U60" s="140"/>
      <c r="V60" s="140"/>
    </row>
    <row r="61" spans="2:22" s="31" customFormat="1" x14ac:dyDescent="0.2">
      <c r="B61" s="31" t="str">
        <f t="shared" si="4"/>
        <v>RPP</v>
      </c>
      <c r="C61" s="31">
        <v>7</v>
      </c>
      <c r="D61" s="2457" t="str">
        <f t="shared" si="2"/>
        <v>Sentinel</v>
      </c>
      <c r="E61" s="2458"/>
      <c r="F61" s="2458"/>
      <c r="G61" s="152" t="str">
        <f t="shared" si="3"/>
        <v>kW</v>
      </c>
      <c r="H61" s="153">
        <f t="shared" si="5"/>
        <v>25.859000000000002</v>
      </c>
      <c r="I61" s="154">
        <f t="shared" si="6"/>
        <v>1.2287128901052953</v>
      </c>
      <c r="J61" s="153">
        <f t="shared" si="7"/>
        <v>32.110139099999998</v>
      </c>
      <c r="K61" s="154">
        <f t="shared" si="8"/>
        <v>1.5085896212095862</v>
      </c>
      <c r="L61" s="153">
        <f t="shared" si="9"/>
        <v>31.937339099999999</v>
      </c>
      <c r="M61" s="154">
        <f t="shared" si="10"/>
        <v>1.2671046540362545</v>
      </c>
      <c r="N61" s="153">
        <f t="shared" si="11"/>
        <v>36.107197472999999</v>
      </c>
      <c r="O61" s="154">
        <f t="shared" si="12"/>
        <v>1.0239040842841003</v>
      </c>
      <c r="R61" s="140"/>
      <c r="S61" s="140"/>
      <c r="T61" s="140"/>
      <c r="U61" s="140"/>
      <c r="V61" s="140"/>
    </row>
    <row r="62" spans="2:22" s="31" customFormat="1" x14ac:dyDescent="0.2">
      <c r="B62" s="31" t="str">
        <f t="shared" si="4"/>
        <v>Non-RPP (Other)</v>
      </c>
      <c r="C62" s="31">
        <v>8</v>
      </c>
      <c r="D62" s="2457" t="str">
        <f t="shared" si="2"/>
        <v>Streetlighting</v>
      </c>
      <c r="E62" s="2458"/>
      <c r="F62" s="2458"/>
      <c r="G62" s="152" t="str">
        <f t="shared" si="3"/>
        <v>kW</v>
      </c>
      <c r="H62" s="153">
        <f t="shared" si="5"/>
        <v>1484.8492000000006</v>
      </c>
      <c r="I62" s="154">
        <f t="shared" si="6"/>
        <v>0.12621624679422808</v>
      </c>
      <c r="J62" s="153">
        <f t="shared" si="7"/>
        <v>4662.7378000000008</v>
      </c>
      <c r="K62" s="154">
        <f t="shared" si="8"/>
        <v>0.39399895122616962</v>
      </c>
      <c r="L62" s="153">
        <f t="shared" si="9"/>
        <v>4436.4772000000012</v>
      </c>
      <c r="M62" s="154">
        <f t="shared" si="10"/>
        <v>0.26195051832311822</v>
      </c>
      <c r="N62" s="153">
        <f t="shared" si="11"/>
        <v>5244.7156273255969</v>
      </c>
      <c r="O62" s="154">
        <f t="shared" si="12"/>
        <v>6.9209983327823396E-2</v>
      </c>
      <c r="R62" s="140"/>
      <c r="S62" s="140"/>
      <c r="T62" s="140"/>
      <c r="U62" s="140"/>
      <c r="V62" s="140"/>
    </row>
    <row r="63" spans="2:22" s="31" customFormat="1" x14ac:dyDescent="0.2">
      <c r="B63" s="31">
        <f t="shared" si="4"/>
        <v>0</v>
      </c>
      <c r="C63" s="31">
        <v>9</v>
      </c>
      <c r="D63" s="2457" t="str">
        <f t="shared" si="2"/>
        <v>Rate Class 9</v>
      </c>
      <c r="E63" s="2458"/>
      <c r="F63" s="2458"/>
      <c r="G63" s="152" t="str">
        <f t="shared" si="3"/>
        <v/>
      </c>
      <c r="H63" s="153" t="str">
        <f t="shared" si="5"/>
        <v/>
      </c>
      <c r="I63" s="154" t="str">
        <f t="shared" si="6"/>
        <v/>
      </c>
      <c r="J63" s="153" t="str">
        <f t="shared" si="7"/>
        <v/>
      </c>
      <c r="K63" s="154" t="str">
        <f t="shared" si="8"/>
        <v/>
      </c>
      <c r="L63" s="153" t="str">
        <f t="shared" si="9"/>
        <v/>
      </c>
      <c r="M63" s="154" t="str">
        <f t="shared" si="10"/>
        <v/>
      </c>
      <c r="N63" s="153" t="str">
        <f t="shared" si="11"/>
        <v/>
      </c>
      <c r="O63" s="154" t="str">
        <f t="shared" si="12"/>
        <v/>
      </c>
      <c r="R63" s="140"/>
      <c r="S63" s="140"/>
      <c r="T63" s="140"/>
      <c r="U63" s="140"/>
      <c r="V63" s="140"/>
    </row>
    <row r="64" spans="2:22" s="31" customFormat="1" x14ac:dyDescent="0.2">
      <c r="B64" s="31">
        <f t="shared" si="4"/>
        <v>0</v>
      </c>
      <c r="C64" s="31">
        <v>10</v>
      </c>
      <c r="D64" s="2457" t="str">
        <f t="shared" si="2"/>
        <v>Rate Class 10</v>
      </c>
      <c r="E64" s="2458"/>
      <c r="F64" s="2458"/>
      <c r="G64" s="152" t="str">
        <f t="shared" si="3"/>
        <v/>
      </c>
      <c r="H64" s="153" t="str">
        <f t="shared" si="5"/>
        <v/>
      </c>
      <c r="I64" s="154" t="str">
        <f t="shared" si="6"/>
        <v/>
      </c>
      <c r="J64" s="153" t="str">
        <f t="shared" si="7"/>
        <v/>
      </c>
      <c r="K64" s="154" t="str">
        <f t="shared" si="8"/>
        <v/>
      </c>
      <c r="L64" s="153" t="str">
        <f t="shared" si="9"/>
        <v/>
      </c>
      <c r="M64" s="154" t="str">
        <f t="shared" si="10"/>
        <v/>
      </c>
      <c r="N64" s="153" t="str">
        <f t="shared" si="11"/>
        <v/>
      </c>
      <c r="O64" s="154" t="str">
        <f t="shared" si="12"/>
        <v/>
      </c>
      <c r="R64" s="140"/>
      <c r="S64" s="140"/>
      <c r="T64" s="140"/>
      <c r="U64" s="140"/>
      <c r="V64" s="140"/>
    </row>
    <row r="65" spans="1:22" s="31" customFormat="1" x14ac:dyDescent="0.2">
      <c r="B65" s="31">
        <f t="shared" si="4"/>
        <v>0</v>
      </c>
      <c r="C65" s="31">
        <v>11</v>
      </c>
      <c r="D65" s="2457" t="str">
        <f t="shared" si="2"/>
        <v>Rate Class 11</v>
      </c>
      <c r="E65" s="2458"/>
      <c r="F65" s="2458"/>
      <c r="G65" s="152"/>
      <c r="H65" s="153" t="str">
        <f t="shared" si="5"/>
        <v/>
      </c>
      <c r="I65" s="154" t="str">
        <f t="shared" si="6"/>
        <v/>
      </c>
      <c r="J65" s="153" t="str">
        <f t="shared" si="7"/>
        <v/>
      </c>
      <c r="K65" s="154" t="str">
        <f t="shared" si="8"/>
        <v/>
      </c>
      <c r="L65" s="153" t="str">
        <f t="shared" si="9"/>
        <v/>
      </c>
      <c r="M65" s="154" t="str">
        <f t="shared" si="10"/>
        <v/>
      </c>
      <c r="N65" s="153" t="str">
        <f t="shared" si="11"/>
        <v/>
      </c>
      <c r="O65" s="154" t="str">
        <f t="shared" si="12"/>
        <v/>
      </c>
      <c r="R65" s="140"/>
      <c r="S65" s="140"/>
      <c r="T65" s="140"/>
      <c r="U65" s="140"/>
      <c r="V65" s="140"/>
    </row>
    <row r="66" spans="1:22" s="31" customFormat="1" x14ac:dyDescent="0.2">
      <c r="B66" s="31">
        <f t="shared" si="4"/>
        <v>0</v>
      </c>
      <c r="C66" s="31">
        <v>12</v>
      </c>
      <c r="D66" s="2457" t="str">
        <f t="shared" si="2"/>
        <v>Rate Class 12</v>
      </c>
      <c r="E66" s="2458"/>
      <c r="F66" s="2458"/>
      <c r="G66" s="152"/>
      <c r="H66" s="153" t="str">
        <f t="shared" si="5"/>
        <v/>
      </c>
      <c r="I66" s="154" t="str">
        <f t="shared" si="6"/>
        <v/>
      </c>
      <c r="J66" s="153" t="str">
        <f t="shared" si="7"/>
        <v/>
      </c>
      <c r="K66" s="154" t="str">
        <f t="shared" si="8"/>
        <v/>
      </c>
      <c r="L66" s="153" t="str">
        <f t="shared" si="9"/>
        <v/>
      </c>
      <c r="M66" s="154" t="str">
        <f t="shared" si="10"/>
        <v/>
      </c>
      <c r="N66" s="153" t="str">
        <f t="shared" si="11"/>
        <v/>
      </c>
      <c r="O66" s="154" t="str">
        <f t="shared" si="12"/>
        <v/>
      </c>
      <c r="R66" s="140"/>
      <c r="S66" s="140"/>
      <c r="T66" s="140"/>
      <c r="U66" s="140"/>
      <c r="V66" s="140"/>
    </row>
    <row r="67" spans="1:22" s="31" customFormat="1" x14ac:dyDescent="0.2">
      <c r="B67" s="31">
        <f t="shared" si="4"/>
        <v>0</v>
      </c>
      <c r="C67" s="31">
        <v>13</v>
      </c>
      <c r="D67" s="2457" t="str">
        <f t="shared" si="2"/>
        <v>Rate Class 13</v>
      </c>
      <c r="E67" s="2458"/>
      <c r="F67" s="2458"/>
      <c r="G67" s="152"/>
      <c r="H67" s="153" t="str">
        <f t="shared" si="5"/>
        <v/>
      </c>
      <c r="I67" s="154" t="str">
        <f t="shared" si="6"/>
        <v/>
      </c>
      <c r="J67" s="153" t="str">
        <f t="shared" si="7"/>
        <v/>
      </c>
      <c r="K67" s="154" t="str">
        <f t="shared" si="8"/>
        <v/>
      </c>
      <c r="L67" s="153" t="str">
        <f t="shared" si="9"/>
        <v/>
      </c>
      <c r="M67" s="154" t="str">
        <f t="shared" si="10"/>
        <v/>
      </c>
      <c r="N67" s="153" t="str">
        <f t="shared" si="11"/>
        <v/>
      </c>
      <c r="O67" s="154" t="str">
        <f t="shared" si="12"/>
        <v/>
      </c>
      <c r="R67" s="140"/>
      <c r="S67" s="140"/>
      <c r="T67" s="140"/>
      <c r="U67" s="140"/>
      <c r="V67" s="140"/>
    </row>
    <row r="68" spans="1:22" s="31" customFormat="1" x14ac:dyDescent="0.2">
      <c r="B68" s="31">
        <f t="shared" si="4"/>
        <v>0</v>
      </c>
      <c r="C68" s="31">
        <v>14</v>
      </c>
      <c r="D68" s="2457" t="str">
        <f t="shared" si="2"/>
        <v>Rate Class 14</v>
      </c>
      <c r="E68" s="2458"/>
      <c r="F68" s="2458"/>
      <c r="G68" s="152"/>
      <c r="H68" s="153" t="str">
        <f t="shared" si="5"/>
        <v/>
      </c>
      <c r="I68" s="154" t="str">
        <f t="shared" si="6"/>
        <v/>
      </c>
      <c r="J68" s="153" t="str">
        <f t="shared" si="7"/>
        <v/>
      </c>
      <c r="K68" s="154" t="str">
        <f t="shared" si="8"/>
        <v/>
      </c>
      <c r="L68" s="153" t="str">
        <f t="shared" si="9"/>
        <v/>
      </c>
      <c r="M68" s="154" t="str">
        <f t="shared" si="10"/>
        <v/>
      </c>
      <c r="N68" s="153" t="str">
        <f t="shared" si="11"/>
        <v/>
      </c>
      <c r="O68" s="154" t="str">
        <f t="shared" si="12"/>
        <v/>
      </c>
      <c r="R68" s="140"/>
      <c r="S68" s="140"/>
      <c r="T68" s="140"/>
      <c r="U68" s="140"/>
      <c r="V68" s="140"/>
    </row>
    <row r="69" spans="1:22" s="31" customFormat="1" x14ac:dyDescent="0.2">
      <c r="B69" s="31">
        <f t="shared" si="4"/>
        <v>0</v>
      </c>
      <c r="C69" s="31">
        <v>15</v>
      </c>
      <c r="D69" s="2457" t="str">
        <f t="shared" si="2"/>
        <v>Rate Class 15</v>
      </c>
      <c r="E69" s="2458"/>
      <c r="F69" s="2458"/>
      <c r="G69" s="152"/>
      <c r="H69" s="153" t="str">
        <f t="shared" si="5"/>
        <v/>
      </c>
      <c r="I69" s="154" t="str">
        <f t="shared" si="6"/>
        <v/>
      </c>
      <c r="J69" s="153" t="str">
        <f t="shared" si="7"/>
        <v/>
      </c>
      <c r="K69" s="154" t="str">
        <f t="shared" si="8"/>
        <v/>
      </c>
      <c r="L69" s="153" t="str">
        <f t="shared" si="9"/>
        <v/>
      </c>
      <c r="M69" s="154" t="str">
        <f t="shared" si="10"/>
        <v/>
      </c>
      <c r="N69" s="153" t="str">
        <f t="shared" si="11"/>
        <v/>
      </c>
      <c r="O69" s="154" t="str">
        <f t="shared" si="12"/>
        <v/>
      </c>
      <c r="R69" s="140"/>
      <c r="S69" s="140"/>
      <c r="T69" s="140"/>
      <c r="U69" s="140"/>
      <c r="V69" s="140"/>
    </row>
    <row r="70" spans="1:22" s="31" customFormat="1" x14ac:dyDescent="0.2">
      <c r="B70" s="31">
        <f t="shared" si="4"/>
        <v>0</v>
      </c>
      <c r="C70" s="31">
        <v>16</v>
      </c>
      <c r="D70" s="2457" t="str">
        <f t="shared" si="2"/>
        <v>Rate Class 16</v>
      </c>
      <c r="E70" s="2458"/>
      <c r="F70" s="2458"/>
      <c r="G70" s="152" t="str">
        <f>IF(ISBLANK(G45), "", G45)</f>
        <v/>
      </c>
      <c r="H70" s="153" t="str">
        <f t="shared" si="5"/>
        <v/>
      </c>
      <c r="I70" s="154" t="str">
        <f t="shared" si="6"/>
        <v/>
      </c>
      <c r="J70" s="153" t="str">
        <f t="shared" si="7"/>
        <v/>
      </c>
      <c r="K70" s="154" t="str">
        <f t="shared" si="8"/>
        <v/>
      </c>
      <c r="L70" s="153" t="str">
        <f t="shared" si="9"/>
        <v/>
      </c>
      <c r="M70" s="154" t="str">
        <f t="shared" si="10"/>
        <v/>
      </c>
      <c r="N70" s="153" t="str">
        <f t="shared" si="11"/>
        <v/>
      </c>
      <c r="O70" s="154" t="str">
        <f t="shared" si="12"/>
        <v/>
      </c>
      <c r="R70" s="140"/>
      <c r="S70" s="140"/>
      <c r="T70" s="140"/>
      <c r="U70" s="140"/>
      <c r="V70" s="140"/>
    </row>
    <row r="71" spans="1:22" s="31" customFormat="1" x14ac:dyDescent="0.2">
      <c r="B71" s="31">
        <f t="shared" si="4"/>
        <v>0</v>
      </c>
      <c r="C71" s="31">
        <v>17</v>
      </c>
      <c r="D71" s="2457" t="str">
        <f t="shared" si="2"/>
        <v>Rate Class 17</v>
      </c>
      <c r="E71" s="2458"/>
      <c r="F71" s="2458"/>
      <c r="G71" s="152" t="str">
        <f>IF(ISBLANK(G46), "", G46)</f>
        <v/>
      </c>
      <c r="H71" s="153" t="str">
        <f t="shared" si="5"/>
        <v/>
      </c>
      <c r="I71" s="154" t="str">
        <f t="shared" si="6"/>
        <v/>
      </c>
      <c r="J71" s="153" t="str">
        <f t="shared" si="7"/>
        <v/>
      </c>
      <c r="K71" s="154" t="str">
        <f t="shared" si="8"/>
        <v/>
      </c>
      <c r="L71" s="153" t="str">
        <f t="shared" si="9"/>
        <v/>
      </c>
      <c r="M71" s="154" t="str">
        <f t="shared" si="10"/>
        <v/>
      </c>
      <c r="N71" s="153" t="str">
        <f t="shared" si="11"/>
        <v/>
      </c>
      <c r="O71" s="154" t="str">
        <f t="shared" si="12"/>
        <v/>
      </c>
      <c r="R71" s="140"/>
      <c r="S71" s="140"/>
      <c r="T71" s="140"/>
      <c r="U71" s="140"/>
      <c r="V71" s="140"/>
    </row>
    <row r="72" spans="1:22" s="31" customFormat="1" x14ac:dyDescent="0.2">
      <c r="B72" s="31">
        <f t="shared" si="4"/>
        <v>0</v>
      </c>
      <c r="C72" s="31">
        <v>18</v>
      </c>
      <c r="D72" s="2457" t="str">
        <f t="shared" si="2"/>
        <v>Rate Class 18</v>
      </c>
      <c r="E72" s="2458"/>
      <c r="F72" s="2458"/>
      <c r="G72" s="152" t="str">
        <f>IF(ISBLANK(G47), "", G47)</f>
        <v/>
      </c>
      <c r="H72" s="153" t="str">
        <f t="shared" si="5"/>
        <v/>
      </c>
      <c r="I72" s="154" t="str">
        <f t="shared" si="6"/>
        <v/>
      </c>
      <c r="J72" s="153" t="str">
        <f t="shared" si="7"/>
        <v/>
      </c>
      <c r="K72" s="154" t="str">
        <f t="shared" si="8"/>
        <v/>
      </c>
      <c r="L72" s="153" t="str">
        <f t="shared" si="9"/>
        <v/>
      </c>
      <c r="M72" s="154" t="str">
        <f t="shared" si="10"/>
        <v/>
      </c>
      <c r="N72" s="153" t="str">
        <f t="shared" si="11"/>
        <v/>
      </c>
      <c r="O72" s="154" t="str">
        <f t="shared" si="12"/>
        <v/>
      </c>
      <c r="R72" s="140"/>
      <c r="S72" s="140"/>
      <c r="T72" s="140"/>
      <c r="U72" s="140"/>
      <c r="V72" s="140"/>
    </row>
    <row r="73" spans="1:22" s="31" customFormat="1" x14ac:dyDescent="0.2">
      <c r="B73" s="31">
        <f t="shared" si="4"/>
        <v>0</v>
      </c>
      <c r="C73" s="31">
        <v>19</v>
      </c>
      <c r="D73" s="2457" t="str">
        <f t="shared" si="2"/>
        <v>Rate Class 19</v>
      </c>
      <c r="E73" s="2458"/>
      <c r="F73" s="2458"/>
      <c r="G73" s="152" t="str">
        <f>IF(ISBLANK(G48), "", G48)</f>
        <v/>
      </c>
      <c r="H73" s="153" t="str">
        <f t="shared" si="5"/>
        <v/>
      </c>
      <c r="I73" s="154" t="str">
        <f t="shared" si="6"/>
        <v/>
      </c>
      <c r="J73" s="153" t="str">
        <f t="shared" si="7"/>
        <v/>
      </c>
      <c r="K73" s="154" t="str">
        <f t="shared" si="8"/>
        <v/>
      </c>
      <c r="L73" s="153" t="str">
        <f t="shared" si="9"/>
        <v/>
      </c>
      <c r="M73" s="154" t="str">
        <f t="shared" si="10"/>
        <v/>
      </c>
      <c r="N73" s="153" t="str">
        <f t="shared" si="11"/>
        <v/>
      </c>
      <c r="O73" s="154" t="str">
        <f t="shared" si="12"/>
        <v/>
      </c>
      <c r="R73" s="140"/>
      <c r="S73" s="140"/>
      <c r="T73" s="140"/>
      <c r="U73" s="140"/>
      <c r="V73" s="140"/>
    </row>
    <row r="74" spans="1:22" s="31" customFormat="1" x14ac:dyDescent="0.2">
      <c r="B74" s="31">
        <f t="shared" si="4"/>
        <v>0</v>
      </c>
      <c r="C74" s="31">
        <v>20</v>
      </c>
      <c r="D74" s="2457" t="str">
        <f t="shared" si="2"/>
        <v>Rate Class 20</v>
      </c>
      <c r="E74" s="2458"/>
      <c r="F74" s="2458"/>
      <c r="G74" s="152" t="str">
        <f>IF(ISBLANK(G49), "", G49)</f>
        <v/>
      </c>
      <c r="H74" s="153" t="str">
        <f t="shared" si="5"/>
        <v/>
      </c>
      <c r="I74" s="154" t="str">
        <f t="shared" si="6"/>
        <v/>
      </c>
      <c r="J74" s="153" t="str">
        <f t="shared" si="7"/>
        <v/>
      </c>
      <c r="K74" s="154" t="str">
        <f t="shared" si="8"/>
        <v/>
      </c>
      <c r="L74" s="153" t="str">
        <f t="shared" si="9"/>
        <v/>
      </c>
      <c r="M74" s="154" t="str">
        <f t="shared" si="10"/>
        <v/>
      </c>
      <c r="N74" s="153" t="str">
        <f t="shared" si="11"/>
        <v/>
      </c>
      <c r="O74" s="154" t="str">
        <f t="shared" si="12"/>
        <v/>
      </c>
      <c r="R74" s="140"/>
      <c r="S74" s="140"/>
      <c r="T74" s="140"/>
      <c r="U74" s="140"/>
      <c r="V74" s="140"/>
    </row>
    <row r="75" spans="1:22" s="31" customFormat="1" x14ac:dyDescent="0.2">
      <c r="R75" s="140"/>
      <c r="S75" s="140"/>
      <c r="T75" s="140"/>
      <c r="U75" s="140"/>
      <c r="V75" s="140"/>
    </row>
    <row r="76" spans="1:22" ht="5.25" customHeight="1" x14ac:dyDescent="0.2">
      <c r="A76" s="155"/>
      <c r="B76" s="155"/>
      <c r="C76" s="155"/>
      <c r="D76" s="155"/>
      <c r="E76" s="155"/>
      <c r="F76" s="155"/>
      <c r="G76" s="155"/>
      <c r="H76" s="155"/>
      <c r="I76" s="155"/>
      <c r="J76" s="155"/>
      <c r="K76" s="155"/>
      <c r="L76" s="155"/>
      <c r="M76" s="155"/>
      <c r="N76" s="155"/>
      <c r="O76" s="155"/>
    </row>
    <row r="78" spans="1:22" x14ac:dyDescent="0.2">
      <c r="D78" s="1315" t="s">
        <v>37</v>
      </c>
      <c r="E78" s="2467" t="str">
        <f>D30</f>
        <v>Residential</v>
      </c>
      <c r="F78" s="2467"/>
      <c r="G78" s="2467"/>
      <c r="H78" s="1316"/>
      <c r="I78" s="1316"/>
      <c r="T78" s="140" t="s">
        <v>2364</v>
      </c>
    </row>
    <row r="79" spans="1:22" x14ac:dyDescent="0.2">
      <c r="D79" s="1315" t="s">
        <v>1887</v>
      </c>
      <c r="E79" s="2467" t="str">
        <f>H30</f>
        <v>RPP</v>
      </c>
      <c r="F79" s="2467"/>
      <c r="G79" s="2467"/>
      <c r="H79" s="1316"/>
      <c r="I79" s="1316"/>
    </row>
    <row r="80" spans="1:22" ht="15.75" x14ac:dyDescent="0.2">
      <c r="D80" s="1315" t="s">
        <v>14</v>
      </c>
      <c r="E80" s="1802">
        <v>800</v>
      </c>
      <c r="F80" s="334" t="s">
        <v>110</v>
      </c>
      <c r="G80" s="158"/>
      <c r="J80" s="1318"/>
      <c r="K80" s="1318"/>
      <c r="L80" s="1318"/>
      <c r="M80" s="1318"/>
    </row>
    <row r="81" spans="1:13" ht="15.75" x14ac:dyDescent="0.25">
      <c r="D81" s="1315" t="s">
        <v>1888</v>
      </c>
      <c r="E81" s="1802">
        <f>M30</f>
        <v>0</v>
      </c>
      <c r="F81" s="757" t="s">
        <v>111</v>
      </c>
      <c r="G81" s="498"/>
      <c r="H81" s="435"/>
      <c r="I81" s="435"/>
      <c r="J81" s="435"/>
    </row>
    <row r="82" spans="1:13" x14ac:dyDescent="0.2">
      <c r="D82" s="1315" t="s">
        <v>1889</v>
      </c>
      <c r="E82" s="1319">
        <f>J30</f>
        <v>1.0362</v>
      </c>
    </row>
    <row r="83" spans="1:13" x14ac:dyDescent="0.2">
      <c r="D83" s="1315" t="s">
        <v>1890</v>
      </c>
      <c r="E83" s="1319">
        <f>K30</f>
        <v>1.0375000000000001</v>
      </c>
    </row>
    <row r="84" spans="1:13" x14ac:dyDescent="0.2">
      <c r="D84" s="334" t="s">
        <v>1976</v>
      </c>
      <c r="E84" s="1521" t="str">
        <f>I30</f>
        <v>No</v>
      </c>
    </row>
    <row r="85" spans="1:13" x14ac:dyDescent="0.2">
      <c r="D85" s="158"/>
    </row>
    <row r="86" spans="1:13" x14ac:dyDescent="0.2">
      <c r="D86" s="158"/>
      <c r="E86" s="159"/>
      <c r="F86" s="2468" t="s">
        <v>15</v>
      </c>
      <c r="G86" s="2469"/>
      <c r="H86" s="2470"/>
      <c r="I86" s="2468" t="s">
        <v>16</v>
      </c>
      <c r="J86" s="2469"/>
      <c r="K86" s="2470"/>
      <c r="L86" s="2468" t="s">
        <v>17</v>
      </c>
      <c r="M86" s="2470"/>
    </row>
    <row r="87" spans="1:13" x14ac:dyDescent="0.2">
      <c r="D87" s="158"/>
      <c r="E87" s="2459" t="s">
        <v>18</v>
      </c>
      <c r="F87" s="160" t="s">
        <v>19</v>
      </c>
      <c r="G87" s="160" t="s">
        <v>20</v>
      </c>
      <c r="H87" s="161" t="s">
        <v>21</v>
      </c>
      <c r="I87" s="160" t="s">
        <v>19</v>
      </c>
      <c r="J87" s="162" t="s">
        <v>20</v>
      </c>
      <c r="K87" s="161" t="s">
        <v>21</v>
      </c>
      <c r="L87" s="2461" t="s">
        <v>22</v>
      </c>
      <c r="M87" s="2463" t="s">
        <v>23</v>
      </c>
    </row>
    <row r="88" spans="1:13" x14ac:dyDescent="0.2">
      <c r="D88" s="158"/>
      <c r="E88" s="2460"/>
      <c r="F88" s="163" t="s">
        <v>402</v>
      </c>
      <c r="G88" s="163"/>
      <c r="H88" s="164" t="s">
        <v>402</v>
      </c>
      <c r="I88" s="163" t="s">
        <v>402</v>
      </c>
      <c r="J88" s="164"/>
      <c r="K88" s="164" t="s">
        <v>402</v>
      </c>
      <c r="L88" s="2462"/>
      <c r="M88" s="2464"/>
    </row>
    <row r="89" spans="1:13" x14ac:dyDescent="0.2">
      <c r="A89" s="140" t="str">
        <f>$E78</f>
        <v>Residential</v>
      </c>
      <c r="D89" s="165" t="s">
        <v>24</v>
      </c>
      <c r="E89" s="166" t="s">
        <v>2365</v>
      </c>
      <c r="F89" s="167">
        <v>15.43</v>
      </c>
      <c r="G89" s="168">
        <v>1</v>
      </c>
      <c r="H89" s="169">
        <f>G89*F89</f>
        <v>15.43</v>
      </c>
      <c r="I89" s="170">
        <v>19.64</v>
      </c>
      <c r="J89" s="171">
        <v>1</v>
      </c>
      <c r="K89" s="169">
        <f>J89*I89</f>
        <v>19.64</v>
      </c>
      <c r="L89" s="172">
        <f t="shared" ref="L89:L121" si="13">K89-H89</f>
        <v>4.2100000000000009</v>
      </c>
      <c r="M89" s="173">
        <f>IF(ISERROR(L89/H89), "", L89/H89)</f>
        <v>0.27284510693454317</v>
      </c>
    </row>
    <row r="90" spans="1:13" x14ac:dyDescent="0.2">
      <c r="A90" s="140" t="str">
        <f>A89</f>
        <v>Residential</v>
      </c>
      <c r="D90" s="165" t="s">
        <v>25</v>
      </c>
      <c r="E90" s="166"/>
      <c r="F90" s="167"/>
      <c r="G90" s="168">
        <v>1</v>
      </c>
      <c r="H90" s="169">
        <f t="shared" ref="H90:H104" si="14">G90*F90</f>
        <v>0</v>
      </c>
      <c r="I90" s="170"/>
      <c r="J90" s="171">
        <v>1</v>
      </c>
      <c r="K90" s="169">
        <f>J90*I90</f>
        <v>0</v>
      </c>
      <c r="L90" s="172">
        <f t="shared" si="13"/>
        <v>0</v>
      </c>
      <c r="M90" s="173" t="str">
        <f t="shared" ref="M90:M126" si="15">IF(ISERROR(L90/H90), "", L90/H90)</f>
        <v/>
      </c>
    </row>
    <row r="91" spans="1:13" x14ac:dyDescent="0.2">
      <c r="A91" s="140" t="str">
        <f t="shared" ref="A91:A145" si="16">A90</f>
        <v>Residential</v>
      </c>
      <c r="D91" s="174" t="s">
        <v>2369</v>
      </c>
      <c r="E91" s="166" t="s">
        <v>2365</v>
      </c>
      <c r="F91" s="167">
        <v>1.0900000000000001</v>
      </c>
      <c r="G91" s="168">
        <v>1</v>
      </c>
      <c r="H91" s="169">
        <f t="shared" si="14"/>
        <v>1.0900000000000001</v>
      </c>
      <c r="I91" s="170"/>
      <c r="J91" s="171">
        <v>1</v>
      </c>
      <c r="K91" s="169">
        <f t="shared" ref="K91:K104" si="17">J91*I91</f>
        <v>0</v>
      </c>
      <c r="L91" s="172">
        <f t="shared" si="13"/>
        <v>-1.0900000000000001</v>
      </c>
      <c r="M91" s="173">
        <f t="shared" si="15"/>
        <v>-1</v>
      </c>
    </row>
    <row r="92" spans="1:13" x14ac:dyDescent="0.2">
      <c r="A92" s="140" t="str">
        <f t="shared" si="16"/>
        <v>Residential</v>
      </c>
      <c r="D92" s="174" t="s">
        <v>2370</v>
      </c>
      <c r="E92" s="166" t="s">
        <v>2365</v>
      </c>
      <c r="F92" s="167">
        <v>0.08</v>
      </c>
      <c r="G92" s="168">
        <v>1</v>
      </c>
      <c r="H92" s="169">
        <f t="shared" si="14"/>
        <v>0.08</v>
      </c>
      <c r="I92" s="170"/>
      <c r="J92" s="171">
        <v>1</v>
      </c>
      <c r="K92" s="169">
        <f t="shared" si="17"/>
        <v>0</v>
      </c>
      <c r="L92" s="172">
        <f t="shared" si="13"/>
        <v>-0.08</v>
      </c>
      <c r="M92" s="173">
        <f t="shared" si="15"/>
        <v>-1</v>
      </c>
    </row>
    <row r="93" spans="1:13" x14ac:dyDescent="0.2">
      <c r="A93" s="140" t="str">
        <f t="shared" si="16"/>
        <v>Residential</v>
      </c>
      <c r="D93" s="174"/>
      <c r="E93" s="166"/>
      <c r="F93" s="167"/>
      <c r="G93" s="168">
        <v>1</v>
      </c>
      <c r="H93" s="169">
        <f t="shared" si="14"/>
        <v>0</v>
      </c>
      <c r="I93" s="170"/>
      <c r="J93" s="171">
        <v>1</v>
      </c>
      <c r="K93" s="169">
        <f t="shared" si="17"/>
        <v>0</v>
      </c>
      <c r="L93" s="172">
        <f t="shared" si="13"/>
        <v>0</v>
      </c>
      <c r="M93" s="173" t="str">
        <f t="shared" si="15"/>
        <v/>
      </c>
    </row>
    <row r="94" spans="1:13" x14ac:dyDescent="0.2">
      <c r="A94" s="140" t="str">
        <f t="shared" si="16"/>
        <v>Residential</v>
      </c>
      <c r="D94" s="174"/>
      <c r="E94" s="166"/>
      <c r="F94" s="167"/>
      <c r="G94" s="168">
        <v>1</v>
      </c>
      <c r="H94" s="169">
        <f t="shared" si="14"/>
        <v>0</v>
      </c>
      <c r="I94" s="170"/>
      <c r="J94" s="171">
        <v>1</v>
      </c>
      <c r="K94" s="169">
        <f t="shared" si="17"/>
        <v>0</v>
      </c>
      <c r="L94" s="172">
        <f t="shared" si="13"/>
        <v>0</v>
      </c>
      <c r="M94" s="173" t="str">
        <f t="shared" si="15"/>
        <v/>
      </c>
    </row>
    <row r="95" spans="1:13" x14ac:dyDescent="0.2">
      <c r="A95" s="140" t="str">
        <f t="shared" si="16"/>
        <v>Residential</v>
      </c>
      <c r="D95" s="165" t="s">
        <v>26</v>
      </c>
      <c r="E95" s="166" t="s">
        <v>2366</v>
      </c>
      <c r="F95" s="167">
        <v>1.44E-2</v>
      </c>
      <c r="G95" s="248">
        <f>IF($E81&gt;0, $E81, $E80)</f>
        <v>800</v>
      </c>
      <c r="H95" s="169">
        <f t="shared" si="14"/>
        <v>11.52</v>
      </c>
      <c r="I95" s="170">
        <v>1.1599999999999999E-2</v>
      </c>
      <c r="J95" s="248">
        <f>IF($E81&gt;0, $E81, $E80)</f>
        <v>800</v>
      </c>
      <c r="K95" s="169">
        <f t="shared" si="17"/>
        <v>9.2799999999999994</v>
      </c>
      <c r="L95" s="172">
        <f t="shared" si="13"/>
        <v>-2.2400000000000002</v>
      </c>
      <c r="M95" s="173">
        <f t="shared" si="15"/>
        <v>-0.19444444444444448</v>
      </c>
    </row>
    <row r="96" spans="1:13" x14ac:dyDescent="0.2">
      <c r="A96" s="140" t="str">
        <f t="shared" si="16"/>
        <v>Residential</v>
      </c>
      <c r="D96" s="165" t="s">
        <v>27</v>
      </c>
      <c r="E96" s="166"/>
      <c r="F96" s="167"/>
      <c r="G96" s="248">
        <f>IF($E81&gt;0, $E81, $E80)</f>
        <v>800</v>
      </c>
      <c r="H96" s="169">
        <f t="shared" si="14"/>
        <v>0</v>
      </c>
      <c r="I96" s="170"/>
      <c r="J96" s="248">
        <f>IF($E81&gt;0, $E81, $E80)</f>
        <v>800</v>
      </c>
      <c r="K96" s="169">
        <f t="shared" si="17"/>
        <v>0</v>
      </c>
      <c r="L96" s="172">
        <f t="shared" si="13"/>
        <v>0</v>
      </c>
      <c r="M96" s="173" t="str">
        <f t="shared" si="15"/>
        <v/>
      </c>
    </row>
    <row r="97" spans="1:13" x14ac:dyDescent="0.2">
      <c r="A97" s="140" t="str">
        <f t="shared" si="16"/>
        <v>Residential</v>
      </c>
      <c r="D97" s="165" t="s">
        <v>28</v>
      </c>
      <c r="E97" s="166" t="s">
        <v>2366</v>
      </c>
      <c r="F97" s="167"/>
      <c r="G97" s="248">
        <f>IF($E81&gt;0, $E81, $E80)</f>
        <v>800</v>
      </c>
      <c r="H97" s="169">
        <f t="shared" si="14"/>
        <v>0</v>
      </c>
      <c r="I97" s="170"/>
      <c r="J97" s="248">
        <f>IF($E81&gt;0, $E81, $E80)</f>
        <v>800</v>
      </c>
      <c r="K97" s="169">
        <f t="shared" si="17"/>
        <v>0</v>
      </c>
      <c r="L97" s="172">
        <f t="shared" si="13"/>
        <v>0</v>
      </c>
      <c r="M97" s="173" t="str">
        <f t="shared" si="15"/>
        <v/>
      </c>
    </row>
    <row r="98" spans="1:13" x14ac:dyDescent="0.2">
      <c r="A98" s="140" t="str">
        <f t="shared" si="16"/>
        <v>Residential</v>
      </c>
      <c r="D98" s="174"/>
      <c r="E98" s="166"/>
      <c r="F98" s="167"/>
      <c r="G98" s="248">
        <f>IF($E81&gt;0, $E81, $E80)</f>
        <v>800</v>
      </c>
      <c r="H98" s="169">
        <f t="shared" si="14"/>
        <v>0</v>
      </c>
      <c r="I98" s="170"/>
      <c r="J98" s="248">
        <f>IF($E81&gt;0, $E81, $E80)</f>
        <v>800</v>
      </c>
      <c r="K98" s="169">
        <f t="shared" si="17"/>
        <v>0</v>
      </c>
      <c r="L98" s="172">
        <f t="shared" si="13"/>
        <v>0</v>
      </c>
      <c r="M98" s="173" t="str">
        <f t="shared" si="15"/>
        <v/>
      </c>
    </row>
    <row r="99" spans="1:13" x14ac:dyDescent="0.2">
      <c r="A99" s="140" t="str">
        <f t="shared" si="16"/>
        <v>Residential</v>
      </c>
      <c r="D99" s="174"/>
      <c r="E99" s="166"/>
      <c r="F99" s="167"/>
      <c r="G99" s="248">
        <f>IF($E81&gt;0, $E81, $E80)</f>
        <v>800</v>
      </c>
      <c r="H99" s="169">
        <f t="shared" si="14"/>
        <v>0</v>
      </c>
      <c r="I99" s="170"/>
      <c r="J99" s="248">
        <f>IF($E81&gt;0, $E81, $E80)</f>
        <v>800</v>
      </c>
      <c r="K99" s="169">
        <f t="shared" si="17"/>
        <v>0</v>
      </c>
      <c r="L99" s="172">
        <f t="shared" si="13"/>
        <v>0</v>
      </c>
      <c r="M99" s="173" t="str">
        <f t="shared" si="15"/>
        <v/>
      </c>
    </row>
    <row r="100" spans="1:13" x14ac:dyDescent="0.2">
      <c r="A100" s="140" t="str">
        <f t="shared" si="16"/>
        <v>Residential</v>
      </c>
      <c r="D100" s="174"/>
      <c r="E100" s="166"/>
      <c r="F100" s="167"/>
      <c r="G100" s="248">
        <f>IF($E81&gt;0, $E81, $E80)</f>
        <v>800</v>
      </c>
      <c r="H100" s="169">
        <f t="shared" si="14"/>
        <v>0</v>
      </c>
      <c r="I100" s="170"/>
      <c r="J100" s="248">
        <f>IF($E81&gt;0, $E81, $E80)</f>
        <v>800</v>
      </c>
      <c r="K100" s="169">
        <f t="shared" si="17"/>
        <v>0</v>
      </c>
      <c r="L100" s="172">
        <f t="shared" si="13"/>
        <v>0</v>
      </c>
      <c r="M100" s="173" t="str">
        <f t="shared" si="15"/>
        <v/>
      </c>
    </row>
    <row r="101" spans="1:13" x14ac:dyDescent="0.2">
      <c r="A101" s="140" t="str">
        <f t="shared" si="16"/>
        <v>Residential</v>
      </c>
      <c r="D101" s="174"/>
      <c r="E101" s="166"/>
      <c r="F101" s="167"/>
      <c r="G101" s="248">
        <f>IF($E81&gt;0, $E81, $E80)</f>
        <v>800</v>
      </c>
      <c r="H101" s="169">
        <f t="shared" si="14"/>
        <v>0</v>
      </c>
      <c r="I101" s="170"/>
      <c r="J101" s="248">
        <f>IF($E81&gt;0, $E81, $E80)</f>
        <v>800</v>
      </c>
      <c r="K101" s="169">
        <f t="shared" si="17"/>
        <v>0</v>
      </c>
      <c r="L101" s="172">
        <f t="shared" si="13"/>
        <v>0</v>
      </c>
      <c r="M101" s="173" t="str">
        <f t="shared" si="15"/>
        <v/>
      </c>
    </row>
    <row r="102" spans="1:13" x14ac:dyDescent="0.2">
      <c r="A102" s="140" t="str">
        <f t="shared" si="16"/>
        <v>Residential</v>
      </c>
      <c r="D102" s="174"/>
      <c r="E102" s="166"/>
      <c r="F102" s="167"/>
      <c r="G102" s="248">
        <f>IF($E81&gt;0, $E81, $E80)</f>
        <v>800</v>
      </c>
      <c r="H102" s="169">
        <f t="shared" si="14"/>
        <v>0</v>
      </c>
      <c r="I102" s="170"/>
      <c r="J102" s="248">
        <f>IF($E81&gt;0, $E81, $E80)</f>
        <v>800</v>
      </c>
      <c r="K102" s="169">
        <f t="shared" si="17"/>
        <v>0</v>
      </c>
      <c r="L102" s="172">
        <f t="shared" si="13"/>
        <v>0</v>
      </c>
      <c r="M102" s="173" t="str">
        <f t="shared" si="15"/>
        <v/>
      </c>
    </row>
    <row r="103" spans="1:13" x14ac:dyDescent="0.2">
      <c r="A103" s="140" t="str">
        <f t="shared" si="16"/>
        <v>Residential</v>
      </c>
      <c r="D103" s="174"/>
      <c r="E103" s="166"/>
      <c r="F103" s="167"/>
      <c r="G103" s="248">
        <f>IF($E81&gt;0, $E81, $E80)</f>
        <v>800</v>
      </c>
      <c r="H103" s="169">
        <f t="shared" si="14"/>
        <v>0</v>
      </c>
      <c r="I103" s="170"/>
      <c r="J103" s="248">
        <f>IF($E81&gt;0, $E81, $E80)</f>
        <v>800</v>
      </c>
      <c r="K103" s="169">
        <f t="shared" si="17"/>
        <v>0</v>
      </c>
      <c r="L103" s="172">
        <f t="shared" si="13"/>
        <v>0</v>
      </c>
      <c r="M103" s="173" t="str">
        <f t="shared" si="15"/>
        <v/>
      </c>
    </row>
    <row r="104" spans="1:13" x14ac:dyDescent="0.2">
      <c r="A104" s="140" t="str">
        <f t="shared" si="16"/>
        <v>Residential</v>
      </c>
      <c r="D104" s="174"/>
      <c r="E104" s="166"/>
      <c r="F104" s="167"/>
      <c r="G104" s="248">
        <f>IF($E81&gt;0, $E81, $E80)</f>
        <v>800</v>
      </c>
      <c r="H104" s="169">
        <f t="shared" si="14"/>
        <v>0</v>
      </c>
      <c r="I104" s="170"/>
      <c r="J104" s="248">
        <f>IF($E81&gt;0, $E81, $E80)</f>
        <v>800</v>
      </c>
      <c r="K104" s="169">
        <f t="shared" si="17"/>
        <v>0</v>
      </c>
      <c r="L104" s="172">
        <f t="shared" si="13"/>
        <v>0</v>
      </c>
      <c r="M104" s="173" t="str">
        <f t="shared" si="15"/>
        <v/>
      </c>
    </row>
    <row r="105" spans="1:13" x14ac:dyDescent="0.2">
      <c r="A105" s="140" t="str">
        <f t="shared" si="16"/>
        <v>Residential</v>
      </c>
      <c r="B105" s="338" t="s">
        <v>1891</v>
      </c>
      <c r="C105" s="337"/>
      <c r="D105" s="175" t="s">
        <v>617</v>
      </c>
      <c r="E105" s="176"/>
      <c r="F105" s="177"/>
      <c r="G105" s="178"/>
      <c r="H105" s="179">
        <f>SUM(H89:H104)</f>
        <v>28.119999999999997</v>
      </c>
      <c r="I105" s="180"/>
      <c r="J105" s="181"/>
      <c r="K105" s="179">
        <f>SUM(K89:K104)</f>
        <v>28.92</v>
      </c>
      <c r="L105" s="182">
        <f t="shared" si="13"/>
        <v>0.80000000000000426</v>
      </c>
      <c r="M105" s="183">
        <f>IF((H105)=0,"",(L105/H105))</f>
        <v>2.8449502133712813E-2</v>
      </c>
    </row>
    <row r="106" spans="1:13" ht="25.5" x14ac:dyDescent="0.2">
      <c r="A106" s="140" t="str">
        <f t="shared" si="16"/>
        <v>Residential</v>
      </c>
      <c r="D106" s="184" t="s">
        <v>29</v>
      </c>
      <c r="E106" s="166" t="s">
        <v>2366</v>
      </c>
      <c r="F106" s="167"/>
      <c r="G106" s="248">
        <f>IF($E81&gt;0, $E81, $E80)</f>
        <v>800</v>
      </c>
      <c r="H106" s="169">
        <f>G106*F106</f>
        <v>0</v>
      </c>
      <c r="I106" s="170">
        <v>3.5999999999999999E-3</v>
      </c>
      <c r="J106" s="248">
        <f>IF($E81&gt;0, $E81, $E80)</f>
        <v>800</v>
      </c>
      <c r="K106" s="169">
        <f>J106*I106</f>
        <v>2.88</v>
      </c>
      <c r="L106" s="172">
        <f t="shared" si="13"/>
        <v>2.88</v>
      </c>
      <c r="M106" s="173">
        <v>1</v>
      </c>
    </row>
    <row r="107" spans="1:13" ht="25.5" x14ac:dyDescent="0.2">
      <c r="A107" s="140" t="str">
        <f t="shared" si="16"/>
        <v>Residential</v>
      </c>
      <c r="D107" s="184" t="s">
        <v>2376</v>
      </c>
      <c r="E107" s="166" t="s">
        <v>2366</v>
      </c>
      <c r="F107" s="167"/>
      <c r="G107" s="248">
        <f>IF($E81&gt;0, $E81, $E80)</f>
        <v>800</v>
      </c>
      <c r="H107" s="169">
        <f t="shared" ref="H107:H111" si="18">G107*F107</f>
        <v>0</v>
      </c>
      <c r="I107" s="170">
        <v>-3.2000000000000002E-3</v>
      </c>
      <c r="J107" s="248">
        <f>+J106</f>
        <v>800</v>
      </c>
      <c r="K107" s="169">
        <f t="shared" ref="K107:K111" si="19">J107*I107</f>
        <v>-2.56</v>
      </c>
      <c r="L107" s="172">
        <f t="shared" si="13"/>
        <v>-2.56</v>
      </c>
      <c r="M107" s="173">
        <v>1</v>
      </c>
    </row>
    <row r="108" spans="1:13" x14ac:dyDescent="0.2">
      <c r="A108" s="140" t="str">
        <f t="shared" si="16"/>
        <v>Residential</v>
      </c>
      <c r="D108" s="184" t="s">
        <v>2367</v>
      </c>
      <c r="E108" s="166" t="s">
        <v>2365</v>
      </c>
      <c r="F108" s="167"/>
      <c r="G108" s="248">
        <f>IF($E81&gt;0, $E81, $E80)</f>
        <v>800</v>
      </c>
      <c r="H108" s="169">
        <f t="shared" si="18"/>
        <v>0</v>
      </c>
      <c r="I108" s="170">
        <v>0.97</v>
      </c>
      <c r="J108" s="248">
        <v>1</v>
      </c>
      <c r="K108" s="169">
        <f t="shared" si="19"/>
        <v>0.97</v>
      </c>
      <c r="L108" s="172">
        <f t="shared" si="13"/>
        <v>0.97</v>
      </c>
      <c r="M108" s="173">
        <v>1</v>
      </c>
    </row>
    <row r="109" spans="1:13" x14ac:dyDescent="0.2">
      <c r="A109" s="140" t="str">
        <f t="shared" si="16"/>
        <v>Residential</v>
      </c>
      <c r="D109" s="184" t="s">
        <v>2368</v>
      </c>
      <c r="E109" s="166" t="s">
        <v>2365</v>
      </c>
      <c r="F109" s="167"/>
      <c r="G109" s="248">
        <f>IF($E81&gt;0, $E81, $E80)</f>
        <v>800</v>
      </c>
      <c r="H109" s="169">
        <f t="shared" si="18"/>
        <v>0</v>
      </c>
      <c r="I109" s="170">
        <v>-1.415</v>
      </c>
      <c r="J109" s="248">
        <v>1</v>
      </c>
      <c r="K109" s="169">
        <f>J109*I109</f>
        <v>-1.415</v>
      </c>
      <c r="L109" s="172">
        <f t="shared" si="13"/>
        <v>-1.415</v>
      </c>
      <c r="M109" s="173">
        <v>1</v>
      </c>
    </row>
    <row r="110" spans="1:13" x14ac:dyDescent="0.2">
      <c r="A110" s="140" t="str">
        <f t="shared" si="16"/>
        <v>Residential</v>
      </c>
      <c r="D110" s="185" t="s">
        <v>605</v>
      </c>
      <c r="E110" s="166" t="s">
        <v>2366</v>
      </c>
      <c r="F110" s="167">
        <v>2.0000000000000001E-4</v>
      </c>
      <c r="G110" s="248">
        <f>IF($E81&gt;0, $E81, $E80)</f>
        <v>800</v>
      </c>
      <c r="H110" s="169">
        <f>G110*F110</f>
        <v>0.16</v>
      </c>
      <c r="I110" s="170">
        <v>5.9999999999999995E-4</v>
      </c>
      <c r="J110" s="248">
        <f>IF($E81&gt;0, $E81, $E80)</f>
        <v>800</v>
      </c>
      <c r="K110" s="169">
        <f>J110*I110</f>
        <v>0.48</v>
      </c>
      <c r="L110" s="172">
        <f t="shared" si="13"/>
        <v>0.31999999999999995</v>
      </c>
      <c r="M110" s="173">
        <f t="shared" si="15"/>
        <v>1.9999999999999996</v>
      </c>
    </row>
    <row r="111" spans="1:13" x14ac:dyDescent="0.2">
      <c r="A111" s="140" t="str">
        <f t="shared" si="16"/>
        <v>Residential</v>
      </c>
      <c r="D111" s="185" t="s">
        <v>928</v>
      </c>
      <c r="E111" s="166"/>
      <c r="F111" s="186">
        <f>IF((E80*12&gt;=150000), 0, IF(E79="RPP",(F122*0.64+F123*0.18+F124*0.18),IF(E79="Non-RPP (Retailer)",F125,F126)))</f>
        <v>0.10214000000000001</v>
      </c>
      <c r="G111" s="249">
        <f>IF(F111=0, 0, $E80*E82-E80)</f>
        <v>28.960000000000036</v>
      </c>
      <c r="H111" s="169">
        <f t="shared" si="18"/>
        <v>2.9579744000000039</v>
      </c>
      <c r="I111" s="187">
        <f>IF((E80*12&gt;=150000), 0, IF(E79="RPP",(I122*0.64+I123*0.18+I124*0.18),IF(E79="Non-RPP (Retailer)",I125,I126)))</f>
        <v>0.10214000000000001</v>
      </c>
      <c r="J111" s="249">
        <f>IF(I111=0, 0, E80*E83-E80)</f>
        <v>30.000000000000114</v>
      </c>
      <c r="K111" s="169">
        <f t="shared" si="19"/>
        <v>3.064200000000012</v>
      </c>
      <c r="L111" s="172">
        <f t="shared" si="13"/>
        <v>0.10622560000000814</v>
      </c>
      <c r="M111" s="173">
        <f t="shared" si="15"/>
        <v>3.5911602209947456E-2</v>
      </c>
    </row>
    <row r="112" spans="1:13" x14ac:dyDescent="0.2">
      <c r="A112" s="140" t="str">
        <f t="shared" si="16"/>
        <v>Residential</v>
      </c>
      <c r="D112" s="185" t="s">
        <v>562</v>
      </c>
      <c r="E112" s="166" t="s">
        <v>2365</v>
      </c>
      <c r="F112" s="186">
        <v>0.79</v>
      </c>
      <c r="G112" s="168">
        <v>1</v>
      </c>
      <c r="H112" s="169">
        <f>G112*F112</f>
        <v>0.79</v>
      </c>
      <c r="I112" s="186">
        <v>0.79</v>
      </c>
      <c r="J112" s="168">
        <v>1</v>
      </c>
      <c r="K112" s="169">
        <f>J112*I112</f>
        <v>0.79</v>
      </c>
      <c r="L112" s="172">
        <f t="shared" si="13"/>
        <v>0</v>
      </c>
      <c r="M112" s="173">
        <f t="shared" si="15"/>
        <v>0</v>
      </c>
    </row>
    <row r="113" spans="1:13" ht="25.5" x14ac:dyDescent="0.2">
      <c r="A113" s="140" t="str">
        <f t="shared" si="16"/>
        <v>Residential</v>
      </c>
      <c r="B113" s="158" t="s">
        <v>1892</v>
      </c>
      <c r="D113" s="188" t="s">
        <v>560</v>
      </c>
      <c r="E113" s="189"/>
      <c r="F113" s="190"/>
      <c r="G113" s="178"/>
      <c r="H113" s="191">
        <f>SUM(H106:H112)+H105</f>
        <v>32.027974400000005</v>
      </c>
      <c r="I113" s="178"/>
      <c r="J113" s="181"/>
      <c r="K113" s="191">
        <f>SUM(K106:K112)+K105</f>
        <v>33.129200000000012</v>
      </c>
      <c r="L113" s="182">
        <f t="shared" si="13"/>
        <v>1.1012256000000065</v>
      </c>
      <c r="M113" s="183">
        <f>IF((H113)=0,"",(L113/H113))</f>
        <v>3.4383242169695447E-2</v>
      </c>
    </row>
    <row r="114" spans="1:13" x14ac:dyDescent="0.2">
      <c r="A114" s="140" t="str">
        <f t="shared" si="16"/>
        <v>Residential</v>
      </c>
      <c r="D114" s="192" t="s">
        <v>30</v>
      </c>
      <c r="E114" s="193" t="s">
        <v>2366</v>
      </c>
      <c r="F114" s="170">
        <v>7.9000000000000008E-3</v>
      </c>
      <c r="G114" s="249">
        <f>IF($E81&gt;0, $E81, $E80*$E82)</f>
        <v>828.96</v>
      </c>
      <c r="H114" s="169">
        <f>G114*F114</f>
        <v>6.5487840000000013</v>
      </c>
      <c r="I114" s="170">
        <v>7.3000000000000001E-3</v>
      </c>
      <c r="J114" s="249">
        <f>IF($E81&gt;0, $E81, $E80*$E83)</f>
        <v>830.00000000000011</v>
      </c>
      <c r="K114" s="169">
        <f>J114*I114</f>
        <v>6.0590000000000011</v>
      </c>
      <c r="L114" s="172">
        <f t="shared" si="13"/>
        <v>-0.48978400000000022</v>
      </c>
      <c r="M114" s="173">
        <f t="shared" si="15"/>
        <v>-7.47900678965744E-2</v>
      </c>
    </row>
    <row r="115" spans="1:13" ht="25.5" x14ac:dyDescent="0.2">
      <c r="A115" s="140" t="str">
        <f t="shared" si="16"/>
        <v>Residential</v>
      </c>
      <c r="D115" s="194" t="s">
        <v>31</v>
      </c>
      <c r="E115" s="193" t="s">
        <v>2366</v>
      </c>
      <c r="F115" s="170">
        <v>6.0000000000000001E-3</v>
      </c>
      <c r="G115" s="249">
        <f>IF($E81&gt;0, $E81, $E80*$E82)</f>
        <v>828.96</v>
      </c>
      <c r="H115" s="169">
        <f>G115*F115</f>
        <v>4.9737600000000004</v>
      </c>
      <c r="I115" s="170">
        <v>6.0000000000000001E-3</v>
      </c>
      <c r="J115" s="249">
        <f>IF($E81&gt;0, $E81, $E80*$E83)</f>
        <v>830.00000000000011</v>
      </c>
      <c r="K115" s="169">
        <f>J115*I115</f>
        <v>4.9800000000000004</v>
      </c>
      <c r="L115" s="172">
        <f t="shared" si="13"/>
        <v>6.2400000000000233E-3</v>
      </c>
      <c r="M115" s="173">
        <f t="shared" si="15"/>
        <v>1.2545840571318325E-3</v>
      </c>
    </row>
    <row r="116" spans="1:13" ht="25.5" x14ac:dyDescent="0.2">
      <c r="A116" s="140" t="str">
        <f t="shared" si="16"/>
        <v>Residential</v>
      </c>
      <c r="B116" s="158" t="s">
        <v>1893</v>
      </c>
      <c r="D116" s="188" t="s">
        <v>561</v>
      </c>
      <c r="E116" s="176"/>
      <c r="F116" s="195"/>
      <c r="G116" s="178"/>
      <c r="H116" s="191">
        <f>SUM(H113:H115)</f>
        <v>43.550518400000001</v>
      </c>
      <c r="I116" s="196"/>
      <c r="J116" s="197"/>
      <c r="K116" s="191">
        <f>SUM(K113:K115)</f>
        <v>44.168200000000013</v>
      </c>
      <c r="L116" s="182">
        <f t="shared" si="13"/>
        <v>0.6176816000000116</v>
      </c>
      <c r="M116" s="183">
        <f>IF((H116)=0,"",(L116/H116))</f>
        <v>1.4183105567809075E-2</v>
      </c>
    </row>
    <row r="117" spans="1:13" ht="25.5" x14ac:dyDescent="0.2">
      <c r="A117" s="140" t="str">
        <f t="shared" si="16"/>
        <v>Residential</v>
      </c>
      <c r="D117" s="198" t="s">
        <v>32</v>
      </c>
      <c r="E117" s="166" t="s">
        <v>2366</v>
      </c>
      <c r="F117" s="199">
        <v>4.4000000000000003E-3</v>
      </c>
      <c r="G117" s="249">
        <f>E80*E82</f>
        <v>828.96</v>
      </c>
      <c r="H117" s="200">
        <f t="shared" ref="H117:H124" si="20">G117*F117</f>
        <v>3.6474240000000004</v>
      </c>
      <c r="I117" s="201">
        <v>3.5999999999999999E-3</v>
      </c>
      <c r="J117" s="249">
        <f>E80*E83</f>
        <v>830.00000000000011</v>
      </c>
      <c r="K117" s="200">
        <f t="shared" ref="K117:K124" si="21">J117*I117</f>
        <v>2.9880000000000004</v>
      </c>
      <c r="L117" s="172">
        <f t="shared" si="13"/>
        <v>-0.65942400000000001</v>
      </c>
      <c r="M117" s="173">
        <f t="shared" si="15"/>
        <v>-0.18079170395325575</v>
      </c>
    </row>
    <row r="118" spans="1:13" ht="25.5" x14ac:dyDescent="0.2">
      <c r="A118" s="140" t="str">
        <f t="shared" si="16"/>
        <v>Residential</v>
      </c>
      <c r="D118" s="198" t="s">
        <v>33</v>
      </c>
      <c r="E118" s="166" t="s">
        <v>2366</v>
      </c>
      <c r="F118" s="199">
        <v>1.2999999999999999E-3</v>
      </c>
      <c r="G118" s="249">
        <f>E80*E82</f>
        <v>828.96</v>
      </c>
      <c r="H118" s="200">
        <f t="shared" si="20"/>
        <v>1.0776479999999999</v>
      </c>
      <c r="I118" s="201">
        <v>1.2999999999999999E-3</v>
      </c>
      <c r="J118" s="249">
        <f>E80*E83</f>
        <v>830.00000000000011</v>
      </c>
      <c r="K118" s="200">
        <f t="shared" si="21"/>
        <v>1.0790000000000002</v>
      </c>
      <c r="L118" s="172">
        <f t="shared" si="13"/>
        <v>1.3520000000002419E-3</v>
      </c>
      <c r="M118" s="173">
        <f t="shared" si="15"/>
        <v>1.2545840571320523E-3</v>
      </c>
    </row>
    <row r="119" spans="1:13" x14ac:dyDescent="0.2">
      <c r="A119" s="140" t="str">
        <f t="shared" si="16"/>
        <v>Residential</v>
      </c>
      <c r="D119" s="165" t="s">
        <v>34</v>
      </c>
      <c r="E119" s="166" t="s">
        <v>2365</v>
      </c>
      <c r="F119" s="199">
        <v>0.25</v>
      </c>
      <c r="G119" s="168">
        <v>1</v>
      </c>
      <c r="H119" s="200">
        <f t="shared" si="20"/>
        <v>0.25</v>
      </c>
      <c r="I119" s="201">
        <v>0.25</v>
      </c>
      <c r="J119" s="171">
        <v>1</v>
      </c>
      <c r="K119" s="200">
        <f t="shared" si="21"/>
        <v>0.25</v>
      </c>
      <c r="L119" s="172">
        <f t="shared" si="13"/>
        <v>0</v>
      </c>
      <c r="M119" s="173">
        <f t="shared" si="15"/>
        <v>0</v>
      </c>
    </row>
    <row r="120" spans="1:13" x14ac:dyDescent="0.2">
      <c r="A120" s="140" t="str">
        <f t="shared" si="16"/>
        <v>Residential</v>
      </c>
      <c r="D120" s="165" t="s">
        <v>35</v>
      </c>
      <c r="E120" s="166" t="s">
        <v>2366</v>
      </c>
      <c r="F120" s="199">
        <v>7.0000000000000001E-3</v>
      </c>
      <c r="G120" s="248">
        <f>E80</f>
        <v>800</v>
      </c>
      <c r="H120" s="200">
        <f t="shared" si="20"/>
        <v>5.6000000000000005</v>
      </c>
      <c r="I120" s="202"/>
      <c r="J120" s="202"/>
      <c r="K120" s="202"/>
      <c r="L120" s="202"/>
      <c r="M120" s="173">
        <f t="shared" si="15"/>
        <v>0</v>
      </c>
    </row>
    <row r="121" spans="1:13" ht="25.5" x14ac:dyDescent="0.2">
      <c r="A121" s="140" t="str">
        <f t="shared" si="16"/>
        <v>Residential</v>
      </c>
      <c r="D121" s="198" t="s">
        <v>1939</v>
      </c>
      <c r="E121" s="166" t="s">
        <v>2366</v>
      </c>
      <c r="F121" s="202"/>
      <c r="G121" s="202"/>
      <c r="H121" s="202"/>
      <c r="I121" s="201">
        <v>1.1000000000000001E-3</v>
      </c>
      <c r="J121" s="249">
        <f>E80*E83</f>
        <v>830.00000000000011</v>
      </c>
      <c r="K121" s="200">
        <f t="shared" ref="K121" si="22">J121*I121</f>
        <v>0.91300000000000014</v>
      </c>
      <c r="L121" s="172">
        <f t="shared" si="13"/>
        <v>0.91300000000000014</v>
      </c>
      <c r="M121" s="173">
        <v>1</v>
      </c>
    </row>
    <row r="122" spans="1:13" x14ac:dyDescent="0.2">
      <c r="A122" s="140" t="str">
        <f>A120</f>
        <v>Residential</v>
      </c>
      <c r="B122" s="158" t="s">
        <v>1871</v>
      </c>
      <c r="D122" s="185" t="s">
        <v>582</v>
      </c>
      <c r="E122" s="166"/>
      <c r="F122" s="203">
        <v>0.08</v>
      </c>
      <c r="G122" s="250">
        <f>IF(AND(E80*12&gt;=150000),0.64*E80*E82,0.64*E80)</f>
        <v>512</v>
      </c>
      <c r="H122" s="200">
        <f t="shared" si="20"/>
        <v>40.96</v>
      </c>
      <c r="I122" s="203">
        <v>0.08</v>
      </c>
      <c r="J122" s="250">
        <f>IF(AND(E80*12&gt;=150000),0.64*E80*E83,0.64*E80)</f>
        <v>512</v>
      </c>
      <c r="K122" s="200">
        <f t="shared" si="21"/>
        <v>40.96</v>
      </c>
      <c r="L122" s="172">
        <f>K122-H122</f>
        <v>0</v>
      </c>
      <c r="M122" s="173">
        <f t="shared" si="15"/>
        <v>0</v>
      </c>
    </row>
    <row r="123" spans="1:13" x14ac:dyDescent="0.2">
      <c r="A123" s="140" t="str">
        <f t="shared" si="16"/>
        <v>Residential</v>
      </c>
      <c r="B123" s="158" t="s">
        <v>1871</v>
      </c>
      <c r="D123" s="185" t="s">
        <v>583</v>
      </c>
      <c r="E123" s="166"/>
      <c r="F123" s="203">
        <v>0.122</v>
      </c>
      <c r="G123" s="250">
        <f>IF(AND(E80*12&gt;=150000),0.18*E80*E82,0.18*E80)</f>
        <v>144</v>
      </c>
      <c r="H123" s="200">
        <f t="shared" si="20"/>
        <v>17.567999999999998</v>
      </c>
      <c r="I123" s="203">
        <v>0.122</v>
      </c>
      <c r="J123" s="250">
        <f>IF(AND(E80*12&gt;=150000),0.18*E80*E83,0.18*E80)</f>
        <v>144</v>
      </c>
      <c r="K123" s="200">
        <f t="shared" si="21"/>
        <v>17.567999999999998</v>
      </c>
      <c r="L123" s="172">
        <f>K123-H123</f>
        <v>0</v>
      </c>
      <c r="M123" s="173">
        <f t="shared" si="15"/>
        <v>0</v>
      </c>
    </row>
    <row r="124" spans="1:13" ht="13.5" thickBot="1" x14ac:dyDescent="0.25">
      <c r="A124" s="140" t="str">
        <f t="shared" si="16"/>
        <v>Residential</v>
      </c>
      <c r="B124" s="158" t="s">
        <v>1871</v>
      </c>
      <c r="D124" s="158" t="s">
        <v>584</v>
      </c>
      <c r="E124" s="166"/>
      <c r="F124" s="203">
        <v>0.161</v>
      </c>
      <c r="G124" s="250">
        <f>IF(AND(E80*12&gt;=150000),0.18*E80*E82,0.18*E80)</f>
        <v>144</v>
      </c>
      <c r="H124" s="200">
        <f t="shared" si="20"/>
        <v>23.184000000000001</v>
      </c>
      <c r="I124" s="203">
        <v>0.161</v>
      </c>
      <c r="J124" s="250">
        <f>IF(AND(E80*12&gt;=150000),0.18*E80*E83,0.18*E80)</f>
        <v>144</v>
      </c>
      <c r="K124" s="200">
        <f t="shared" si="21"/>
        <v>23.184000000000001</v>
      </c>
      <c r="L124" s="172">
        <f>K124-H124</f>
        <v>0</v>
      </c>
      <c r="M124" s="173">
        <f t="shared" si="15"/>
        <v>0</v>
      </c>
    </row>
    <row r="125" spans="1:13" hidden="1" x14ac:dyDescent="0.2">
      <c r="A125" s="140" t="str">
        <f t="shared" si="16"/>
        <v>Residential</v>
      </c>
      <c r="B125" s="140" t="s">
        <v>1872</v>
      </c>
      <c r="D125" s="185" t="s">
        <v>1894</v>
      </c>
      <c r="E125" s="166"/>
      <c r="F125" s="203">
        <v>8.5999999999999993E-2</v>
      </c>
      <c r="G125" s="250">
        <f>IF(AND(E80*12&gt;=150000),E80*E82,E80)</f>
        <v>800</v>
      </c>
      <c r="H125" s="200">
        <f>G125*F125</f>
        <v>68.8</v>
      </c>
      <c r="I125" s="203">
        <v>8.5999999999999993E-2</v>
      </c>
      <c r="J125" s="250">
        <f>IF(AND(E80*12&gt;=150000),E80*E83,E80)</f>
        <v>800</v>
      </c>
      <c r="K125" s="200">
        <f>J125*I125</f>
        <v>68.8</v>
      </c>
      <c r="L125" s="172">
        <f>K125-H125</f>
        <v>0</v>
      </c>
      <c r="M125" s="173">
        <f t="shared" si="15"/>
        <v>0</v>
      </c>
    </row>
    <row r="126" spans="1:13" ht="13.5" hidden="1" thickBot="1" x14ac:dyDescent="0.25">
      <c r="A126" s="140" t="str">
        <f t="shared" si="16"/>
        <v>Residential</v>
      </c>
      <c r="B126" s="140" t="s">
        <v>1873</v>
      </c>
      <c r="D126" s="185" t="s">
        <v>1895</v>
      </c>
      <c r="E126" s="166"/>
      <c r="F126" s="199">
        <f>0.0906</f>
        <v>9.06E-2</v>
      </c>
      <c r="G126" s="251">
        <f>IF(AND(E80*12&gt;=150000),E80*E82,E80)</f>
        <v>800</v>
      </c>
      <c r="H126" s="200">
        <f>G126*F126</f>
        <v>72.48</v>
      </c>
      <c r="I126" s="199">
        <f>0.0906</f>
        <v>9.06E-2</v>
      </c>
      <c r="J126" s="251">
        <f>IF(AND(E80*12&gt;=150000),E80*E83,E80)</f>
        <v>800</v>
      </c>
      <c r="K126" s="200">
        <f>J126*I126</f>
        <v>72.48</v>
      </c>
      <c r="L126" s="172">
        <f>K126-H126</f>
        <v>0</v>
      </c>
      <c r="M126" s="173">
        <f t="shared" si="15"/>
        <v>0</v>
      </c>
    </row>
    <row r="127" spans="1:13" ht="13.5" thickBot="1" x14ac:dyDescent="0.25">
      <c r="A127" s="140" t="str">
        <f t="shared" si="16"/>
        <v>Residential</v>
      </c>
      <c r="B127" s="158"/>
      <c r="D127" s="204"/>
      <c r="E127" s="205"/>
      <c r="F127" s="206"/>
      <c r="G127" s="207"/>
      <c r="H127" s="208"/>
      <c r="I127" s="206"/>
      <c r="J127" s="209"/>
      <c r="K127" s="208"/>
      <c r="L127" s="210"/>
      <c r="M127" s="211"/>
    </row>
    <row r="128" spans="1:13" x14ac:dyDescent="0.2">
      <c r="A128" s="140" t="str">
        <f t="shared" si="16"/>
        <v>Residential</v>
      </c>
      <c r="B128" s="158" t="s">
        <v>1871</v>
      </c>
      <c r="D128" s="212" t="s">
        <v>585</v>
      </c>
      <c r="E128" s="165"/>
      <c r="F128" s="213"/>
      <c r="G128" s="214"/>
      <c r="H128" s="215">
        <f>SUM(H117:H124,H116)</f>
        <v>135.83759040000001</v>
      </c>
      <c r="I128" s="216"/>
      <c r="J128" s="216"/>
      <c r="K128" s="215">
        <f>SUM(K117:K124,K116)</f>
        <v>131.11020000000002</v>
      </c>
      <c r="L128" s="217">
        <f>K128-H128</f>
        <v>-4.7273903999999902</v>
      </c>
      <c r="M128" s="218">
        <f>IF((H128)=0,"",(L128/H128))</f>
        <v>-3.4801783409726839E-2</v>
      </c>
    </row>
    <row r="129" spans="1:13" x14ac:dyDescent="0.2">
      <c r="A129" s="140" t="str">
        <f t="shared" si="16"/>
        <v>Residential</v>
      </c>
      <c r="B129" s="158" t="s">
        <v>1871</v>
      </c>
      <c r="D129" s="219" t="s">
        <v>36</v>
      </c>
      <c r="E129" s="165"/>
      <c r="F129" s="213">
        <v>0.13</v>
      </c>
      <c r="G129" s="220"/>
      <c r="H129" s="221">
        <f>H128*F129</f>
        <v>17.658886752000001</v>
      </c>
      <c r="I129" s="222">
        <v>0.13</v>
      </c>
      <c r="J129" s="223"/>
      <c r="K129" s="221">
        <f>K128*I129</f>
        <v>17.044326000000002</v>
      </c>
      <c r="L129" s="224">
        <f>K129-H129</f>
        <v>-0.61456075199999916</v>
      </c>
      <c r="M129" s="225">
        <f>IF((H129)=0,"",(L129/H129))</f>
        <v>-3.4801783409726866E-2</v>
      </c>
    </row>
    <row r="130" spans="1:13" x14ac:dyDescent="0.2">
      <c r="A130" s="140" t="str">
        <f t="shared" si="16"/>
        <v>Residential</v>
      </c>
      <c r="B130" s="158" t="s">
        <v>1871</v>
      </c>
      <c r="D130" s="226" t="s">
        <v>586</v>
      </c>
      <c r="E130" s="165"/>
      <c r="F130" s="227"/>
      <c r="G130" s="220"/>
      <c r="H130" s="221">
        <f>H128+H129</f>
        <v>153.49647715200001</v>
      </c>
      <c r="I130" s="223"/>
      <c r="J130" s="223"/>
      <c r="K130" s="221">
        <f>K128+K129</f>
        <v>148.15452600000003</v>
      </c>
      <c r="L130" s="224">
        <f>K130-H130</f>
        <v>-5.3419511519999787</v>
      </c>
      <c r="M130" s="225">
        <f>IF((H130)=0,"",(L130/H130))</f>
        <v>-3.4801783409726776E-2</v>
      </c>
    </row>
    <row r="131" spans="1:13" x14ac:dyDescent="0.2">
      <c r="A131" s="140" t="str">
        <f t="shared" si="16"/>
        <v>Residential</v>
      </c>
      <c r="B131" s="158" t="s">
        <v>1871</v>
      </c>
      <c r="D131" s="2465" t="s">
        <v>264</v>
      </c>
      <c r="E131" s="2465"/>
      <c r="F131" s="227"/>
      <c r="G131" s="220"/>
      <c r="H131" s="228"/>
      <c r="I131" s="202"/>
      <c r="J131" s="202"/>
      <c r="K131" s="202"/>
      <c r="L131" s="202"/>
      <c r="M131" s="229"/>
    </row>
    <row r="132" spans="1:13" ht="13.5" thickBot="1" x14ac:dyDescent="0.25">
      <c r="A132" s="140" t="str">
        <f t="shared" si="16"/>
        <v>Residential</v>
      </c>
      <c r="B132" s="158" t="s">
        <v>1896</v>
      </c>
      <c r="D132" s="2466" t="s">
        <v>1897</v>
      </c>
      <c r="E132" s="2466"/>
      <c r="F132" s="230"/>
      <c r="G132" s="231"/>
      <c r="H132" s="232">
        <f>H130+H131</f>
        <v>153.49647715200001</v>
      </c>
      <c r="I132" s="233"/>
      <c r="J132" s="233"/>
      <c r="K132" s="232">
        <f>K130+K131</f>
        <v>148.15452600000003</v>
      </c>
      <c r="L132" s="234">
        <f>K132-H132</f>
        <v>-5.3419511519999787</v>
      </c>
      <c r="M132" s="235">
        <f>IF((H132)=0,"",(L132/H132))</f>
        <v>-3.4801783409726776E-2</v>
      </c>
    </row>
    <row r="133" spans="1:13" ht="13.5" thickBot="1" x14ac:dyDescent="0.25">
      <c r="A133" s="140" t="str">
        <f t="shared" si="16"/>
        <v>Residential</v>
      </c>
      <c r="B133" s="140" t="s">
        <v>1871</v>
      </c>
      <c r="D133" s="204"/>
      <c r="E133" s="205"/>
      <c r="F133" s="206"/>
      <c r="G133" s="207"/>
      <c r="H133" s="208"/>
      <c r="I133" s="206"/>
      <c r="J133" s="209"/>
      <c r="K133" s="208"/>
      <c r="L133" s="210"/>
      <c r="M133" s="211"/>
    </row>
    <row r="134" spans="1:13" hidden="1" x14ac:dyDescent="0.2">
      <c r="A134" s="140" t="str">
        <f t="shared" si="16"/>
        <v>Residential</v>
      </c>
      <c r="B134" s="140" t="s">
        <v>1872</v>
      </c>
      <c r="D134" s="212" t="s">
        <v>1898</v>
      </c>
      <c r="E134" s="165"/>
      <c r="F134" s="213"/>
      <c r="G134" s="214"/>
      <c r="H134" s="215">
        <f>SUM(H125,H116,H117:H122)</f>
        <v>163.88559039999998</v>
      </c>
      <c r="I134" s="216"/>
      <c r="J134" s="216"/>
      <c r="K134" s="215">
        <f>SUM(K125,K116,K117:K122)</f>
        <v>159.15819999999999</v>
      </c>
      <c r="L134" s="217">
        <f>K134-H134</f>
        <v>-4.7273903999999902</v>
      </c>
      <c r="M134" s="218">
        <f>IF((H134)=0,"",(L134/H134))</f>
        <v>-2.884567452490314E-2</v>
      </c>
    </row>
    <row r="135" spans="1:13" hidden="1" x14ac:dyDescent="0.2">
      <c r="A135" s="140" t="str">
        <f t="shared" si="16"/>
        <v>Residential</v>
      </c>
      <c r="B135" s="140" t="s">
        <v>1872</v>
      </c>
      <c r="D135" s="219" t="s">
        <v>36</v>
      </c>
      <c r="E135" s="165"/>
      <c r="F135" s="213">
        <v>0.13</v>
      </c>
      <c r="G135" s="214"/>
      <c r="H135" s="221">
        <f>H134*F135</f>
        <v>21.305126752</v>
      </c>
      <c r="I135" s="236">
        <v>0.13</v>
      </c>
      <c r="J135" s="222"/>
      <c r="K135" s="221">
        <f>K134*I135</f>
        <v>20.690566</v>
      </c>
      <c r="L135" s="224">
        <f>K135-H135</f>
        <v>-0.61456075199999916</v>
      </c>
      <c r="M135" s="225">
        <f>IF((H135)=0,"",(L135/H135))</f>
        <v>-2.8845674524903157E-2</v>
      </c>
    </row>
    <row r="136" spans="1:13" hidden="1" x14ac:dyDescent="0.2">
      <c r="A136" s="140" t="str">
        <f t="shared" si="16"/>
        <v>Residential</v>
      </c>
      <c r="B136" s="140" t="s">
        <v>1872</v>
      </c>
      <c r="D136" s="226" t="s">
        <v>586</v>
      </c>
      <c r="E136" s="165"/>
      <c r="F136" s="227"/>
      <c r="G136" s="220"/>
      <c r="H136" s="221">
        <f>H134+H135</f>
        <v>185.19071715199999</v>
      </c>
      <c r="I136" s="223"/>
      <c r="J136" s="223"/>
      <c r="K136" s="221">
        <f>K134+K135</f>
        <v>179.84876599999998</v>
      </c>
      <c r="L136" s="224">
        <f>K136-H136</f>
        <v>-5.3419511520000071</v>
      </c>
      <c r="M136" s="225">
        <f>IF((H136)=0,"",(L136/H136))</f>
        <v>-2.8845674524903237E-2</v>
      </c>
    </row>
    <row r="137" spans="1:13" hidden="1" x14ac:dyDescent="0.2">
      <c r="A137" s="140" t="str">
        <f t="shared" si="16"/>
        <v>Residential</v>
      </c>
      <c r="B137" s="140" t="s">
        <v>1872</v>
      </c>
      <c r="D137" s="2465" t="s">
        <v>264</v>
      </c>
      <c r="E137" s="2465"/>
      <c r="F137" s="227"/>
      <c r="G137" s="220"/>
      <c r="H137" s="228">
        <f>ROUND(-H136*10%,2)</f>
        <v>-18.52</v>
      </c>
      <c r="I137" s="202"/>
      <c r="J137" s="202"/>
      <c r="K137" s="202"/>
      <c r="L137" s="202"/>
      <c r="M137" s="229"/>
    </row>
    <row r="138" spans="1:13" ht="13.5" hidden="1" thickBot="1" x14ac:dyDescent="0.25">
      <c r="A138" s="140" t="str">
        <f t="shared" si="16"/>
        <v>Residential</v>
      </c>
      <c r="B138" s="140" t="s">
        <v>1899</v>
      </c>
      <c r="D138" s="2466" t="s">
        <v>1898</v>
      </c>
      <c r="E138" s="2466"/>
      <c r="F138" s="237"/>
      <c r="G138" s="238"/>
      <c r="H138" s="239">
        <f>SUM(H136:H137)</f>
        <v>166.67071715199998</v>
      </c>
      <c r="I138" s="240"/>
      <c r="J138" s="240"/>
      <c r="K138" s="239">
        <f>SUM(K136:K137)</f>
        <v>179.84876599999998</v>
      </c>
      <c r="L138" s="241">
        <f>K138-H138</f>
        <v>13.178048848000003</v>
      </c>
      <c r="M138" s="242">
        <f>IF((H138)=0,"",(L138/H138))</f>
        <v>7.9066371544930208E-2</v>
      </c>
    </row>
    <row r="139" spans="1:13" ht="13.5" hidden="1" thickBot="1" x14ac:dyDescent="0.25">
      <c r="A139" s="140" t="str">
        <f t="shared" si="16"/>
        <v>Residential</v>
      </c>
      <c r="B139" s="140" t="s">
        <v>1872</v>
      </c>
      <c r="D139" s="204"/>
      <c r="E139" s="205"/>
      <c r="F139" s="243"/>
      <c r="G139" s="244"/>
      <c r="H139" s="245"/>
      <c r="I139" s="243"/>
      <c r="J139" s="207"/>
      <c r="K139" s="245"/>
      <c r="L139" s="246"/>
      <c r="M139" s="211"/>
    </row>
    <row r="140" spans="1:13" hidden="1" x14ac:dyDescent="0.2">
      <c r="A140" s="140" t="str">
        <f t="shared" si="16"/>
        <v>Residential</v>
      </c>
      <c r="B140" s="140" t="s">
        <v>1873</v>
      </c>
      <c r="D140" s="212" t="s">
        <v>1900</v>
      </c>
      <c r="E140" s="165"/>
      <c r="F140" s="213"/>
      <c r="G140" s="214"/>
      <c r="H140" s="215">
        <f>SUM(H126,H116:H120)</f>
        <v>126.6055904</v>
      </c>
      <c r="I140" s="216"/>
      <c r="J140" s="216"/>
      <c r="K140" s="215">
        <f>SUM(K126,K116:K120)</f>
        <v>120.96520000000001</v>
      </c>
      <c r="L140" s="217">
        <f>K140-H140</f>
        <v>-5.6403903999999869</v>
      </c>
      <c r="M140" s="218">
        <f>IF((H140)=0,"",(L140/H140))</f>
        <v>-4.4550879484702335E-2</v>
      </c>
    </row>
    <row r="141" spans="1:13" hidden="1" x14ac:dyDescent="0.2">
      <c r="A141" s="140" t="str">
        <f t="shared" si="16"/>
        <v>Residential</v>
      </c>
      <c r="B141" s="140" t="s">
        <v>1873</v>
      </c>
      <c r="D141" s="219" t="s">
        <v>36</v>
      </c>
      <c r="E141" s="165"/>
      <c r="F141" s="213">
        <v>0.13</v>
      </c>
      <c r="G141" s="214"/>
      <c r="H141" s="221">
        <f>H140*F141</f>
        <v>16.458726752</v>
      </c>
      <c r="I141" s="236">
        <v>0.13</v>
      </c>
      <c r="J141" s="222"/>
      <c r="K141" s="221">
        <f>K140*I141</f>
        <v>15.725476000000002</v>
      </c>
      <c r="L141" s="224">
        <f>K141-H141</f>
        <v>-0.73325075199999823</v>
      </c>
      <c r="M141" s="225">
        <f>IF((H141)=0,"",(L141/H141))</f>
        <v>-4.4550879484702328E-2</v>
      </c>
    </row>
    <row r="142" spans="1:13" hidden="1" x14ac:dyDescent="0.2">
      <c r="A142" s="140" t="str">
        <f t="shared" si="16"/>
        <v>Residential</v>
      </c>
      <c r="B142" s="140" t="s">
        <v>1873</v>
      </c>
      <c r="D142" s="226" t="s">
        <v>586</v>
      </c>
      <c r="E142" s="165"/>
      <c r="F142" s="227"/>
      <c r="G142" s="220"/>
      <c r="H142" s="221">
        <f>H140+H141</f>
        <v>143.064317152</v>
      </c>
      <c r="I142" s="223"/>
      <c r="J142" s="223"/>
      <c r="K142" s="221">
        <f>K140+K141</f>
        <v>136.69067600000002</v>
      </c>
      <c r="L142" s="224">
        <f>K142-H142</f>
        <v>-6.3736411519999763</v>
      </c>
      <c r="M142" s="225">
        <f>IF((H142)=0,"",(L142/H142))</f>
        <v>-4.4550879484702273E-2</v>
      </c>
    </row>
    <row r="143" spans="1:13" hidden="1" x14ac:dyDescent="0.2">
      <c r="A143" s="140" t="str">
        <f t="shared" si="16"/>
        <v>Residential</v>
      </c>
      <c r="B143" s="140" t="s">
        <v>1873</v>
      </c>
      <c r="D143" s="2465" t="s">
        <v>264</v>
      </c>
      <c r="E143" s="2465"/>
      <c r="F143" s="227"/>
      <c r="G143" s="220"/>
      <c r="H143" s="228">
        <f>IF(E84="Yes", ROUND(-H142*10%,2), 0)</f>
        <v>0</v>
      </c>
      <c r="I143" s="202"/>
      <c r="J143" s="202"/>
      <c r="K143" s="202"/>
      <c r="L143" s="202"/>
      <c r="M143" s="229"/>
    </row>
    <row r="144" spans="1:13" ht="13.5" hidden="1" thickBot="1" x14ac:dyDescent="0.25">
      <c r="A144" s="140" t="str">
        <f t="shared" si="16"/>
        <v>Residential</v>
      </c>
      <c r="B144" s="140" t="s">
        <v>1901</v>
      </c>
      <c r="D144" s="2466" t="s">
        <v>1900</v>
      </c>
      <c r="E144" s="2466"/>
      <c r="F144" s="237"/>
      <c r="G144" s="238"/>
      <c r="H144" s="239">
        <f>SUM(H142:H143)</f>
        <v>143.064317152</v>
      </c>
      <c r="I144" s="240"/>
      <c r="J144" s="240"/>
      <c r="K144" s="239">
        <f>SUM(K142:K143)</f>
        <v>136.69067600000002</v>
      </c>
      <c r="L144" s="241">
        <f>K144-H144</f>
        <v>-6.3736411519999763</v>
      </c>
      <c r="M144" s="242">
        <f>IF((H144)=0,"",(L144/H144))</f>
        <v>-4.4550879484702273E-2</v>
      </c>
    </row>
    <row r="145" spans="1:20" ht="13.5" hidden="1" thickBot="1" x14ac:dyDescent="0.25">
      <c r="A145" s="140" t="str">
        <f t="shared" si="16"/>
        <v>Residential</v>
      </c>
      <c r="B145" s="140" t="s">
        <v>1873</v>
      </c>
      <c r="D145" s="204"/>
      <c r="E145" s="205"/>
      <c r="F145" s="243"/>
      <c r="G145" s="244"/>
      <c r="H145" s="245"/>
      <c r="I145" s="243"/>
      <c r="J145" s="207"/>
      <c r="K145" s="245"/>
      <c r="L145" s="246"/>
      <c r="M145" s="211"/>
    </row>
    <row r="148" spans="1:20" x14ac:dyDescent="0.2">
      <c r="D148" s="1315" t="s">
        <v>37</v>
      </c>
      <c r="E148" s="2467" t="str">
        <f>D31</f>
        <v>GS &lt;50 kW</v>
      </c>
      <c r="F148" s="2467"/>
      <c r="G148" s="2467"/>
      <c r="H148" s="1316"/>
      <c r="I148" s="1316"/>
      <c r="T148" s="140" t="s">
        <v>2364</v>
      </c>
    </row>
    <row r="149" spans="1:20" x14ac:dyDescent="0.2">
      <c r="D149" s="1315" t="s">
        <v>1887</v>
      </c>
      <c r="E149" s="2467" t="str">
        <f>H31</f>
        <v>RPP</v>
      </c>
      <c r="F149" s="2467"/>
      <c r="G149" s="2467"/>
      <c r="H149" s="1316"/>
      <c r="I149" s="1316"/>
    </row>
    <row r="150" spans="1:20" ht="15.75" x14ac:dyDescent="0.2">
      <c r="D150" s="1315" t="s">
        <v>14</v>
      </c>
      <c r="E150" s="1802">
        <v>2000</v>
      </c>
      <c r="F150" s="334" t="s">
        <v>110</v>
      </c>
      <c r="G150" s="158"/>
      <c r="J150" s="1318"/>
      <c r="K150" s="1318"/>
      <c r="L150" s="1318"/>
      <c r="M150" s="1318"/>
    </row>
    <row r="151" spans="1:20" ht="15.75" x14ac:dyDescent="0.25">
      <c r="D151" s="1315" t="s">
        <v>1888</v>
      </c>
      <c r="E151" s="1802">
        <f>M31</f>
        <v>0</v>
      </c>
      <c r="F151" s="757" t="s">
        <v>111</v>
      </c>
      <c r="G151" s="498"/>
      <c r="H151" s="435"/>
      <c r="I151" s="435"/>
      <c r="J151" s="435"/>
    </row>
    <row r="152" spans="1:20" x14ac:dyDescent="0.2">
      <c r="D152" s="1315" t="s">
        <v>1889</v>
      </c>
      <c r="E152" s="1319">
        <f>J31</f>
        <v>1.0362</v>
      </c>
    </row>
    <row r="153" spans="1:20" x14ac:dyDescent="0.2">
      <c r="D153" s="1315" t="s">
        <v>1890</v>
      </c>
      <c r="E153" s="1319">
        <f>K31</f>
        <v>1.0375000000000001</v>
      </c>
    </row>
    <row r="154" spans="1:20" x14ac:dyDescent="0.2">
      <c r="D154" s="334" t="s">
        <v>1976</v>
      </c>
      <c r="E154" s="1521" t="str">
        <f>I31</f>
        <v>No</v>
      </c>
    </row>
    <row r="155" spans="1:20" x14ac:dyDescent="0.2">
      <c r="D155" s="158"/>
    </row>
    <row r="156" spans="1:20" x14ac:dyDescent="0.2">
      <c r="D156" s="158"/>
      <c r="E156" s="159"/>
      <c r="F156" s="2468" t="s">
        <v>15</v>
      </c>
      <c r="G156" s="2469"/>
      <c r="H156" s="2470"/>
      <c r="I156" s="2468" t="s">
        <v>16</v>
      </c>
      <c r="J156" s="2469"/>
      <c r="K156" s="2470"/>
      <c r="L156" s="2468" t="s">
        <v>17</v>
      </c>
      <c r="M156" s="2470"/>
    </row>
    <row r="157" spans="1:20" x14ac:dyDescent="0.2">
      <c r="D157" s="158"/>
      <c r="E157" s="2459" t="s">
        <v>18</v>
      </c>
      <c r="F157" s="160" t="s">
        <v>19</v>
      </c>
      <c r="G157" s="160" t="s">
        <v>20</v>
      </c>
      <c r="H157" s="161" t="s">
        <v>21</v>
      </c>
      <c r="I157" s="160" t="s">
        <v>19</v>
      </c>
      <c r="J157" s="162" t="s">
        <v>20</v>
      </c>
      <c r="K157" s="161" t="s">
        <v>21</v>
      </c>
      <c r="L157" s="2461" t="s">
        <v>22</v>
      </c>
      <c r="M157" s="2463" t="s">
        <v>23</v>
      </c>
    </row>
    <row r="158" spans="1:20" x14ac:dyDescent="0.2">
      <c r="D158" s="158"/>
      <c r="E158" s="2460"/>
      <c r="F158" s="163" t="s">
        <v>402</v>
      </c>
      <c r="G158" s="163"/>
      <c r="H158" s="164" t="s">
        <v>402</v>
      </c>
      <c r="I158" s="163" t="s">
        <v>402</v>
      </c>
      <c r="J158" s="164"/>
      <c r="K158" s="164" t="s">
        <v>402</v>
      </c>
      <c r="L158" s="2462"/>
      <c r="M158" s="2464"/>
    </row>
    <row r="159" spans="1:20" x14ac:dyDescent="0.2">
      <c r="A159" s="140" t="str">
        <f>$E148</f>
        <v>GS &lt;50 kW</v>
      </c>
      <c r="D159" s="165" t="s">
        <v>24</v>
      </c>
      <c r="E159" s="166" t="s">
        <v>2365</v>
      </c>
      <c r="F159" s="167">
        <v>16.420000000000002</v>
      </c>
      <c r="G159" s="168">
        <v>1</v>
      </c>
      <c r="H159" s="169">
        <f>G159*F159</f>
        <v>16.420000000000002</v>
      </c>
      <c r="I159" s="170">
        <v>16.61</v>
      </c>
      <c r="J159" s="171">
        <v>1</v>
      </c>
      <c r="K159" s="169">
        <f>J159*I159</f>
        <v>16.61</v>
      </c>
      <c r="L159" s="172">
        <f t="shared" ref="L159:L191" si="23">K159-H159</f>
        <v>0.18999999999999773</v>
      </c>
      <c r="M159" s="173">
        <f>IF(ISERROR(L159/H159), "", L159/H159)</f>
        <v>1.1571254567600348E-2</v>
      </c>
    </row>
    <row r="160" spans="1:20" x14ac:dyDescent="0.2">
      <c r="A160" s="140" t="str">
        <f>A159</f>
        <v>GS &lt;50 kW</v>
      </c>
      <c r="D160" s="165" t="s">
        <v>25</v>
      </c>
      <c r="E160" s="166"/>
      <c r="F160" s="167"/>
      <c r="G160" s="168">
        <v>1</v>
      </c>
      <c r="H160" s="169">
        <f t="shared" ref="H160:H174" si="24">G160*F160</f>
        <v>0</v>
      </c>
      <c r="I160" s="170"/>
      <c r="J160" s="171">
        <v>1</v>
      </c>
      <c r="K160" s="169">
        <f>J160*I160</f>
        <v>0</v>
      </c>
      <c r="L160" s="172">
        <f t="shared" si="23"/>
        <v>0</v>
      </c>
      <c r="M160" s="173" t="str">
        <f t="shared" ref="M160:M196" si="25">IF(ISERROR(L160/H160), "", L160/H160)</f>
        <v/>
      </c>
    </row>
    <row r="161" spans="1:13" x14ac:dyDescent="0.2">
      <c r="A161" s="140" t="str">
        <f t="shared" ref="A161:A215" si="26">A160</f>
        <v>GS &lt;50 kW</v>
      </c>
      <c r="D161" s="174" t="s">
        <v>2369</v>
      </c>
      <c r="E161" s="166" t="s">
        <v>2365</v>
      </c>
      <c r="F161" s="167">
        <v>2.78</v>
      </c>
      <c r="G161" s="168">
        <v>1</v>
      </c>
      <c r="H161" s="169">
        <f t="shared" si="24"/>
        <v>2.78</v>
      </c>
      <c r="I161" s="170"/>
      <c r="J161" s="171">
        <v>1</v>
      </c>
      <c r="K161" s="169">
        <f t="shared" ref="K161:K174" si="27">J161*I161</f>
        <v>0</v>
      </c>
      <c r="L161" s="172">
        <f t="shared" si="23"/>
        <v>-2.78</v>
      </c>
      <c r="M161" s="173">
        <f t="shared" si="25"/>
        <v>-1</v>
      </c>
    </row>
    <row r="162" spans="1:13" x14ac:dyDescent="0.2">
      <c r="A162" s="140" t="str">
        <f t="shared" si="26"/>
        <v>GS &lt;50 kW</v>
      </c>
      <c r="D162" s="174" t="s">
        <v>2370</v>
      </c>
      <c r="E162" s="166" t="s">
        <v>2365</v>
      </c>
      <c r="F162" s="167">
        <v>0.08</v>
      </c>
      <c r="G162" s="168">
        <v>1</v>
      </c>
      <c r="H162" s="169">
        <f t="shared" si="24"/>
        <v>0.08</v>
      </c>
      <c r="I162" s="170"/>
      <c r="J162" s="171">
        <v>1</v>
      </c>
      <c r="K162" s="169">
        <f t="shared" si="27"/>
        <v>0</v>
      </c>
      <c r="L162" s="172">
        <f t="shared" si="23"/>
        <v>-0.08</v>
      </c>
      <c r="M162" s="173">
        <f t="shared" si="25"/>
        <v>-1</v>
      </c>
    </row>
    <row r="163" spans="1:13" x14ac:dyDescent="0.2">
      <c r="A163" s="140" t="str">
        <f t="shared" si="26"/>
        <v>GS &lt;50 kW</v>
      </c>
      <c r="D163" s="174"/>
      <c r="E163" s="166"/>
      <c r="F163" s="167"/>
      <c r="G163" s="168">
        <v>1</v>
      </c>
      <c r="H163" s="169">
        <f t="shared" si="24"/>
        <v>0</v>
      </c>
      <c r="I163" s="170"/>
      <c r="J163" s="171">
        <v>1</v>
      </c>
      <c r="K163" s="169">
        <f t="shared" si="27"/>
        <v>0</v>
      </c>
      <c r="L163" s="172">
        <f t="shared" si="23"/>
        <v>0</v>
      </c>
      <c r="M163" s="173" t="str">
        <f t="shared" si="25"/>
        <v/>
      </c>
    </row>
    <row r="164" spans="1:13" x14ac:dyDescent="0.2">
      <c r="A164" s="140" t="str">
        <f t="shared" si="26"/>
        <v>GS &lt;50 kW</v>
      </c>
      <c r="D164" s="174"/>
      <c r="E164" s="166"/>
      <c r="F164" s="167"/>
      <c r="G164" s="168">
        <v>1</v>
      </c>
      <c r="H164" s="169">
        <f t="shared" si="24"/>
        <v>0</v>
      </c>
      <c r="I164" s="170"/>
      <c r="J164" s="171">
        <v>1</v>
      </c>
      <c r="K164" s="169">
        <f t="shared" si="27"/>
        <v>0</v>
      </c>
      <c r="L164" s="172">
        <f t="shared" si="23"/>
        <v>0</v>
      </c>
      <c r="M164" s="173" t="str">
        <f t="shared" si="25"/>
        <v/>
      </c>
    </row>
    <row r="165" spans="1:13" x14ac:dyDescent="0.2">
      <c r="A165" s="140" t="str">
        <f t="shared" si="26"/>
        <v>GS &lt;50 kW</v>
      </c>
      <c r="D165" s="165" t="s">
        <v>26</v>
      </c>
      <c r="E165" s="166" t="s">
        <v>2366</v>
      </c>
      <c r="F165" s="167">
        <v>1.7399999999999999E-2</v>
      </c>
      <c r="G165" s="248">
        <f>IF($E151&gt;0, $E151, $E150)</f>
        <v>2000</v>
      </c>
      <c r="H165" s="169">
        <f t="shared" si="24"/>
        <v>34.799999999999997</v>
      </c>
      <c r="I165" s="170">
        <v>1.7500000000000002E-2</v>
      </c>
      <c r="J165" s="248">
        <f>IF($E151&gt;0, $E151, $E150)</f>
        <v>2000</v>
      </c>
      <c r="K165" s="169">
        <f t="shared" si="27"/>
        <v>35</v>
      </c>
      <c r="L165" s="172">
        <f t="shared" si="23"/>
        <v>0.20000000000000284</v>
      </c>
      <c r="M165" s="173">
        <f t="shared" si="25"/>
        <v>5.7471264367816915E-3</v>
      </c>
    </row>
    <row r="166" spans="1:13" x14ac:dyDescent="0.2">
      <c r="A166" s="140" t="str">
        <f t="shared" si="26"/>
        <v>GS &lt;50 kW</v>
      </c>
      <c r="D166" s="165" t="s">
        <v>27</v>
      </c>
      <c r="E166" s="166"/>
      <c r="F166" s="167"/>
      <c r="G166" s="248">
        <f>IF($E151&gt;0, $E151, $E150)</f>
        <v>2000</v>
      </c>
      <c r="H166" s="169">
        <f t="shared" si="24"/>
        <v>0</v>
      </c>
      <c r="I166" s="170"/>
      <c r="J166" s="248">
        <f>IF($E151&gt;0, $E151, $E150)</f>
        <v>2000</v>
      </c>
      <c r="K166" s="169">
        <f t="shared" si="27"/>
        <v>0</v>
      </c>
      <c r="L166" s="172">
        <f t="shared" si="23"/>
        <v>0</v>
      </c>
      <c r="M166" s="173" t="str">
        <f t="shared" si="25"/>
        <v/>
      </c>
    </row>
    <row r="167" spans="1:13" x14ac:dyDescent="0.2">
      <c r="A167" s="140" t="str">
        <f t="shared" si="26"/>
        <v>GS &lt;50 kW</v>
      </c>
      <c r="D167" s="165" t="s">
        <v>28</v>
      </c>
      <c r="E167" s="166" t="s">
        <v>2366</v>
      </c>
      <c r="F167" s="167"/>
      <c r="G167" s="248">
        <f>IF($E151&gt;0, $E151, $E150)</f>
        <v>2000</v>
      </c>
      <c r="H167" s="169">
        <f t="shared" si="24"/>
        <v>0</v>
      </c>
      <c r="I167" s="170">
        <v>4.0000000000000002E-4</v>
      </c>
      <c r="J167" s="248">
        <f>IF($E151&gt;0, $E151, $E150)</f>
        <v>2000</v>
      </c>
      <c r="K167" s="169">
        <f t="shared" si="27"/>
        <v>0.8</v>
      </c>
      <c r="L167" s="172">
        <f t="shared" si="23"/>
        <v>0.8</v>
      </c>
      <c r="M167" s="173">
        <v>1</v>
      </c>
    </row>
    <row r="168" spans="1:13" x14ac:dyDescent="0.2">
      <c r="A168" s="140" t="str">
        <f t="shared" si="26"/>
        <v>GS &lt;50 kW</v>
      </c>
      <c r="D168" s="174"/>
      <c r="E168" s="166"/>
      <c r="F168" s="167"/>
      <c r="G168" s="248">
        <f>IF($E151&gt;0, $E151, $E150)</f>
        <v>2000</v>
      </c>
      <c r="H168" s="169">
        <f t="shared" si="24"/>
        <v>0</v>
      </c>
      <c r="I168" s="170"/>
      <c r="J168" s="248">
        <f>IF($E151&gt;0, $E151, $E150)</f>
        <v>2000</v>
      </c>
      <c r="K168" s="169">
        <f t="shared" si="27"/>
        <v>0</v>
      </c>
      <c r="L168" s="172">
        <f t="shared" si="23"/>
        <v>0</v>
      </c>
      <c r="M168" s="173" t="str">
        <f t="shared" si="25"/>
        <v/>
      </c>
    </row>
    <row r="169" spans="1:13" x14ac:dyDescent="0.2">
      <c r="A169" s="140" t="str">
        <f t="shared" si="26"/>
        <v>GS &lt;50 kW</v>
      </c>
      <c r="D169" s="174"/>
      <c r="E169" s="166"/>
      <c r="F169" s="167"/>
      <c r="G169" s="248">
        <f>IF($E151&gt;0, $E151, $E150)</f>
        <v>2000</v>
      </c>
      <c r="H169" s="169">
        <f t="shared" si="24"/>
        <v>0</v>
      </c>
      <c r="I169" s="170"/>
      <c r="J169" s="248">
        <f>IF($E151&gt;0, $E151, $E150)</f>
        <v>2000</v>
      </c>
      <c r="K169" s="169">
        <f t="shared" si="27"/>
        <v>0</v>
      </c>
      <c r="L169" s="172">
        <f t="shared" si="23"/>
        <v>0</v>
      </c>
      <c r="M169" s="173" t="str">
        <f t="shared" si="25"/>
        <v/>
      </c>
    </row>
    <row r="170" spans="1:13" x14ac:dyDescent="0.2">
      <c r="A170" s="140" t="str">
        <f t="shared" si="26"/>
        <v>GS &lt;50 kW</v>
      </c>
      <c r="D170" s="174"/>
      <c r="E170" s="166"/>
      <c r="F170" s="167"/>
      <c r="G170" s="248">
        <f>IF($E151&gt;0, $E151, $E150)</f>
        <v>2000</v>
      </c>
      <c r="H170" s="169">
        <f t="shared" si="24"/>
        <v>0</v>
      </c>
      <c r="I170" s="170"/>
      <c r="J170" s="248">
        <f>IF($E151&gt;0, $E151, $E150)</f>
        <v>2000</v>
      </c>
      <c r="K170" s="169">
        <f t="shared" si="27"/>
        <v>0</v>
      </c>
      <c r="L170" s="172">
        <f t="shared" si="23"/>
        <v>0</v>
      </c>
      <c r="M170" s="173" t="str">
        <f t="shared" si="25"/>
        <v/>
      </c>
    </row>
    <row r="171" spans="1:13" x14ac:dyDescent="0.2">
      <c r="A171" s="140" t="str">
        <f t="shared" si="26"/>
        <v>GS &lt;50 kW</v>
      </c>
      <c r="D171" s="174"/>
      <c r="E171" s="166"/>
      <c r="F171" s="167"/>
      <c r="G171" s="248">
        <f>IF($E151&gt;0, $E151, $E150)</f>
        <v>2000</v>
      </c>
      <c r="H171" s="169">
        <f t="shared" si="24"/>
        <v>0</v>
      </c>
      <c r="I171" s="170"/>
      <c r="J171" s="248">
        <f>IF($E151&gt;0, $E151, $E150)</f>
        <v>2000</v>
      </c>
      <c r="K171" s="169">
        <f t="shared" si="27"/>
        <v>0</v>
      </c>
      <c r="L171" s="172">
        <f t="shared" si="23"/>
        <v>0</v>
      </c>
      <c r="M171" s="173" t="str">
        <f t="shared" si="25"/>
        <v/>
      </c>
    </row>
    <row r="172" spans="1:13" x14ac:dyDescent="0.2">
      <c r="A172" s="140" t="str">
        <f t="shared" si="26"/>
        <v>GS &lt;50 kW</v>
      </c>
      <c r="D172" s="174"/>
      <c r="E172" s="166"/>
      <c r="F172" s="167"/>
      <c r="G172" s="248">
        <f>IF($E151&gt;0, $E151, $E150)</f>
        <v>2000</v>
      </c>
      <c r="H172" s="169">
        <f t="shared" si="24"/>
        <v>0</v>
      </c>
      <c r="I172" s="170"/>
      <c r="J172" s="248">
        <f>IF($E151&gt;0, $E151, $E150)</f>
        <v>2000</v>
      </c>
      <c r="K172" s="169">
        <f t="shared" si="27"/>
        <v>0</v>
      </c>
      <c r="L172" s="172">
        <f t="shared" si="23"/>
        <v>0</v>
      </c>
      <c r="M172" s="173" t="str">
        <f t="shared" si="25"/>
        <v/>
      </c>
    </row>
    <row r="173" spans="1:13" x14ac:dyDescent="0.2">
      <c r="A173" s="140" t="str">
        <f t="shared" si="26"/>
        <v>GS &lt;50 kW</v>
      </c>
      <c r="D173" s="174"/>
      <c r="E173" s="166"/>
      <c r="F173" s="167"/>
      <c r="G173" s="248">
        <f>IF($E151&gt;0, $E151, $E150)</f>
        <v>2000</v>
      </c>
      <c r="H173" s="169">
        <f t="shared" si="24"/>
        <v>0</v>
      </c>
      <c r="I173" s="170"/>
      <c r="J173" s="248">
        <f>IF($E151&gt;0, $E151, $E150)</f>
        <v>2000</v>
      </c>
      <c r="K173" s="169">
        <f t="shared" si="27"/>
        <v>0</v>
      </c>
      <c r="L173" s="172">
        <f t="shared" si="23"/>
        <v>0</v>
      </c>
      <c r="M173" s="173" t="str">
        <f t="shared" si="25"/>
        <v/>
      </c>
    </row>
    <row r="174" spans="1:13" x14ac:dyDescent="0.2">
      <c r="A174" s="140" t="str">
        <f t="shared" si="26"/>
        <v>GS &lt;50 kW</v>
      </c>
      <c r="D174" s="174"/>
      <c r="E174" s="166"/>
      <c r="F174" s="167"/>
      <c r="G174" s="248">
        <f>IF($E151&gt;0, $E151, $E150)</f>
        <v>2000</v>
      </c>
      <c r="H174" s="169">
        <f t="shared" si="24"/>
        <v>0</v>
      </c>
      <c r="I174" s="170"/>
      <c r="J174" s="248">
        <f>IF($E151&gt;0, $E151, $E150)</f>
        <v>2000</v>
      </c>
      <c r="K174" s="169">
        <f t="shared" si="27"/>
        <v>0</v>
      </c>
      <c r="L174" s="172">
        <f t="shared" si="23"/>
        <v>0</v>
      </c>
      <c r="M174" s="173" t="str">
        <f t="shared" si="25"/>
        <v/>
      </c>
    </row>
    <row r="175" spans="1:13" x14ac:dyDescent="0.2">
      <c r="A175" s="140" t="str">
        <f t="shared" si="26"/>
        <v>GS &lt;50 kW</v>
      </c>
      <c r="B175" s="338" t="s">
        <v>1891</v>
      </c>
      <c r="C175" s="337"/>
      <c r="D175" s="175" t="s">
        <v>617</v>
      </c>
      <c r="E175" s="176"/>
      <c r="F175" s="177"/>
      <c r="G175" s="178"/>
      <c r="H175" s="179">
        <f>SUM(H159:H174)</f>
        <v>54.08</v>
      </c>
      <c r="I175" s="180"/>
      <c r="J175" s="181"/>
      <c r="K175" s="179">
        <f>SUM(K159:K174)</f>
        <v>52.41</v>
      </c>
      <c r="L175" s="182">
        <f t="shared" si="23"/>
        <v>-1.6700000000000017</v>
      </c>
      <c r="M175" s="183">
        <f>IF((H175)=0,"",(L175/H175))</f>
        <v>-3.0880177514792932E-2</v>
      </c>
    </row>
    <row r="176" spans="1:13" ht="25.5" x14ac:dyDescent="0.2">
      <c r="A176" s="140" t="str">
        <f t="shared" si="26"/>
        <v>GS &lt;50 kW</v>
      </c>
      <c r="D176" s="184" t="s">
        <v>29</v>
      </c>
      <c r="E176" s="166" t="s">
        <v>2366</v>
      </c>
      <c r="F176" s="167"/>
      <c r="G176" s="248">
        <f>IF($E151&gt;0, $E151, $E150)</f>
        <v>2000</v>
      </c>
      <c r="H176" s="169">
        <f>G176*F176</f>
        <v>0</v>
      </c>
      <c r="I176" s="170">
        <f>0.0037</f>
        <v>3.7000000000000002E-3</v>
      </c>
      <c r="J176" s="248">
        <f>IF($E151&gt;0, $E151, $E150)</f>
        <v>2000</v>
      </c>
      <c r="K176" s="169">
        <f>J176*I176</f>
        <v>7.4</v>
      </c>
      <c r="L176" s="172">
        <f t="shared" si="23"/>
        <v>7.4</v>
      </c>
      <c r="M176" s="173">
        <v>1</v>
      </c>
    </row>
    <row r="177" spans="1:13" ht="25.5" x14ac:dyDescent="0.2">
      <c r="A177" s="140" t="str">
        <f t="shared" si="26"/>
        <v>GS &lt;50 kW</v>
      </c>
      <c r="D177" s="184" t="s">
        <v>2376</v>
      </c>
      <c r="E177" s="166" t="s">
        <v>2366</v>
      </c>
      <c r="F177" s="167"/>
      <c r="G177" s="248">
        <f>IF($E151&gt;0, $E151, $E150)</f>
        <v>2000</v>
      </c>
      <c r="H177" s="169">
        <f t="shared" ref="H177:H181" si="28">G177*F177</f>
        <v>0</v>
      </c>
      <c r="I177" s="170">
        <v>-3.2000000000000002E-3</v>
      </c>
      <c r="J177" s="248">
        <f>IF($E151&gt;0, $E151, $E150)</f>
        <v>2000</v>
      </c>
      <c r="K177" s="169">
        <f t="shared" ref="K177:K181" si="29">J177*I177</f>
        <v>-6.4</v>
      </c>
      <c r="L177" s="172">
        <f t="shared" si="23"/>
        <v>-6.4</v>
      </c>
      <c r="M177" s="173">
        <v>1</v>
      </c>
    </row>
    <row r="178" spans="1:13" x14ac:dyDescent="0.2">
      <c r="A178" s="140" t="str">
        <f t="shared" si="26"/>
        <v>GS &lt;50 kW</v>
      </c>
      <c r="D178" s="184" t="s">
        <v>2367</v>
      </c>
      <c r="E178" s="166" t="s">
        <v>2366</v>
      </c>
      <c r="F178" s="167"/>
      <c r="G178" s="248">
        <f>IF($E151&gt;0, $E151, $E150)</f>
        <v>2000</v>
      </c>
      <c r="H178" s="169">
        <f t="shared" si="28"/>
        <v>0</v>
      </c>
      <c r="I178" s="170">
        <v>2.9999999999999997E-4</v>
      </c>
      <c r="J178" s="248">
        <f>IF($E151&gt;0, $E151, $E150)</f>
        <v>2000</v>
      </c>
      <c r="K178" s="169">
        <f t="shared" si="29"/>
        <v>0.6</v>
      </c>
      <c r="L178" s="172">
        <f t="shared" si="23"/>
        <v>0.6</v>
      </c>
      <c r="M178" s="173">
        <v>1</v>
      </c>
    </row>
    <row r="179" spans="1:13" x14ac:dyDescent="0.2">
      <c r="A179" s="140" t="str">
        <f t="shared" si="26"/>
        <v>GS &lt;50 kW</v>
      </c>
      <c r="D179" s="184" t="s">
        <v>2368</v>
      </c>
      <c r="E179" s="166" t="s">
        <v>2366</v>
      </c>
      <c r="F179" s="167"/>
      <c r="G179" s="248">
        <f>IF($E151&gt;0, $E151, $E150)</f>
        <v>2000</v>
      </c>
      <c r="H179" s="169">
        <f t="shared" si="28"/>
        <v>0</v>
      </c>
      <c r="I179" s="170">
        <v>-1.9E-3</v>
      </c>
      <c r="J179" s="248">
        <f>IF($E151&gt;0, $E151, $E150)</f>
        <v>2000</v>
      </c>
      <c r="K179" s="169">
        <f t="shared" si="29"/>
        <v>-3.8</v>
      </c>
      <c r="L179" s="172">
        <f t="shared" si="23"/>
        <v>-3.8</v>
      </c>
      <c r="M179" s="173">
        <v>1</v>
      </c>
    </row>
    <row r="180" spans="1:13" x14ac:dyDescent="0.2">
      <c r="A180" s="140" t="str">
        <f t="shared" si="26"/>
        <v>GS &lt;50 kW</v>
      </c>
      <c r="D180" s="185" t="s">
        <v>605</v>
      </c>
      <c r="E180" s="166" t="s">
        <v>2366</v>
      </c>
      <c r="F180" s="167">
        <v>2.0000000000000001E-4</v>
      </c>
      <c r="G180" s="248">
        <f>IF($E151&gt;0, $E151, $E150)</f>
        <v>2000</v>
      </c>
      <c r="H180" s="169">
        <f>G180*F180</f>
        <v>0.4</v>
      </c>
      <c r="I180" s="170">
        <v>5.9999999999999995E-4</v>
      </c>
      <c r="J180" s="248">
        <f>IF($E151&gt;0, $E151, $E150)</f>
        <v>2000</v>
      </c>
      <c r="K180" s="169">
        <f>J180*I180</f>
        <v>1.2</v>
      </c>
      <c r="L180" s="172">
        <f t="shared" si="23"/>
        <v>0.79999999999999993</v>
      </c>
      <c r="M180" s="173">
        <f t="shared" si="25"/>
        <v>1.9999999999999998</v>
      </c>
    </row>
    <row r="181" spans="1:13" x14ac:dyDescent="0.2">
      <c r="A181" s="140" t="str">
        <f t="shared" si="26"/>
        <v>GS &lt;50 kW</v>
      </c>
      <c r="D181" s="185" t="s">
        <v>928</v>
      </c>
      <c r="E181" s="166"/>
      <c r="F181" s="186">
        <f>IF((E150*12&gt;=150000), 0, IF(E149="RPP",(F192*0.64+F193*0.18+F194*0.18),IF(E149="Non-RPP (Retailer)",F195,F196)))</f>
        <v>0.10214000000000001</v>
      </c>
      <c r="G181" s="249">
        <f>IF(F181=0, 0, $E150*E152-E150)</f>
        <v>72.400000000000091</v>
      </c>
      <c r="H181" s="169">
        <f t="shared" si="28"/>
        <v>7.3949360000000102</v>
      </c>
      <c r="I181" s="187">
        <f>IF((E150*12&gt;=150000), 0, IF(E149="RPP",(I192*0.64+I193*0.18+I194*0.18),IF(E149="Non-RPP (Retailer)",I195,I196)))</f>
        <v>0.10214000000000001</v>
      </c>
      <c r="J181" s="249">
        <f>IF(I181=0, 0, E150*E153-E150)</f>
        <v>75</v>
      </c>
      <c r="K181" s="169">
        <f t="shared" si="29"/>
        <v>7.6605000000000008</v>
      </c>
      <c r="L181" s="172">
        <f t="shared" si="23"/>
        <v>0.26556399999999059</v>
      </c>
      <c r="M181" s="173">
        <f t="shared" si="25"/>
        <v>3.5911602209943431E-2</v>
      </c>
    </row>
    <row r="182" spans="1:13" x14ac:dyDescent="0.2">
      <c r="A182" s="140" t="str">
        <f t="shared" si="26"/>
        <v>GS &lt;50 kW</v>
      </c>
      <c r="D182" s="185" t="s">
        <v>562</v>
      </c>
      <c r="E182" s="166" t="s">
        <v>2365</v>
      </c>
      <c r="F182" s="186">
        <v>0.79</v>
      </c>
      <c r="G182" s="168">
        <v>1</v>
      </c>
      <c r="H182" s="169">
        <f>G182*F182</f>
        <v>0.79</v>
      </c>
      <c r="I182" s="186">
        <v>0.79</v>
      </c>
      <c r="J182" s="168">
        <v>1</v>
      </c>
      <c r="K182" s="169">
        <f>J182*I182</f>
        <v>0.79</v>
      </c>
      <c r="L182" s="172">
        <f t="shared" si="23"/>
        <v>0</v>
      </c>
      <c r="M182" s="173">
        <f t="shared" si="25"/>
        <v>0</v>
      </c>
    </row>
    <row r="183" spans="1:13" ht="25.5" x14ac:dyDescent="0.2">
      <c r="A183" s="140" t="str">
        <f t="shared" si="26"/>
        <v>GS &lt;50 kW</v>
      </c>
      <c r="B183" s="158" t="s">
        <v>1892</v>
      </c>
      <c r="D183" s="188" t="s">
        <v>560</v>
      </c>
      <c r="E183" s="189"/>
      <c r="F183" s="190"/>
      <c r="G183" s="178"/>
      <c r="H183" s="191">
        <f>SUM(H176:H182)+H175</f>
        <v>62.664936000000012</v>
      </c>
      <c r="I183" s="178"/>
      <c r="J183" s="181"/>
      <c r="K183" s="191">
        <f>SUM(K176:K182)+K175</f>
        <v>59.860499999999995</v>
      </c>
      <c r="L183" s="182">
        <f t="shared" si="23"/>
        <v>-2.8044360000000168</v>
      </c>
      <c r="M183" s="183">
        <f>IF((H183)=0,"",(L183/H183))</f>
        <v>-4.4752874238952647E-2</v>
      </c>
    </row>
    <row r="184" spans="1:13" x14ac:dyDescent="0.2">
      <c r="A184" s="140" t="str">
        <f t="shared" si="26"/>
        <v>GS &lt;50 kW</v>
      </c>
      <c r="D184" s="192" t="s">
        <v>30</v>
      </c>
      <c r="E184" s="193" t="s">
        <v>2366</v>
      </c>
      <c r="F184" s="170">
        <v>7.3000000000000001E-3</v>
      </c>
      <c r="G184" s="249">
        <f>IF($E151&gt;0, $E151, $E150*$E152)</f>
        <v>2072.4</v>
      </c>
      <c r="H184" s="169">
        <f>G184*F184</f>
        <v>15.12852</v>
      </c>
      <c r="I184" s="170">
        <v>6.7000000000000002E-3</v>
      </c>
      <c r="J184" s="249">
        <f>IF($E151&gt;0, $E151, $E150*$E153)</f>
        <v>2075</v>
      </c>
      <c r="K184" s="169">
        <f>J184*I184</f>
        <v>13.9025</v>
      </c>
      <c r="L184" s="172">
        <f t="shared" si="23"/>
        <v>-1.2260200000000001</v>
      </c>
      <c r="M184" s="173">
        <f t="shared" si="25"/>
        <v>-8.1040313262632446E-2</v>
      </c>
    </row>
    <row r="185" spans="1:13" ht="25.5" x14ac:dyDescent="0.2">
      <c r="A185" s="140" t="str">
        <f t="shared" si="26"/>
        <v>GS &lt;50 kW</v>
      </c>
      <c r="D185" s="194" t="s">
        <v>31</v>
      </c>
      <c r="E185" s="193" t="s">
        <v>2366</v>
      </c>
      <c r="F185" s="170">
        <v>5.3E-3</v>
      </c>
      <c r="G185" s="249">
        <f>IF($E151&gt;0, $E151, $E150*$E152)</f>
        <v>2072.4</v>
      </c>
      <c r="H185" s="169">
        <f>G185*F185</f>
        <v>10.98372</v>
      </c>
      <c r="I185" s="170">
        <v>5.3E-3</v>
      </c>
      <c r="J185" s="249">
        <f>IF($E151&gt;0, $E151, $E150*$E153)</f>
        <v>2075</v>
      </c>
      <c r="K185" s="169">
        <f>J185*I185</f>
        <v>10.9975</v>
      </c>
      <c r="L185" s="172">
        <f t="shared" si="23"/>
        <v>1.378000000000057E-2</v>
      </c>
      <c r="M185" s="173">
        <f t="shared" si="25"/>
        <v>1.2545840571318797E-3</v>
      </c>
    </row>
    <row r="186" spans="1:13" ht="25.5" x14ac:dyDescent="0.2">
      <c r="A186" s="140" t="str">
        <f t="shared" si="26"/>
        <v>GS &lt;50 kW</v>
      </c>
      <c r="B186" s="158" t="s">
        <v>1893</v>
      </c>
      <c r="D186" s="188" t="s">
        <v>561</v>
      </c>
      <c r="E186" s="176"/>
      <c r="F186" s="195"/>
      <c r="G186" s="178"/>
      <c r="H186" s="191">
        <f>SUM(H183:H185)</f>
        <v>88.777176000000011</v>
      </c>
      <c r="I186" s="196"/>
      <c r="J186" s="197"/>
      <c r="K186" s="191">
        <f>SUM(K183:K185)</f>
        <v>84.760499999999993</v>
      </c>
      <c r="L186" s="182">
        <f t="shared" si="23"/>
        <v>-4.0166760000000181</v>
      </c>
      <c r="M186" s="183">
        <f>IF((H186)=0,"",(L186/H186))</f>
        <v>-4.5244466888651851E-2</v>
      </c>
    </row>
    <row r="187" spans="1:13" ht="25.5" x14ac:dyDescent="0.2">
      <c r="A187" s="140" t="str">
        <f t="shared" si="26"/>
        <v>GS &lt;50 kW</v>
      </c>
      <c r="D187" s="198" t="s">
        <v>32</v>
      </c>
      <c r="E187" s="166" t="s">
        <v>2366</v>
      </c>
      <c r="F187" s="199">
        <v>4.4000000000000003E-3</v>
      </c>
      <c r="G187" s="249">
        <f>E150*E152</f>
        <v>2072.4</v>
      </c>
      <c r="H187" s="200">
        <f t="shared" ref="H187:H194" si="30">G187*F187</f>
        <v>9.1185600000000004</v>
      </c>
      <c r="I187" s="201">
        <v>3.5999999999999999E-3</v>
      </c>
      <c r="J187" s="249">
        <f>E150*E153</f>
        <v>2075</v>
      </c>
      <c r="K187" s="200">
        <f t="shared" ref="K187:K194" si="31">J187*I187</f>
        <v>7.47</v>
      </c>
      <c r="L187" s="172">
        <f t="shared" si="23"/>
        <v>-1.6485600000000007</v>
      </c>
      <c r="M187" s="173">
        <f t="shared" si="25"/>
        <v>-0.18079170395325583</v>
      </c>
    </row>
    <row r="188" spans="1:13" ht="25.5" x14ac:dyDescent="0.2">
      <c r="A188" s="140" t="str">
        <f t="shared" si="26"/>
        <v>GS &lt;50 kW</v>
      </c>
      <c r="D188" s="198" t="s">
        <v>33</v>
      </c>
      <c r="E188" s="166" t="s">
        <v>2366</v>
      </c>
      <c r="F188" s="199">
        <v>1.2999999999999999E-3</v>
      </c>
      <c r="G188" s="249">
        <f>E150*E152</f>
        <v>2072.4</v>
      </c>
      <c r="H188" s="200">
        <f t="shared" si="30"/>
        <v>2.6941199999999998</v>
      </c>
      <c r="I188" s="201">
        <v>1.2999999999999999E-3</v>
      </c>
      <c r="J188" s="249">
        <f>E150*E153</f>
        <v>2075</v>
      </c>
      <c r="K188" s="200">
        <f t="shared" si="31"/>
        <v>2.6974999999999998</v>
      </c>
      <c r="L188" s="172">
        <f t="shared" si="23"/>
        <v>3.3799999999999386E-3</v>
      </c>
      <c r="M188" s="173">
        <f t="shared" si="25"/>
        <v>1.2545840571318051E-3</v>
      </c>
    </row>
    <row r="189" spans="1:13" x14ac:dyDescent="0.2">
      <c r="A189" s="140" t="str">
        <f t="shared" si="26"/>
        <v>GS &lt;50 kW</v>
      </c>
      <c r="D189" s="165" t="s">
        <v>34</v>
      </c>
      <c r="E189" s="166" t="s">
        <v>2365</v>
      </c>
      <c r="F189" s="199">
        <v>0.25</v>
      </c>
      <c r="G189" s="168">
        <v>1</v>
      </c>
      <c r="H189" s="200">
        <f t="shared" si="30"/>
        <v>0.25</v>
      </c>
      <c r="I189" s="201">
        <v>0.25</v>
      </c>
      <c r="J189" s="171">
        <v>1</v>
      </c>
      <c r="K189" s="200">
        <f t="shared" si="31"/>
        <v>0.25</v>
      </c>
      <c r="L189" s="172">
        <f t="shared" si="23"/>
        <v>0</v>
      </c>
      <c r="M189" s="173">
        <f t="shared" si="25"/>
        <v>0</v>
      </c>
    </row>
    <row r="190" spans="1:13" x14ac:dyDescent="0.2">
      <c r="A190" s="140" t="str">
        <f t="shared" si="26"/>
        <v>GS &lt;50 kW</v>
      </c>
      <c r="D190" s="165" t="s">
        <v>35</v>
      </c>
      <c r="E190" s="166" t="s">
        <v>2366</v>
      </c>
      <c r="F190" s="199">
        <v>7.0000000000000001E-3</v>
      </c>
      <c r="G190" s="248">
        <f>E150</f>
        <v>2000</v>
      </c>
      <c r="H190" s="200">
        <f t="shared" si="30"/>
        <v>14</v>
      </c>
      <c r="I190" s="199">
        <v>7.0000000000000001E-3</v>
      </c>
      <c r="J190" s="202">
        <f>+J165</f>
        <v>2000</v>
      </c>
      <c r="K190" s="200">
        <f t="shared" si="31"/>
        <v>14</v>
      </c>
      <c r="L190" s="202"/>
      <c r="M190" s="173">
        <f t="shared" si="25"/>
        <v>0</v>
      </c>
    </row>
    <row r="191" spans="1:13" ht="25.5" x14ac:dyDescent="0.2">
      <c r="A191" s="140" t="str">
        <f t="shared" si="26"/>
        <v>GS &lt;50 kW</v>
      </c>
      <c r="D191" s="198" t="s">
        <v>1939</v>
      </c>
      <c r="E191" s="166" t="s">
        <v>2366</v>
      </c>
      <c r="F191" s="202"/>
      <c r="G191" s="202"/>
      <c r="H191" s="202"/>
      <c r="I191" s="201">
        <v>1.1000000000000001E-3</v>
      </c>
      <c r="J191" s="249">
        <f>E150*E153</f>
        <v>2075</v>
      </c>
      <c r="K191" s="200">
        <f t="shared" ref="K191" si="32">J191*I191</f>
        <v>2.2825000000000002</v>
      </c>
      <c r="L191" s="172">
        <f t="shared" si="23"/>
        <v>2.2825000000000002</v>
      </c>
      <c r="M191" s="173">
        <v>1</v>
      </c>
    </row>
    <row r="192" spans="1:13" x14ac:dyDescent="0.2">
      <c r="A192" s="140" t="str">
        <f>A190</f>
        <v>GS &lt;50 kW</v>
      </c>
      <c r="B192" s="158" t="s">
        <v>1871</v>
      </c>
      <c r="D192" s="185" t="s">
        <v>582</v>
      </c>
      <c r="E192" s="166"/>
      <c r="F192" s="203">
        <v>0.08</v>
      </c>
      <c r="G192" s="250">
        <f>IF(AND(E150*12&gt;=150000),0.64*E150*E152,0.64*E150)</f>
        <v>1280</v>
      </c>
      <c r="H192" s="200">
        <f t="shared" si="30"/>
        <v>102.4</v>
      </c>
      <c r="I192" s="203">
        <v>0.08</v>
      </c>
      <c r="J192" s="250">
        <f>IF(AND(E150*12&gt;=150000),0.64*E150*E153,0.64*E150)</f>
        <v>1280</v>
      </c>
      <c r="K192" s="200">
        <f t="shared" si="31"/>
        <v>102.4</v>
      </c>
      <c r="L192" s="172">
        <f>K192-H192</f>
        <v>0</v>
      </c>
      <c r="M192" s="173">
        <f t="shared" si="25"/>
        <v>0</v>
      </c>
    </row>
    <row r="193" spans="1:13" x14ac:dyDescent="0.2">
      <c r="A193" s="140" t="str">
        <f t="shared" si="26"/>
        <v>GS &lt;50 kW</v>
      </c>
      <c r="B193" s="158" t="s">
        <v>1871</v>
      </c>
      <c r="D193" s="185" t="s">
        <v>583</v>
      </c>
      <c r="E193" s="166"/>
      <c r="F193" s="203">
        <v>0.122</v>
      </c>
      <c r="G193" s="250">
        <f>IF(AND(E150*12&gt;=150000),0.18*E150*E152,0.18*E150)</f>
        <v>360</v>
      </c>
      <c r="H193" s="200">
        <f t="shared" si="30"/>
        <v>43.92</v>
      </c>
      <c r="I193" s="203">
        <v>0.122</v>
      </c>
      <c r="J193" s="250">
        <f>IF(AND(E150*12&gt;=150000),0.18*E150*E153,0.18*E150)</f>
        <v>360</v>
      </c>
      <c r="K193" s="200">
        <f t="shared" si="31"/>
        <v>43.92</v>
      </c>
      <c r="L193" s="172">
        <f>K193-H193</f>
        <v>0</v>
      </c>
      <c r="M193" s="173">
        <f t="shared" si="25"/>
        <v>0</v>
      </c>
    </row>
    <row r="194" spans="1:13" ht="13.5" thickBot="1" x14ac:dyDescent="0.25">
      <c r="A194" s="140" t="str">
        <f t="shared" si="26"/>
        <v>GS &lt;50 kW</v>
      </c>
      <c r="B194" s="158" t="s">
        <v>1871</v>
      </c>
      <c r="D194" s="158" t="s">
        <v>584</v>
      </c>
      <c r="E194" s="166"/>
      <c r="F194" s="203">
        <v>0.161</v>
      </c>
      <c r="G194" s="250">
        <f>IF(AND(E150*12&gt;=150000),0.18*E150*E152,0.18*E150)</f>
        <v>360</v>
      </c>
      <c r="H194" s="200">
        <f t="shared" si="30"/>
        <v>57.96</v>
      </c>
      <c r="I194" s="203">
        <v>0.161</v>
      </c>
      <c r="J194" s="250">
        <f>IF(AND(E150*12&gt;=150000),0.18*E150*E153,0.18*E150)</f>
        <v>360</v>
      </c>
      <c r="K194" s="200">
        <f t="shared" si="31"/>
        <v>57.96</v>
      </c>
      <c r="L194" s="172">
        <f>K194-H194</f>
        <v>0</v>
      </c>
      <c r="M194" s="173">
        <f t="shared" si="25"/>
        <v>0</v>
      </c>
    </row>
    <row r="195" spans="1:13" hidden="1" x14ac:dyDescent="0.2">
      <c r="A195" s="140" t="str">
        <f t="shared" si="26"/>
        <v>GS &lt;50 kW</v>
      </c>
      <c r="B195" s="140" t="s">
        <v>1872</v>
      </c>
      <c r="D195" s="185" t="s">
        <v>1894</v>
      </c>
      <c r="E195" s="166"/>
      <c r="F195" s="203">
        <v>8.5999999999999993E-2</v>
      </c>
      <c r="G195" s="250">
        <f>IF(AND(E150*12&gt;=150000),E150*E152,E150)</f>
        <v>2000</v>
      </c>
      <c r="H195" s="200">
        <f>G195*F195</f>
        <v>172</v>
      </c>
      <c r="I195" s="203">
        <v>8.5999999999999993E-2</v>
      </c>
      <c r="J195" s="250">
        <f>IF(AND(E150*12&gt;=150000),E150*E153,E150)</f>
        <v>2000</v>
      </c>
      <c r="K195" s="200">
        <f>J195*I195</f>
        <v>172</v>
      </c>
      <c r="L195" s="172">
        <f>K195-H195</f>
        <v>0</v>
      </c>
      <c r="M195" s="173">
        <f t="shared" si="25"/>
        <v>0</v>
      </c>
    </row>
    <row r="196" spans="1:13" ht="13.5" hidden="1" thickBot="1" x14ac:dyDescent="0.25">
      <c r="A196" s="140" t="str">
        <f t="shared" si="26"/>
        <v>GS &lt;50 kW</v>
      </c>
      <c r="B196" s="140" t="s">
        <v>1873</v>
      </c>
      <c r="D196" s="185" t="s">
        <v>1895</v>
      </c>
      <c r="E196" s="166"/>
      <c r="F196" s="199">
        <f>0.0906</f>
        <v>9.06E-2</v>
      </c>
      <c r="G196" s="251">
        <f>IF(AND(E150*12&gt;=150000),E150*E152,E150)</f>
        <v>2000</v>
      </c>
      <c r="H196" s="200">
        <f>G196*F196</f>
        <v>181.2</v>
      </c>
      <c r="I196" s="199">
        <f>0.0906</f>
        <v>9.06E-2</v>
      </c>
      <c r="J196" s="251">
        <f>IF(AND(E150*12&gt;=150000),E150*E153,E150)</f>
        <v>2000</v>
      </c>
      <c r="K196" s="200">
        <f>J196*I196</f>
        <v>181.2</v>
      </c>
      <c r="L196" s="172">
        <f>K196-H196</f>
        <v>0</v>
      </c>
      <c r="M196" s="173">
        <f t="shared" si="25"/>
        <v>0</v>
      </c>
    </row>
    <row r="197" spans="1:13" ht="13.5" thickBot="1" x14ac:dyDescent="0.25">
      <c r="A197" s="140" t="str">
        <f t="shared" si="26"/>
        <v>GS &lt;50 kW</v>
      </c>
      <c r="B197" s="158"/>
      <c r="D197" s="204"/>
      <c r="E197" s="205"/>
      <c r="F197" s="206"/>
      <c r="G197" s="207"/>
      <c r="H197" s="208"/>
      <c r="I197" s="206"/>
      <c r="J197" s="209"/>
      <c r="K197" s="208"/>
      <c r="L197" s="210"/>
      <c r="M197" s="211"/>
    </row>
    <row r="198" spans="1:13" x14ac:dyDescent="0.2">
      <c r="A198" s="140" t="str">
        <f t="shared" si="26"/>
        <v>GS &lt;50 kW</v>
      </c>
      <c r="B198" s="158" t="s">
        <v>1871</v>
      </c>
      <c r="D198" s="212" t="s">
        <v>585</v>
      </c>
      <c r="E198" s="165"/>
      <c r="F198" s="213"/>
      <c r="G198" s="214"/>
      <c r="H198" s="215">
        <f>SUM(H187:H194,H186)</f>
        <v>319.11985600000003</v>
      </c>
      <c r="I198" s="216"/>
      <c r="J198" s="216"/>
      <c r="K198" s="215">
        <f>SUM(K187:K194,K186)</f>
        <v>315.7405</v>
      </c>
      <c r="L198" s="217">
        <f>K198-H198</f>
        <v>-3.3793560000000298</v>
      </c>
      <c r="M198" s="218">
        <f>IF((H198)=0,"",(L198/H198))</f>
        <v>-1.0589613703009535E-2</v>
      </c>
    </row>
    <row r="199" spans="1:13" x14ac:dyDescent="0.2">
      <c r="A199" s="140" t="str">
        <f t="shared" si="26"/>
        <v>GS &lt;50 kW</v>
      </c>
      <c r="B199" s="158" t="s">
        <v>1871</v>
      </c>
      <c r="D199" s="219" t="s">
        <v>36</v>
      </c>
      <c r="E199" s="165"/>
      <c r="F199" s="213">
        <v>0.13</v>
      </c>
      <c r="G199" s="220"/>
      <c r="H199" s="221">
        <f>H198*F199</f>
        <v>41.485581280000005</v>
      </c>
      <c r="I199" s="222">
        <v>0.13</v>
      </c>
      <c r="J199" s="223"/>
      <c r="K199" s="221">
        <f>K198*I199</f>
        <v>41.046264999999998</v>
      </c>
      <c r="L199" s="224">
        <f>K199-H199</f>
        <v>-0.439316280000007</v>
      </c>
      <c r="M199" s="225">
        <f>IF((H199)=0,"",(L199/H199))</f>
        <v>-1.058961370300961E-2</v>
      </c>
    </row>
    <row r="200" spans="1:13" x14ac:dyDescent="0.2">
      <c r="A200" s="140" t="str">
        <f t="shared" si="26"/>
        <v>GS &lt;50 kW</v>
      </c>
      <c r="B200" s="158" t="s">
        <v>1871</v>
      </c>
      <c r="D200" s="226" t="s">
        <v>586</v>
      </c>
      <c r="E200" s="165"/>
      <c r="F200" s="227"/>
      <c r="G200" s="220"/>
      <c r="H200" s="221">
        <f>H198+H199</f>
        <v>360.60543728000005</v>
      </c>
      <c r="I200" s="223"/>
      <c r="J200" s="223"/>
      <c r="K200" s="221">
        <f>K198+K199</f>
        <v>356.786765</v>
      </c>
      <c r="L200" s="224">
        <f>K200-H200</f>
        <v>-3.8186722800000439</v>
      </c>
      <c r="M200" s="225">
        <f>IF((H200)=0,"",(L200/H200))</f>
        <v>-1.0589613703009563E-2</v>
      </c>
    </row>
    <row r="201" spans="1:13" x14ac:dyDescent="0.2">
      <c r="A201" s="140" t="str">
        <f t="shared" si="26"/>
        <v>GS &lt;50 kW</v>
      </c>
      <c r="B201" s="158" t="s">
        <v>1871</v>
      </c>
      <c r="D201" s="2465" t="s">
        <v>264</v>
      </c>
      <c r="E201" s="2465"/>
      <c r="F201" s="227"/>
      <c r="G201" s="220"/>
      <c r="H201" s="228"/>
      <c r="I201" s="202"/>
      <c r="J201" s="202"/>
      <c r="K201" s="202"/>
      <c r="L201" s="202"/>
      <c r="M201" s="229"/>
    </row>
    <row r="202" spans="1:13" ht="13.5" thickBot="1" x14ac:dyDescent="0.25">
      <c r="A202" s="140" t="str">
        <f t="shared" si="26"/>
        <v>GS &lt;50 kW</v>
      </c>
      <c r="B202" s="158" t="s">
        <v>1896</v>
      </c>
      <c r="D202" s="2466" t="s">
        <v>1897</v>
      </c>
      <c r="E202" s="2466"/>
      <c r="F202" s="230"/>
      <c r="G202" s="231"/>
      <c r="H202" s="232">
        <f>H200+H201</f>
        <v>360.60543728000005</v>
      </c>
      <c r="I202" s="233"/>
      <c r="J202" s="233"/>
      <c r="K202" s="232">
        <f>K200+K201</f>
        <v>356.786765</v>
      </c>
      <c r="L202" s="234">
        <f>K202-H202</f>
        <v>-3.8186722800000439</v>
      </c>
      <c r="M202" s="235">
        <f>IF((H202)=0,"",(L202/H202))</f>
        <v>-1.0589613703009563E-2</v>
      </c>
    </row>
    <row r="203" spans="1:13" ht="13.5" thickBot="1" x14ac:dyDescent="0.25">
      <c r="A203" s="140" t="str">
        <f t="shared" si="26"/>
        <v>GS &lt;50 kW</v>
      </c>
      <c r="B203" s="140" t="s">
        <v>1871</v>
      </c>
      <c r="D203" s="204"/>
      <c r="E203" s="205"/>
      <c r="F203" s="206"/>
      <c r="G203" s="207"/>
      <c r="H203" s="208"/>
      <c r="I203" s="206"/>
      <c r="J203" s="209"/>
      <c r="K203" s="208"/>
      <c r="L203" s="210"/>
      <c r="M203" s="211"/>
    </row>
    <row r="204" spans="1:13" hidden="1" x14ac:dyDescent="0.2">
      <c r="A204" s="140" t="str">
        <f t="shared" si="26"/>
        <v>GS &lt;50 kW</v>
      </c>
      <c r="B204" s="140" t="s">
        <v>1872</v>
      </c>
      <c r="D204" s="212" t="s">
        <v>1898</v>
      </c>
      <c r="E204" s="165"/>
      <c r="F204" s="213"/>
      <c r="G204" s="214"/>
      <c r="H204" s="215">
        <f>SUM(H195,H186,H187:H192)</f>
        <v>389.23985600000003</v>
      </c>
      <c r="I204" s="216"/>
      <c r="J204" s="216"/>
      <c r="K204" s="215">
        <f>SUM(K195,K186,K187:K192)</f>
        <v>385.8605</v>
      </c>
      <c r="L204" s="217">
        <f>K204-H204</f>
        <v>-3.3793560000000298</v>
      </c>
      <c r="M204" s="218">
        <f>IF((H204)=0,"",(L204/H204))</f>
        <v>-8.6819372371775561E-3</v>
      </c>
    </row>
    <row r="205" spans="1:13" hidden="1" x14ac:dyDescent="0.2">
      <c r="A205" s="140" t="str">
        <f t="shared" si="26"/>
        <v>GS &lt;50 kW</v>
      </c>
      <c r="B205" s="140" t="s">
        <v>1872</v>
      </c>
      <c r="D205" s="219" t="s">
        <v>36</v>
      </c>
      <c r="E205" s="165"/>
      <c r="F205" s="213">
        <v>0.13</v>
      </c>
      <c r="G205" s="214"/>
      <c r="H205" s="221">
        <f>H204*F205</f>
        <v>50.601181280000006</v>
      </c>
      <c r="I205" s="236">
        <v>0.13</v>
      </c>
      <c r="J205" s="222"/>
      <c r="K205" s="221">
        <f>K204*I205</f>
        <v>50.161864999999999</v>
      </c>
      <c r="L205" s="224">
        <f>K205-H205</f>
        <v>-0.439316280000007</v>
      </c>
      <c r="M205" s="225">
        <f>IF((H205)=0,"",(L205/H205))</f>
        <v>-8.6819372371776168E-3</v>
      </c>
    </row>
    <row r="206" spans="1:13" hidden="1" x14ac:dyDescent="0.2">
      <c r="A206" s="140" t="str">
        <f t="shared" si="26"/>
        <v>GS &lt;50 kW</v>
      </c>
      <c r="B206" s="140" t="s">
        <v>1872</v>
      </c>
      <c r="D206" s="226" t="s">
        <v>586</v>
      </c>
      <c r="E206" s="165"/>
      <c r="F206" s="227"/>
      <c r="G206" s="220"/>
      <c r="H206" s="221">
        <f>H204+H205</f>
        <v>439.84103728000002</v>
      </c>
      <c r="I206" s="223"/>
      <c r="J206" s="223"/>
      <c r="K206" s="221">
        <f>K204+K205</f>
        <v>436.02236499999998</v>
      </c>
      <c r="L206" s="224">
        <f>K206-H206</f>
        <v>-3.8186722800000439</v>
      </c>
      <c r="M206" s="225">
        <f>IF((H206)=0,"",(L206/H206))</f>
        <v>-8.6819372371775786E-3</v>
      </c>
    </row>
    <row r="207" spans="1:13" hidden="1" x14ac:dyDescent="0.2">
      <c r="A207" s="140" t="str">
        <f t="shared" si="26"/>
        <v>GS &lt;50 kW</v>
      </c>
      <c r="B207" s="140" t="s">
        <v>1872</v>
      </c>
      <c r="D207" s="2465" t="s">
        <v>264</v>
      </c>
      <c r="E207" s="2465"/>
      <c r="F207" s="227"/>
      <c r="G207" s="220"/>
      <c r="H207" s="228">
        <f>ROUND(-H206*10%,2)</f>
        <v>-43.98</v>
      </c>
      <c r="I207" s="202"/>
      <c r="J207" s="202"/>
      <c r="K207" s="202"/>
      <c r="L207" s="202"/>
      <c r="M207" s="229"/>
    </row>
    <row r="208" spans="1:13" ht="13.5" hidden="1" thickBot="1" x14ac:dyDescent="0.25">
      <c r="A208" s="140" t="str">
        <f t="shared" si="26"/>
        <v>GS &lt;50 kW</v>
      </c>
      <c r="B208" s="140" t="s">
        <v>1899</v>
      </c>
      <c r="D208" s="2466" t="s">
        <v>1898</v>
      </c>
      <c r="E208" s="2466"/>
      <c r="F208" s="237"/>
      <c r="G208" s="238"/>
      <c r="H208" s="239">
        <f>SUM(H206:H207)</f>
        <v>395.86103728000001</v>
      </c>
      <c r="I208" s="240"/>
      <c r="J208" s="240"/>
      <c r="K208" s="239">
        <f>SUM(K206:K207)</f>
        <v>436.02236499999998</v>
      </c>
      <c r="L208" s="241">
        <f>K208-H208</f>
        <v>40.161327719999974</v>
      </c>
      <c r="M208" s="242">
        <f>IF((H208)=0,"",(L208/H208))</f>
        <v>0.10145309575287428</v>
      </c>
    </row>
    <row r="209" spans="1:20" ht="13.5" hidden="1" thickBot="1" x14ac:dyDescent="0.25">
      <c r="A209" s="140" t="str">
        <f t="shared" si="26"/>
        <v>GS &lt;50 kW</v>
      </c>
      <c r="B209" s="140" t="s">
        <v>1872</v>
      </c>
      <c r="D209" s="204"/>
      <c r="E209" s="205"/>
      <c r="F209" s="243"/>
      <c r="G209" s="244"/>
      <c r="H209" s="245"/>
      <c r="I209" s="243"/>
      <c r="J209" s="207"/>
      <c r="K209" s="245"/>
      <c r="L209" s="246"/>
      <c r="M209" s="211"/>
    </row>
    <row r="210" spans="1:20" hidden="1" x14ac:dyDescent="0.2">
      <c r="A210" s="140" t="str">
        <f t="shared" si="26"/>
        <v>GS &lt;50 kW</v>
      </c>
      <c r="B210" s="140" t="s">
        <v>1873</v>
      </c>
      <c r="D210" s="212" t="s">
        <v>1900</v>
      </c>
      <c r="E210" s="165"/>
      <c r="F210" s="213"/>
      <c r="G210" s="214"/>
      <c r="H210" s="215">
        <f>SUM(H196,H186:H190)</f>
        <v>296.03985599999999</v>
      </c>
      <c r="I210" s="216"/>
      <c r="J210" s="216"/>
      <c r="K210" s="215">
        <f>SUM(K196,K186:K190)</f>
        <v>290.37799999999999</v>
      </c>
      <c r="L210" s="217">
        <f>K210-H210</f>
        <v>-5.6618560000000002</v>
      </c>
      <c r="M210" s="218">
        <f>IF((H210)=0,"",(L210/H210))</f>
        <v>-1.912531669384409E-2</v>
      </c>
    </row>
    <row r="211" spans="1:20" hidden="1" x14ac:dyDescent="0.2">
      <c r="A211" s="140" t="str">
        <f t="shared" si="26"/>
        <v>GS &lt;50 kW</v>
      </c>
      <c r="B211" s="140" t="s">
        <v>1873</v>
      </c>
      <c r="D211" s="219" t="s">
        <v>36</v>
      </c>
      <c r="E211" s="165"/>
      <c r="F211" s="213">
        <v>0.13</v>
      </c>
      <c r="G211" s="214"/>
      <c r="H211" s="221">
        <f>H210*F211</f>
        <v>38.485181279999999</v>
      </c>
      <c r="I211" s="236">
        <v>0.13</v>
      </c>
      <c r="J211" s="222"/>
      <c r="K211" s="221">
        <f>K210*I211</f>
        <v>37.749139999999997</v>
      </c>
      <c r="L211" s="224">
        <f>K211-H211</f>
        <v>-0.73604128000000202</v>
      </c>
      <c r="M211" s="225">
        <f>IF((H211)=0,"",(L211/H211))</f>
        <v>-1.9125316693844142E-2</v>
      </c>
    </row>
    <row r="212" spans="1:20" hidden="1" x14ac:dyDescent="0.2">
      <c r="A212" s="140" t="str">
        <f t="shared" si="26"/>
        <v>GS &lt;50 kW</v>
      </c>
      <c r="B212" s="140" t="s">
        <v>1873</v>
      </c>
      <c r="D212" s="226" t="s">
        <v>586</v>
      </c>
      <c r="E212" s="165"/>
      <c r="F212" s="227"/>
      <c r="G212" s="220"/>
      <c r="H212" s="221">
        <f>H210+H211</f>
        <v>334.52503727999999</v>
      </c>
      <c r="I212" s="223"/>
      <c r="J212" s="223"/>
      <c r="K212" s="221">
        <f>K210+K211</f>
        <v>328.12714</v>
      </c>
      <c r="L212" s="224">
        <f>K212-H212</f>
        <v>-6.3978972799999951</v>
      </c>
      <c r="M212" s="225">
        <f>IF((H212)=0,"",(L212/H212))</f>
        <v>-1.9125316693844076E-2</v>
      </c>
    </row>
    <row r="213" spans="1:20" hidden="1" x14ac:dyDescent="0.2">
      <c r="A213" s="140" t="str">
        <f t="shared" si="26"/>
        <v>GS &lt;50 kW</v>
      </c>
      <c r="B213" s="140" t="s">
        <v>1873</v>
      </c>
      <c r="D213" s="2465" t="s">
        <v>264</v>
      </c>
      <c r="E213" s="2465"/>
      <c r="F213" s="227"/>
      <c r="G213" s="220"/>
      <c r="H213" s="228">
        <f>IF(E154="Yes", ROUND(-H212*10%,2), 0)</f>
        <v>0</v>
      </c>
      <c r="I213" s="202"/>
      <c r="J213" s="202"/>
      <c r="K213" s="202"/>
      <c r="L213" s="202"/>
      <c r="M213" s="229"/>
    </row>
    <row r="214" spans="1:20" ht="13.5" hidden="1" thickBot="1" x14ac:dyDescent="0.25">
      <c r="A214" s="140" t="str">
        <f t="shared" si="26"/>
        <v>GS &lt;50 kW</v>
      </c>
      <c r="B214" s="140" t="s">
        <v>1901</v>
      </c>
      <c r="D214" s="2466" t="s">
        <v>1900</v>
      </c>
      <c r="E214" s="2466"/>
      <c r="F214" s="237"/>
      <c r="G214" s="238"/>
      <c r="H214" s="239">
        <f>SUM(H212:H213)</f>
        <v>334.52503727999999</v>
      </c>
      <c r="I214" s="240"/>
      <c r="J214" s="240"/>
      <c r="K214" s="239">
        <f>SUM(K212:K213)</f>
        <v>328.12714</v>
      </c>
      <c r="L214" s="241">
        <f>K214-H214</f>
        <v>-6.3978972799999951</v>
      </c>
      <c r="M214" s="242">
        <f>IF((H214)=0,"",(L214/H214))</f>
        <v>-1.9125316693844076E-2</v>
      </c>
    </row>
    <row r="215" spans="1:20" ht="13.5" hidden="1" thickBot="1" x14ac:dyDescent="0.25">
      <c r="A215" s="140" t="str">
        <f t="shared" si="26"/>
        <v>GS &lt;50 kW</v>
      </c>
      <c r="B215" s="140" t="s">
        <v>1873</v>
      </c>
      <c r="D215" s="204"/>
      <c r="E215" s="205"/>
      <c r="F215" s="243"/>
      <c r="G215" s="244"/>
      <c r="H215" s="245"/>
      <c r="I215" s="243"/>
      <c r="J215" s="207"/>
      <c r="K215" s="245"/>
      <c r="L215" s="246"/>
      <c r="M215" s="211"/>
    </row>
    <row r="218" spans="1:20" x14ac:dyDescent="0.2">
      <c r="D218" s="1315" t="s">
        <v>37</v>
      </c>
      <c r="E218" s="2467" t="str">
        <f>D32</f>
        <v>GS &gt;50 to 999 kW</v>
      </c>
      <c r="F218" s="2467"/>
      <c r="G218" s="2467"/>
      <c r="H218" s="1316"/>
      <c r="I218" s="1316"/>
      <c r="T218" s="140" t="s">
        <v>2364</v>
      </c>
    </row>
    <row r="219" spans="1:20" x14ac:dyDescent="0.2">
      <c r="D219" s="1315" t="s">
        <v>1887</v>
      </c>
      <c r="E219" s="2467" t="str">
        <f>H32</f>
        <v>Non-RPP (Other)</v>
      </c>
      <c r="F219" s="2467"/>
      <c r="G219" s="2467"/>
      <c r="H219" s="1316"/>
      <c r="I219" s="1316"/>
    </row>
    <row r="220" spans="1:20" ht="15.75" x14ac:dyDescent="0.2">
      <c r="D220" s="1315" t="s">
        <v>14</v>
      </c>
      <c r="E220" s="1802">
        <v>50000</v>
      </c>
      <c r="F220" s="334" t="s">
        <v>110</v>
      </c>
      <c r="G220" s="158"/>
      <c r="J220" s="1318"/>
      <c r="K220" s="1318"/>
      <c r="L220" s="1318"/>
      <c r="M220" s="1318"/>
    </row>
    <row r="221" spans="1:20" ht="15.75" x14ac:dyDescent="0.25">
      <c r="D221" s="1315" t="s">
        <v>1888</v>
      </c>
      <c r="E221" s="1802">
        <v>150</v>
      </c>
      <c r="F221" s="757" t="s">
        <v>111</v>
      </c>
      <c r="G221" s="498"/>
      <c r="H221" s="435"/>
      <c r="I221" s="435"/>
      <c r="J221" s="435"/>
    </row>
    <row r="222" spans="1:20" x14ac:dyDescent="0.2">
      <c r="D222" s="1315" t="s">
        <v>1889</v>
      </c>
      <c r="E222" s="1319">
        <f>J32</f>
        <v>1.0362</v>
      </c>
    </row>
    <row r="223" spans="1:20" x14ac:dyDescent="0.2">
      <c r="D223" s="1315" t="s">
        <v>1890</v>
      </c>
      <c r="E223" s="1319">
        <f>K32</f>
        <v>1.0375000000000001</v>
      </c>
    </row>
    <row r="224" spans="1:20" x14ac:dyDescent="0.2">
      <c r="D224" s="334" t="s">
        <v>1976</v>
      </c>
      <c r="E224" s="1521" t="str">
        <f>I32</f>
        <v>No</v>
      </c>
    </row>
    <row r="225" spans="1:13" x14ac:dyDescent="0.2">
      <c r="D225" s="158"/>
    </row>
    <row r="226" spans="1:13" x14ac:dyDescent="0.2">
      <c r="D226" s="158"/>
      <c r="E226" s="159"/>
      <c r="F226" s="2468" t="s">
        <v>15</v>
      </c>
      <c r="G226" s="2469"/>
      <c r="H226" s="2470"/>
      <c r="I226" s="2468" t="s">
        <v>16</v>
      </c>
      <c r="J226" s="2469"/>
      <c r="K226" s="2470"/>
      <c r="L226" s="2468" t="s">
        <v>17</v>
      </c>
      <c r="M226" s="2470"/>
    </row>
    <row r="227" spans="1:13" x14ac:dyDescent="0.2">
      <c r="D227" s="158"/>
      <c r="E227" s="2459" t="s">
        <v>18</v>
      </c>
      <c r="F227" s="160" t="s">
        <v>19</v>
      </c>
      <c r="G227" s="160" t="s">
        <v>20</v>
      </c>
      <c r="H227" s="161" t="s">
        <v>21</v>
      </c>
      <c r="I227" s="160" t="s">
        <v>19</v>
      </c>
      <c r="J227" s="162" t="s">
        <v>20</v>
      </c>
      <c r="K227" s="161" t="s">
        <v>21</v>
      </c>
      <c r="L227" s="2461" t="s">
        <v>22</v>
      </c>
      <c r="M227" s="2463" t="s">
        <v>23</v>
      </c>
    </row>
    <row r="228" spans="1:13" x14ac:dyDescent="0.2">
      <c r="D228" s="158"/>
      <c r="E228" s="2460"/>
      <c r="F228" s="163" t="s">
        <v>402</v>
      </c>
      <c r="G228" s="163"/>
      <c r="H228" s="164" t="s">
        <v>402</v>
      </c>
      <c r="I228" s="163" t="s">
        <v>402</v>
      </c>
      <c r="J228" s="164"/>
      <c r="K228" s="164" t="s">
        <v>402</v>
      </c>
      <c r="L228" s="2462"/>
      <c r="M228" s="2464"/>
    </row>
    <row r="229" spans="1:13" x14ac:dyDescent="0.2">
      <c r="A229" s="140" t="str">
        <f>$E218</f>
        <v>GS &gt;50 to 999 kW</v>
      </c>
      <c r="D229" s="165" t="s">
        <v>24</v>
      </c>
      <c r="E229" s="166" t="s">
        <v>2365</v>
      </c>
      <c r="F229" s="167">
        <v>77.98</v>
      </c>
      <c r="G229" s="168">
        <v>1</v>
      </c>
      <c r="H229" s="169">
        <f>G229*F229</f>
        <v>77.98</v>
      </c>
      <c r="I229" s="170">
        <v>95.42</v>
      </c>
      <c r="J229" s="171">
        <v>1</v>
      </c>
      <c r="K229" s="169">
        <f>J229*I229</f>
        <v>95.42</v>
      </c>
      <c r="L229" s="172">
        <f t="shared" ref="L229:L261" si="33">K229-H229</f>
        <v>17.439999999999998</v>
      </c>
      <c r="M229" s="173">
        <f>IF(ISERROR(L229/H229), "", L229/H229)</f>
        <v>0.22364708899717872</v>
      </c>
    </row>
    <row r="230" spans="1:13" x14ac:dyDescent="0.2">
      <c r="A230" s="140" t="str">
        <f>A229</f>
        <v>GS &gt;50 to 999 kW</v>
      </c>
      <c r="D230" s="165" t="s">
        <v>25</v>
      </c>
      <c r="E230" s="166"/>
      <c r="F230" s="167"/>
      <c r="G230" s="168">
        <v>1</v>
      </c>
      <c r="H230" s="169">
        <f t="shared" ref="H230:H244" si="34">G230*F230</f>
        <v>0</v>
      </c>
      <c r="I230" s="170"/>
      <c r="J230" s="171">
        <v>1</v>
      </c>
      <c r="K230" s="169">
        <f>J230*I230</f>
        <v>0</v>
      </c>
      <c r="L230" s="172">
        <f t="shared" si="33"/>
        <v>0</v>
      </c>
      <c r="M230" s="173" t="str">
        <f t="shared" ref="M230:M266" si="35">IF(ISERROR(L230/H230), "", L230/H230)</f>
        <v/>
      </c>
    </row>
    <row r="231" spans="1:13" x14ac:dyDescent="0.2">
      <c r="A231" s="140" t="str">
        <f t="shared" ref="A231:A285" si="36">A230</f>
        <v>GS &gt;50 to 999 kW</v>
      </c>
      <c r="D231" s="174" t="s">
        <v>2369</v>
      </c>
      <c r="E231" s="166" t="s">
        <v>2365</v>
      </c>
      <c r="F231" s="167">
        <v>21.98</v>
      </c>
      <c r="G231" s="168">
        <v>1</v>
      </c>
      <c r="H231" s="169">
        <f t="shared" si="34"/>
        <v>21.98</v>
      </c>
      <c r="I231" s="170"/>
      <c r="J231" s="171">
        <v>1</v>
      </c>
      <c r="K231" s="169">
        <f t="shared" ref="K231:K244" si="37">J231*I231</f>
        <v>0</v>
      </c>
      <c r="L231" s="172">
        <f t="shared" si="33"/>
        <v>-21.98</v>
      </c>
      <c r="M231" s="173">
        <f t="shared" si="35"/>
        <v>-1</v>
      </c>
    </row>
    <row r="232" spans="1:13" x14ac:dyDescent="0.2">
      <c r="A232" s="140" t="str">
        <f t="shared" si="36"/>
        <v>GS &gt;50 to 999 kW</v>
      </c>
      <c r="D232" s="174"/>
      <c r="E232" s="166"/>
      <c r="F232" s="167"/>
      <c r="G232" s="168">
        <v>1</v>
      </c>
      <c r="H232" s="169">
        <f t="shared" si="34"/>
        <v>0</v>
      </c>
      <c r="I232" s="170"/>
      <c r="J232" s="171">
        <v>1</v>
      </c>
      <c r="K232" s="169">
        <f t="shared" si="37"/>
        <v>0</v>
      </c>
      <c r="L232" s="172">
        <f t="shared" si="33"/>
        <v>0</v>
      </c>
      <c r="M232" s="173" t="str">
        <f t="shared" si="35"/>
        <v/>
      </c>
    </row>
    <row r="233" spans="1:13" x14ac:dyDescent="0.2">
      <c r="A233" s="140" t="str">
        <f t="shared" si="36"/>
        <v>GS &gt;50 to 999 kW</v>
      </c>
      <c r="D233" s="174"/>
      <c r="E233" s="166"/>
      <c r="F233" s="167"/>
      <c r="G233" s="168">
        <v>1</v>
      </c>
      <c r="H233" s="169">
        <f t="shared" si="34"/>
        <v>0</v>
      </c>
      <c r="I233" s="170"/>
      <c r="J233" s="171">
        <v>1</v>
      </c>
      <c r="K233" s="169">
        <f t="shared" si="37"/>
        <v>0</v>
      </c>
      <c r="L233" s="172">
        <f t="shared" si="33"/>
        <v>0</v>
      </c>
      <c r="M233" s="173" t="str">
        <f t="shared" si="35"/>
        <v/>
      </c>
    </row>
    <row r="234" spans="1:13" x14ac:dyDescent="0.2">
      <c r="A234" s="140" t="str">
        <f t="shared" si="36"/>
        <v>GS &gt;50 to 999 kW</v>
      </c>
      <c r="D234" s="174"/>
      <c r="E234" s="166"/>
      <c r="F234" s="167"/>
      <c r="G234" s="168">
        <v>1</v>
      </c>
      <c r="H234" s="169">
        <f t="shared" si="34"/>
        <v>0</v>
      </c>
      <c r="I234" s="170"/>
      <c r="J234" s="171">
        <v>1</v>
      </c>
      <c r="K234" s="169">
        <f t="shared" si="37"/>
        <v>0</v>
      </c>
      <c r="L234" s="172">
        <f t="shared" si="33"/>
        <v>0</v>
      </c>
      <c r="M234" s="173" t="str">
        <f t="shared" si="35"/>
        <v/>
      </c>
    </row>
    <row r="235" spans="1:13" x14ac:dyDescent="0.2">
      <c r="A235" s="140" t="str">
        <f t="shared" si="36"/>
        <v>GS &gt;50 to 999 kW</v>
      </c>
      <c r="D235" s="165" t="s">
        <v>26</v>
      </c>
      <c r="E235" s="166" t="s">
        <v>2372</v>
      </c>
      <c r="F235" s="167">
        <v>2.5983999999999998</v>
      </c>
      <c r="G235" s="248">
        <f>IF($E221&gt;0, $E221, $E220)</f>
        <v>150</v>
      </c>
      <c r="H235" s="169">
        <f t="shared" si="34"/>
        <v>389.76</v>
      </c>
      <c r="I235" s="170">
        <v>3.1573000000000002</v>
      </c>
      <c r="J235" s="248">
        <f>IF($E221&gt;0, $E221, $E220)</f>
        <v>150</v>
      </c>
      <c r="K235" s="169">
        <f t="shared" si="37"/>
        <v>473.59500000000003</v>
      </c>
      <c r="L235" s="172">
        <f t="shared" si="33"/>
        <v>83.835000000000036</v>
      </c>
      <c r="M235" s="173">
        <f t="shared" si="35"/>
        <v>0.21509390394088679</v>
      </c>
    </row>
    <row r="236" spans="1:13" x14ac:dyDescent="0.2">
      <c r="A236" s="140" t="str">
        <f t="shared" si="36"/>
        <v>GS &gt;50 to 999 kW</v>
      </c>
      <c r="D236" s="165" t="s">
        <v>27</v>
      </c>
      <c r="E236" s="166"/>
      <c r="F236" s="167"/>
      <c r="G236" s="248">
        <f>IF($E221&gt;0, $E221, $E220)</f>
        <v>150</v>
      </c>
      <c r="H236" s="169">
        <f t="shared" si="34"/>
        <v>0</v>
      </c>
      <c r="I236" s="170"/>
      <c r="J236" s="248">
        <f>IF($E221&gt;0, $E221, $E220)</f>
        <v>150</v>
      </c>
      <c r="K236" s="169">
        <f t="shared" si="37"/>
        <v>0</v>
      </c>
      <c r="L236" s="172">
        <f t="shared" si="33"/>
        <v>0</v>
      </c>
      <c r="M236" s="173" t="str">
        <f t="shared" si="35"/>
        <v/>
      </c>
    </row>
    <row r="237" spans="1:13" x14ac:dyDescent="0.2">
      <c r="A237" s="140" t="str">
        <f t="shared" si="36"/>
        <v>GS &gt;50 to 999 kW</v>
      </c>
      <c r="D237" s="165" t="s">
        <v>28</v>
      </c>
      <c r="E237" s="166" t="s">
        <v>2372</v>
      </c>
      <c r="F237" s="167"/>
      <c r="G237" s="248">
        <f>IF($E221&gt;0, $E221, $E220)</f>
        <v>150</v>
      </c>
      <c r="H237" s="169">
        <f t="shared" si="34"/>
        <v>0</v>
      </c>
      <c r="I237" s="170">
        <v>0.1477</v>
      </c>
      <c r="J237" s="248">
        <f>IF($E221&gt;0, $E221, $E220)</f>
        <v>150</v>
      </c>
      <c r="K237" s="169">
        <f t="shared" si="37"/>
        <v>22.155000000000001</v>
      </c>
      <c r="L237" s="172">
        <f t="shared" si="33"/>
        <v>22.155000000000001</v>
      </c>
      <c r="M237" s="173" t="str">
        <f t="shared" si="35"/>
        <v/>
      </c>
    </row>
    <row r="238" spans="1:13" x14ac:dyDescent="0.2">
      <c r="A238" s="140" t="str">
        <f t="shared" si="36"/>
        <v>GS &gt;50 to 999 kW</v>
      </c>
      <c r="D238" s="174"/>
      <c r="E238" s="166"/>
      <c r="F238" s="167"/>
      <c r="G238" s="248">
        <f>IF($E221&gt;0, $E221, $E220)</f>
        <v>150</v>
      </c>
      <c r="H238" s="169">
        <f t="shared" si="34"/>
        <v>0</v>
      </c>
      <c r="I238" s="170"/>
      <c r="J238" s="248">
        <f>IF($E221&gt;0, $E221, $E220)</f>
        <v>150</v>
      </c>
      <c r="K238" s="169">
        <f t="shared" si="37"/>
        <v>0</v>
      </c>
      <c r="L238" s="172">
        <f t="shared" si="33"/>
        <v>0</v>
      </c>
      <c r="M238" s="173" t="str">
        <f t="shared" si="35"/>
        <v/>
      </c>
    </row>
    <row r="239" spans="1:13" x14ac:dyDescent="0.2">
      <c r="A239" s="140" t="str">
        <f t="shared" si="36"/>
        <v>GS &gt;50 to 999 kW</v>
      </c>
      <c r="D239" s="174"/>
      <c r="E239" s="166"/>
      <c r="F239" s="167"/>
      <c r="G239" s="248">
        <f>IF($E221&gt;0, $E221, $E220)</f>
        <v>150</v>
      </c>
      <c r="H239" s="169">
        <f t="shared" si="34"/>
        <v>0</v>
      </c>
      <c r="I239" s="170"/>
      <c r="J239" s="248">
        <f>IF($E221&gt;0, $E221, $E220)</f>
        <v>150</v>
      </c>
      <c r="K239" s="169">
        <f t="shared" si="37"/>
        <v>0</v>
      </c>
      <c r="L239" s="172">
        <f t="shared" si="33"/>
        <v>0</v>
      </c>
      <c r="M239" s="173" t="str">
        <f t="shared" si="35"/>
        <v/>
      </c>
    </row>
    <row r="240" spans="1:13" x14ac:dyDescent="0.2">
      <c r="A240" s="140" t="str">
        <f t="shared" si="36"/>
        <v>GS &gt;50 to 999 kW</v>
      </c>
      <c r="D240" s="174"/>
      <c r="E240" s="166"/>
      <c r="F240" s="167"/>
      <c r="G240" s="248">
        <f>IF($E221&gt;0, $E221, $E220)</f>
        <v>150</v>
      </c>
      <c r="H240" s="169">
        <f t="shared" si="34"/>
        <v>0</v>
      </c>
      <c r="I240" s="170"/>
      <c r="J240" s="248">
        <f>IF($E221&gt;0, $E221, $E220)</f>
        <v>150</v>
      </c>
      <c r="K240" s="169">
        <f t="shared" si="37"/>
        <v>0</v>
      </c>
      <c r="L240" s="172">
        <f t="shared" si="33"/>
        <v>0</v>
      </c>
      <c r="M240" s="173" t="str">
        <f t="shared" si="35"/>
        <v/>
      </c>
    </row>
    <row r="241" spans="1:13" x14ac:dyDescent="0.2">
      <c r="A241" s="140" t="str">
        <f t="shared" si="36"/>
        <v>GS &gt;50 to 999 kW</v>
      </c>
      <c r="D241" s="174"/>
      <c r="E241" s="166"/>
      <c r="F241" s="167"/>
      <c r="G241" s="248">
        <f>IF($E221&gt;0, $E221, $E220)</f>
        <v>150</v>
      </c>
      <c r="H241" s="169">
        <f t="shared" si="34"/>
        <v>0</v>
      </c>
      <c r="I241" s="170"/>
      <c r="J241" s="248">
        <f>IF($E221&gt;0, $E221, $E220)</f>
        <v>150</v>
      </c>
      <c r="K241" s="169">
        <f t="shared" si="37"/>
        <v>0</v>
      </c>
      <c r="L241" s="172">
        <f t="shared" si="33"/>
        <v>0</v>
      </c>
      <c r="M241" s="173" t="str">
        <f t="shared" si="35"/>
        <v/>
      </c>
    </row>
    <row r="242" spans="1:13" x14ac:dyDescent="0.2">
      <c r="A242" s="140" t="str">
        <f t="shared" si="36"/>
        <v>GS &gt;50 to 999 kW</v>
      </c>
      <c r="D242" s="174"/>
      <c r="E242" s="166"/>
      <c r="F242" s="167"/>
      <c r="G242" s="248">
        <f>IF($E221&gt;0, $E221, $E220)</f>
        <v>150</v>
      </c>
      <c r="H242" s="169">
        <f t="shared" si="34"/>
        <v>0</v>
      </c>
      <c r="I242" s="170"/>
      <c r="J242" s="248">
        <f>IF($E221&gt;0, $E221, $E220)</f>
        <v>150</v>
      </c>
      <c r="K242" s="169">
        <f t="shared" si="37"/>
        <v>0</v>
      </c>
      <c r="L242" s="172">
        <f t="shared" si="33"/>
        <v>0</v>
      </c>
      <c r="M242" s="173" t="str">
        <f t="shared" si="35"/>
        <v/>
      </c>
    </row>
    <row r="243" spans="1:13" x14ac:dyDescent="0.2">
      <c r="A243" s="140" t="str">
        <f t="shared" si="36"/>
        <v>GS &gt;50 to 999 kW</v>
      </c>
      <c r="D243" s="174" t="s">
        <v>2373</v>
      </c>
      <c r="E243" s="166" t="s">
        <v>2372</v>
      </c>
      <c r="F243" s="167"/>
      <c r="G243" s="248">
        <f>IF($E221&gt;0, $E221, $E220)</f>
        <v>150</v>
      </c>
      <c r="H243" s="169">
        <f t="shared" si="34"/>
        <v>0</v>
      </c>
      <c r="I243" s="170">
        <v>1.3646</v>
      </c>
      <c r="J243" s="248">
        <f>IF($E221&gt;0, $E221, $E220)</f>
        <v>150</v>
      </c>
      <c r="K243" s="169">
        <f t="shared" si="37"/>
        <v>204.69</v>
      </c>
      <c r="L243" s="172">
        <f t="shared" si="33"/>
        <v>204.69</v>
      </c>
      <c r="M243" s="173" t="str">
        <f t="shared" si="35"/>
        <v/>
      </c>
    </row>
    <row r="244" spans="1:13" x14ac:dyDescent="0.2">
      <c r="A244" s="140" t="str">
        <f t="shared" si="36"/>
        <v>GS &gt;50 to 999 kW</v>
      </c>
      <c r="D244" s="174"/>
      <c r="E244" s="166"/>
      <c r="F244" s="167"/>
      <c r="G244" s="248">
        <f>IF($E221&gt;0, $E221, $E220)</f>
        <v>150</v>
      </c>
      <c r="H244" s="169">
        <f t="shared" si="34"/>
        <v>0</v>
      </c>
      <c r="I244" s="170"/>
      <c r="J244" s="248">
        <f>IF($E221&gt;0, $E221, $E220)</f>
        <v>150</v>
      </c>
      <c r="K244" s="169">
        <f t="shared" si="37"/>
        <v>0</v>
      </c>
      <c r="L244" s="172">
        <f t="shared" si="33"/>
        <v>0</v>
      </c>
      <c r="M244" s="173" t="str">
        <f t="shared" si="35"/>
        <v/>
      </c>
    </row>
    <row r="245" spans="1:13" x14ac:dyDescent="0.2">
      <c r="A245" s="140" t="str">
        <f t="shared" si="36"/>
        <v>GS &gt;50 to 999 kW</v>
      </c>
      <c r="B245" s="338" t="s">
        <v>1891</v>
      </c>
      <c r="C245" s="337"/>
      <c r="D245" s="175" t="s">
        <v>617</v>
      </c>
      <c r="E245" s="176"/>
      <c r="F245" s="177"/>
      <c r="G245" s="178"/>
      <c r="H245" s="179">
        <f>SUM(H229:H244)</f>
        <v>489.72</v>
      </c>
      <c r="I245" s="180"/>
      <c r="J245" s="181"/>
      <c r="K245" s="179">
        <f>SUM(K229:K244)</f>
        <v>795.8599999999999</v>
      </c>
      <c r="L245" s="182">
        <f t="shared" si="33"/>
        <v>306.13999999999987</v>
      </c>
      <c r="M245" s="183">
        <f>IF((H245)=0,"",(L245/H245))</f>
        <v>0.62513272890631355</v>
      </c>
    </row>
    <row r="246" spans="1:13" ht="25.5" x14ac:dyDescent="0.2">
      <c r="A246" s="140" t="str">
        <f t="shared" si="36"/>
        <v>GS &gt;50 to 999 kW</v>
      </c>
      <c r="D246" s="184" t="s">
        <v>2374</v>
      </c>
      <c r="E246" s="166" t="s">
        <v>2366</v>
      </c>
      <c r="F246" s="167"/>
      <c r="G246" s="248">
        <f>IF($E221&gt;0, $E221, $E220)</f>
        <v>150</v>
      </c>
      <c r="H246" s="169">
        <f>G246*F246</f>
        <v>0</v>
      </c>
      <c r="I246" s="170">
        <v>-3.2000000000000002E-3</v>
      </c>
      <c r="J246" s="248">
        <f>+E220</f>
        <v>50000</v>
      </c>
      <c r="K246" s="169">
        <f>J246*I246</f>
        <v>-160</v>
      </c>
      <c r="L246" s="172">
        <f t="shared" si="33"/>
        <v>-160</v>
      </c>
      <c r="M246" s="173" t="str">
        <f t="shared" si="35"/>
        <v/>
      </c>
    </row>
    <row r="247" spans="1:13" x14ac:dyDescent="0.2">
      <c r="A247" s="140" t="str">
        <f t="shared" si="36"/>
        <v>GS &gt;50 to 999 kW</v>
      </c>
      <c r="D247" s="184" t="s">
        <v>2367</v>
      </c>
      <c r="E247" s="166" t="s">
        <v>2372</v>
      </c>
      <c r="F247" s="167"/>
      <c r="G247" s="248">
        <f>IF($E221&gt;0, $E221, $E220)</f>
        <v>150</v>
      </c>
      <c r="H247" s="169">
        <f t="shared" ref="H247:H251" si="38">G247*F247</f>
        <v>0</v>
      </c>
      <c r="I247" s="170">
        <v>6.4000000000000003E-3</v>
      </c>
      <c r="J247" s="248">
        <f>IF($E221&gt;0, $E221, $E220)</f>
        <v>150</v>
      </c>
      <c r="K247" s="169">
        <f t="shared" ref="K247:K251" si="39">J247*I247</f>
        <v>0.96000000000000008</v>
      </c>
      <c r="L247" s="172">
        <f t="shared" si="33"/>
        <v>0.96000000000000008</v>
      </c>
      <c r="M247" s="173" t="str">
        <f t="shared" si="35"/>
        <v/>
      </c>
    </row>
    <row r="248" spans="1:13" x14ac:dyDescent="0.2">
      <c r="A248" s="140" t="str">
        <f t="shared" si="36"/>
        <v>GS &gt;50 to 999 kW</v>
      </c>
      <c r="D248" s="184" t="s">
        <v>2368</v>
      </c>
      <c r="E248" s="166" t="s">
        <v>2372</v>
      </c>
      <c r="F248" s="167"/>
      <c r="G248" s="248">
        <f>IF($E221&gt;0, $E221, $E220)</f>
        <v>150</v>
      </c>
      <c r="H248" s="169">
        <f t="shared" si="38"/>
        <v>0</v>
      </c>
      <c r="I248" s="170">
        <v>-0.71</v>
      </c>
      <c r="J248" s="248">
        <f>IF($E221&gt;0, $E221, $E220)</f>
        <v>150</v>
      </c>
      <c r="K248" s="169">
        <f t="shared" si="39"/>
        <v>-106.5</v>
      </c>
      <c r="L248" s="172">
        <f t="shared" si="33"/>
        <v>-106.5</v>
      </c>
      <c r="M248" s="173" t="str">
        <f t="shared" si="35"/>
        <v/>
      </c>
    </row>
    <row r="249" spans="1:13" x14ac:dyDescent="0.2">
      <c r="A249" s="140" t="str">
        <f t="shared" si="36"/>
        <v>GS &gt;50 to 999 kW</v>
      </c>
      <c r="D249" s="184" t="s">
        <v>2371</v>
      </c>
      <c r="E249" s="166" t="s">
        <v>2366</v>
      </c>
      <c r="F249" s="167"/>
      <c r="G249" s="248">
        <f>IF($E221&gt;0, $E221, $E220)</f>
        <v>150</v>
      </c>
      <c r="H249" s="169">
        <f t="shared" si="38"/>
        <v>0</v>
      </c>
      <c r="I249" s="170">
        <v>7.0000000000000001E-3</v>
      </c>
      <c r="J249" s="248">
        <f>+E220</f>
        <v>50000</v>
      </c>
      <c r="K249" s="169">
        <f t="shared" si="39"/>
        <v>350</v>
      </c>
      <c r="L249" s="172">
        <f t="shared" si="33"/>
        <v>350</v>
      </c>
      <c r="M249" s="173" t="str">
        <f t="shared" si="35"/>
        <v/>
      </c>
    </row>
    <row r="250" spans="1:13" x14ac:dyDescent="0.2">
      <c r="A250" s="140" t="str">
        <f t="shared" si="36"/>
        <v>GS &gt;50 to 999 kW</v>
      </c>
      <c r="D250" s="185" t="s">
        <v>605</v>
      </c>
      <c r="E250" s="166" t="s">
        <v>2372</v>
      </c>
      <c r="F250" s="167">
        <v>7.9200000000000007E-2</v>
      </c>
      <c r="G250" s="248">
        <f>IF($E221&gt;0, $E221, $E220)</f>
        <v>150</v>
      </c>
      <c r="H250" s="169">
        <f>G250*F250</f>
        <v>11.88</v>
      </c>
      <c r="I250" s="170">
        <v>0.2621</v>
      </c>
      <c r="J250" s="248">
        <f>IF($E221&gt;0, $E221, $E220)</f>
        <v>150</v>
      </c>
      <c r="K250" s="169">
        <f>J250*I250</f>
        <v>39.314999999999998</v>
      </c>
      <c r="L250" s="172">
        <f t="shared" si="33"/>
        <v>27.434999999999995</v>
      </c>
      <c r="M250" s="173">
        <f t="shared" si="35"/>
        <v>2.3093434343434338</v>
      </c>
    </row>
    <row r="251" spans="1:13" x14ac:dyDescent="0.2">
      <c r="A251" s="140" t="str">
        <f t="shared" si="36"/>
        <v>GS &gt;50 to 999 kW</v>
      </c>
      <c r="D251" s="185" t="s">
        <v>928</v>
      </c>
      <c r="E251" s="166"/>
      <c r="F251" s="186">
        <f>IF((E220*12&gt;=150000), 0, IF(E219="RPP",(F262*0.64+F263*0.18+F264*0.18),IF(E219="Non-RPP (Retailer)",F265,F266)))</f>
        <v>0</v>
      </c>
      <c r="G251" s="249">
        <f>IF(F251=0, 0, $E220*E222-E220)</f>
        <v>0</v>
      </c>
      <c r="H251" s="169">
        <f t="shared" si="38"/>
        <v>0</v>
      </c>
      <c r="I251" s="187">
        <f>IF((E220*12&gt;=150000), 0, IF(E219="RPP",(I262*0.64+I263*0.18+I264*0.18),IF(E219="Non-RPP (Retailer)",I265,I266)))</f>
        <v>0</v>
      </c>
      <c r="J251" s="249">
        <f>IF(I251=0, 0, E220*E223-E220)</f>
        <v>0</v>
      </c>
      <c r="K251" s="169">
        <f t="shared" si="39"/>
        <v>0</v>
      </c>
      <c r="L251" s="172">
        <f t="shared" si="33"/>
        <v>0</v>
      </c>
      <c r="M251" s="173" t="str">
        <f t="shared" si="35"/>
        <v/>
      </c>
    </row>
    <row r="252" spans="1:13" x14ac:dyDescent="0.2">
      <c r="A252" s="140" t="str">
        <f t="shared" si="36"/>
        <v>GS &gt;50 to 999 kW</v>
      </c>
      <c r="D252" s="185" t="s">
        <v>562</v>
      </c>
      <c r="E252" s="166"/>
      <c r="F252" s="186"/>
      <c r="G252" s="168"/>
      <c r="H252" s="169">
        <f>G252*F252</f>
        <v>0</v>
      </c>
      <c r="I252" s="186"/>
      <c r="J252" s="168"/>
      <c r="K252" s="169">
        <f>J252*I252</f>
        <v>0</v>
      </c>
      <c r="L252" s="172">
        <f t="shared" si="33"/>
        <v>0</v>
      </c>
      <c r="M252" s="173" t="str">
        <f t="shared" si="35"/>
        <v/>
      </c>
    </row>
    <row r="253" spans="1:13" ht="25.5" x14ac:dyDescent="0.2">
      <c r="A253" s="140" t="str">
        <f t="shared" si="36"/>
        <v>GS &gt;50 to 999 kW</v>
      </c>
      <c r="B253" s="158" t="s">
        <v>1892</v>
      </c>
      <c r="D253" s="188" t="s">
        <v>560</v>
      </c>
      <c r="E253" s="189"/>
      <c r="F253" s="190"/>
      <c r="G253" s="178"/>
      <c r="H253" s="191">
        <f>SUM(H246:H252)+H245</f>
        <v>501.6</v>
      </c>
      <c r="I253" s="178"/>
      <c r="J253" s="181"/>
      <c r="K253" s="191">
        <f>SUM(K246:K252)+K245</f>
        <v>919.63499999999999</v>
      </c>
      <c r="L253" s="182">
        <f t="shared" si="33"/>
        <v>418.03499999999997</v>
      </c>
      <c r="M253" s="183">
        <f>IF((H253)=0,"",(L253/H253))</f>
        <v>0.83340311004784684</v>
      </c>
    </row>
    <row r="254" spans="1:13" x14ac:dyDescent="0.2">
      <c r="A254" s="140" t="str">
        <f t="shared" si="36"/>
        <v>GS &gt;50 to 999 kW</v>
      </c>
      <c r="D254" s="192" t="s">
        <v>30</v>
      </c>
      <c r="E254" s="193" t="s">
        <v>2372</v>
      </c>
      <c r="F254" s="170">
        <v>3.2738999999999998</v>
      </c>
      <c r="G254" s="249">
        <f>IF($E221&gt;0, $E221, $E220*$E222)</f>
        <v>150</v>
      </c>
      <c r="H254" s="169">
        <f>G254*F254</f>
        <v>491.08499999999998</v>
      </c>
      <c r="I254" s="170">
        <v>3.0270000000000001</v>
      </c>
      <c r="J254" s="249">
        <f>IF($E221&gt;0, $E221, $E220*$E223)</f>
        <v>150</v>
      </c>
      <c r="K254" s="169">
        <f>J254*I254</f>
        <v>454.05</v>
      </c>
      <c r="L254" s="172">
        <f t="shared" si="33"/>
        <v>-37.034999999999968</v>
      </c>
      <c r="M254" s="173">
        <f t="shared" si="35"/>
        <v>-7.5414643086227376E-2</v>
      </c>
    </row>
    <row r="255" spans="1:13" ht="25.5" x14ac:dyDescent="0.2">
      <c r="A255" s="140" t="str">
        <f t="shared" si="36"/>
        <v>GS &gt;50 to 999 kW</v>
      </c>
      <c r="D255" s="194" t="s">
        <v>31</v>
      </c>
      <c r="E255" s="193" t="s">
        <v>2372</v>
      </c>
      <c r="F255" s="170">
        <v>2.4626999999999999</v>
      </c>
      <c r="G255" s="249">
        <f>IF($E221&gt;0, $E221, $E220*$E222)</f>
        <v>150</v>
      </c>
      <c r="H255" s="169">
        <f>G255*F255</f>
        <v>369.40499999999997</v>
      </c>
      <c r="I255" s="170">
        <v>2.4559000000000002</v>
      </c>
      <c r="J255" s="249">
        <f>IF($E221&gt;0, $E221, $E220*$E223)</f>
        <v>150</v>
      </c>
      <c r="K255" s="169">
        <f>J255*I255</f>
        <v>368.38500000000005</v>
      </c>
      <c r="L255" s="172">
        <f t="shared" si="33"/>
        <v>-1.019999999999925</v>
      </c>
      <c r="M255" s="173">
        <f t="shared" si="35"/>
        <v>-2.7611970601370446E-3</v>
      </c>
    </row>
    <row r="256" spans="1:13" ht="25.5" x14ac:dyDescent="0.2">
      <c r="A256" s="140" t="str">
        <f t="shared" si="36"/>
        <v>GS &gt;50 to 999 kW</v>
      </c>
      <c r="B256" s="158" t="s">
        <v>1893</v>
      </c>
      <c r="D256" s="188" t="s">
        <v>561</v>
      </c>
      <c r="E256" s="176"/>
      <c r="F256" s="195"/>
      <c r="G256" s="178"/>
      <c r="H256" s="191">
        <f>SUM(H253:H255)</f>
        <v>1362.09</v>
      </c>
      <c r="I256" s="196"/>
      <c r="J256" s="197"/>
      <c r="K256" s="191">
        <f>SUM(K253:K255)</f>
        <v>1742.07</v>
      </c>
      <c r="L256" s="182">
        <f t="shared" si="33"/>
        <v>379.98</v>
      </c>
      <c r="M256" s="183">
        <f>IF((H256)=0,"",(L256/H256))</f>
        <v>0.27896835010902366</v>
      </c>
    </row>
    <row r="257" spans="1:13" ht="25.5" x14ac:dyDescent="0.2">
      <c r="A257" s="140" t="str">
        <f t="shared" si="36"/>
        <v>GS &gt;50 to 999 kW</v>
      </c>
      <c r="D257" s="198" t="s">
        <v>32</v>
      </c>
      <c r="E257" s="166" t="s">
        <v>2366</v>
      </c>
      <c r="F257" s="199">
        <v>4.4000000000000003E-3</v>
      </c>
      <c r="G257" s="249">
        <f>E220*E222</f>
        <v>51810</v>
      </c>
      <c r="H257" s="200">
        <f t="shared" ref="H257:H264" si="40">G257*F257</f>
        <v>227.96400000000003</v>
      </c>
      <c r="I257" s="201">
        <v>3.5999999999999999E-3</v>
      </c>
      <c r="J257" s="249">
        <f>E220*E223</f>
        <v>51875.000000000007</v>
      </c>
      <c r="K257" s="200">
        <f t="shared" ref="K257:K264" si="41">J257*I257</f>
        <v>186.75000000000003</v>
      </c>
      <c r="L257" s="172">
        <f t="shared" si="33"/>
        <v>-41.213999999999999</v>
      </c>
      <c r="M257" s="173">
        <f t="shared" si="35"/>
        <v>-0.18079170395325575</v>
      </c>
    </row>
    <row r="258" spans="1:13" ht="25.5" x14ac:dyDescent="0.2">
      <c r="A258" s="140" t="str">
        <f t="shared" si="36"/>
        <v>GS &gt;50 to 999 kW</v>
      </c>
      <c r="D258" s="198" t="s">
        <v>33</v>
      </c>
      <c r="E258" s="166" t="s">
        <v>2366</v>
      </c>
      <c r="F258" s="199">
        <v>1.2999999999999999E-3</v>
      </c>
      <c r="G258" s="249">
        <f>E220*E222</f>
        <v>51810</v>
      </c>
      <c r="H258" s="200">
        <f t="shared" si="40"/>
        <v>67.352999999999994</v>
      </c>
      <c r="I258" s="201">
        <v>1.2999999999999999E-3</v>
      </c>
      <c r="J258" s="249">
        <f>E220*E223</f>
        <v>51875.000000000007</v>
      </c>
      <c r="K258" s="200">
        <f t="shared" si="41"/>
        <v>67.4375</v>
      </c>
      <c r="L258" s="172">
        <f t="shared" si="33"/>
        <v>8.4500000000005571E-2</v>
      </c>
      <c r="M258" s="173">
        <f t="shared" si="35"/>
        <v>1.2545840571319107E-3</v>
      </c>
    </row>
    <row r="259" spans="1:13" x14ac:dyDescent="0.2">
      <c r="A259" s="140" t="str">
        <f t="shared" si="36"/>
        <v>GS &gt;50 to 999 kW</v>
      </c>
      <c r="D259" s="165" t="s">
        <v>34</v>
      </c>
      <c r="E259" s="166" t="s">
        <v>2365</v>
      </c>
      <c r="F259" s="199">
        <v>0.25</v>
      </c>
      <c r="G259" s="168">
        <v>1</v>
      </c>
      <c r="H259" s="200">
        <f t="shared" si="40"/>
        <v>0.25</v>
      </c>
      <c r="I259" s="201">
        <v>0.25</v>
      </c>
      <c r="J259" s="171">
        <v>1</v>
      </c>
      <c r="K259" s="200">
        <f t="shared" si="41"/>
        <v>0.25</v>
      </c>
      <c r="L259" s="172">
        <f t="shared" si="33"/>
        <v>0</v>
      </c>
      <c r="M259" s="173">
        <f t="shared" si="35"/>
        <v>0</v>
      </c>
    </row>
    <row r="260" spans="1:13" x14ac:dyDescent="0.2">
      <c r="A260" s="140" t="str">
        <f t="shared" si="36"/>
        <v>GS &gt;50 to 999 kW</v>
      </c>
      <c r="D260" s="165" t="s">
        <v>35</v>
      </c>
      <c r="E260" s="166" t="s">
        <v>2366</v>
      </c>
      <c r="F260" s="199">
        <v>7.0000000000000001E-3</v>
      </c>
      <c r="G260" s="248">
        <f>E220</f>
        <v>50000</v>
      </c>
      <c r="H260" s="200">
        <f t="shared" si="40"/>
        <v>350</v>
      </c>
      <c r="I260" s="199">
        <v>7.0000000000000001E-3</v>
      </c>
      <c r="J260" s="202">
        <f>+J246</f>
        <v>50000</v>
      </c>
      <c r="K260" s="200">
        <f t="shared" si="41"/>
        <v>350</v>
      </c>
      <c r="L260" s="202"/>
      <c r="M260" s="173">
        <f t="shared" si="35"/>
        <v>0</v>
      </c>
    </row>
    <row r="261" spans="1:13" ht="25.5" x14ac:dyDescent="0.2">
      <c r="A261" s="140" t="str">
        <f t="shared" si="36"/>
        <v>GS &gt;50 to 999 kW</v>
      </c>
      <c r="D261" s="198" t="s">
        <v>1939</v>
      </c>
      <c r="E261" s="166" t="s">
        <v>2366</v>
      </c>
      <c r="F261" s="202"/>
      <c r="G261" s="202"/>
      <c r="H261" s="202"/>
      <c r="I261" s="201">
        <v>1.1000000000000001E-3</v>
      </c>
      <c r="J261" s="249">
        <f>E220*E223</f>
        <v>51875.000000000007</v>
      </c>
      <c r="K261" s="200">
        <f t="shared" ref="K261" si="42">J261*I261</f>
        <v>57.062500000000014</v>
      </c>
      <c r="L261" s="172">
        <f t="shared" si="33"/>
        <v>57.062500000000014</v>
      </c>
      <c r="M261" s="173">
        <v>1</v>
      </c>
    </row>
    <row r="262" spans="1:13" hidden="1" x14ac:dyDescent="0.2">
      <c r="A262" s="140" t="str">
        <f>A260</f>
        <v>GS &gt;50 to 999 kW</v>
      </c>
      <c r="B262" s="158" t="s">
        <v>1871</v>
      </c>
      <c r="D262" s="185" t="s">
        <v>582</v>
      </c>
      <c r="E262" s="166"/>
      <c r="F262" s="203">
        <v>0.08</v>
      </c>
      <c r="G262" s="250">
        <f>IF(AND(E220*12&gt;=150000),0.64*E220*E222,0.64*E220)</f>
        <v>33158.400000000001</v>
      </c>
      <c r="H262" s="200">
        <f t="shared" si="40"/>
        <v>2652.672</v>
      </c>
      <c r="I262" s="203">
        <v>0.08</v>
      </c>
      <c r="J262" s="250">
        <f>IF(AND(E220*12&gt;=150000),0.64*E220*E223,0.64*E220)</f>
        <v>33200</v>
      </c>
      <c r="K262" s="200">
        <f t="shared" si="41"/>
        <v>2656</v>
      </c>
      <c r="L262" s="172">
        <f>K262-H262</f>
        <v>3.3279999999999745</v>
      </c>
      <c r="M262" s="173">
        <f t="shared" si="35"/>
        <v>1.2545840571318182E-3</v>
      </c>
    </row>
    <row r="263" spans="1:13" hidden="1" x14ac:dyDescent="0.2">
      <c r="A263" s="140" t="str">
        <f t="shared" si="36"/>
        <v>GS &gt;50 to 999 kW</v>
      </c>
      <c r="B263" s="158" t="s">
        <v>1871</v>
      </c>
      <c r="D263" s="185" t="s">
        <v>583</v>
      </c>
      <c r="E263" s="166"/>
      <c r="F263" s="203">
        <v>0.122</v>
      </c>
      <c r="G263" s="250">
        <f>IF(AND(E220*12&gt;=150000),0.18*E220*E222,0.18*E220)</f>
        <v>9325.7999999999993</v>
      </c>
      <c r="H263" s="200">
        <f t="shared" si="40"/>
        <v>1137.7475999999999</v>
      </c>
      <c r="I263" s="203">
        <v>0.122</v>
      </c>
      <c r="J263" s="250">
        <f>IF(AND(E220*12&gt;=150000),0.18*E220*E223,0.18*E220)</f>
        <v>9337.5</v>
      </c>
      <c r="K263" s="200">
        <f t="shared" si="41"/>
        <v>1139.175</v>
      </c>
      <c r="L263" s="172">
        <f>K263-H263</f>
        <v>1.4274000000000342</v>
      </c>
      <c r="M263" s="173">
        <f t="shared" si="35"/>
        <v>1.254584057131858E-3</v>
      </c>
    </row>
    <row r="264" spans="1:13" hidden="1" x14ac:dyDescent="0.2">
      <c r="A264" s="140" t="str">
        <f t="shared" si="36"/>
        <v>GS &gt;50 to 999 kW</v>
      </c>
      <c r="B264" s="158" t="s">
        <v>1871</v>
      </c>
      <c r="D264" s="158" t="s">
        <v>584</v>
      </c>
      <c r="E264" s="166"/>
      <c r="F264" s="203">
        <v>0.161</v>
      </c>
      <c r="G264" s="250">
        <f>IF(AND(E220*12&gt;=150000),0.18*E220*E222,0.18*E220)</f>
        <v>9325.7999999999993</v>
      </c>
      <c r="H264" s="200">
        <f t="shared" si="40"/>
        <v>1501.4538</v>
      </c>
      <c r="I264" s="203">
        <v>0.161</v>
      </c>
      <c r="J264" s="250">
        <f>IF(AND(E220*12&gt;=150000),0.18*E220*E223,0.18*E220)</f>
        <v>9337.5</v>
      </c>
      <c r="K264" s="200">
        <f t="shared" si="41"/>
        <v>1503.3375000000001</v>
      </c>
      <c r="L264" s="172">
        <f>K264-H264</f>
        <v>1.8837000000000899</v>
      </c>
      <c r="M264" s="173">
        <f t="shared" si="35"/>
        <v>1.2545840571318878E-3</v>
      </c>
    </row>
    <row r="265" spans="1:13" hidden="1" x14ac:dyDescent="0.2">
      <c r="A265" s="140" t="str">
        <f t="shared" si="36"/>
        <v>GS &gt;50 to 999 kW</v>
      </c>
      <c r="B265" s="140" t="s">
        <v>1872</v>
      </c>
      <c r="D265" s="185" t="s">
        <v>1894</v>
      </c>
      <c r="E265" s="166"/>
      <c r="F265" s="203">
        <v>8.5999999999999993E-2</v>
      </c>
      <c r="G265" s="250">
        <f>IF(AND(E220*12&gt;=150000),E220*E222,E220)</f>
        <v>51810</v>
      </c>
      <c r="H265" s="200">
        <f>G265*F265</f>
        <v>4455.66</v>
      </c>
      <c r="I265" s="203">
        <v>8.5999999999999993E-2</v>
      </c>
      <c r="J265" s="250">
        <f>IF(AND(E220*12&gt;=150000),E220*E223,E220)</f>
        <v>51875.000000000007</v>
      </c>
      <c r="K265" s="200">
        <f>J265*I265</f>
        <v>4461.25</v>
      </c>
      <c r="L265" s="172">
        <f>K265-H265</f>
        <v>5.5900000000001455</v>
      </c>
      <c r="M265" s="173">
        <f t="shared" si="35"/>
        <v>1.2545840571318604E-3</v>
      </c>
    </row>
    <row r="266" spans="1:13" ht="13.5" thickBot="1" x14ac:dyDescent="0.25">
      <c r="A266" s="140" t="str">
        <f t="shared" si="36"/>
        <v>GS &gt;50 to 999 kW</v>
      </c>
      <c r="B266" s="140" t="s">
        <v>1873</v>
      </c>
      <c r="D266" s="185" t="s">
        <v>1895</v>
      </c>
      <c r="E266" s="166"/>
      <c r="F266" s="199">
        <f>0.0906</f>
        <v>9.06E-2</v>
      </c>
      <c r="G266" s="251">
        <f>IF(AND(E220*12&gt;=150000),E220*E222,E220)</f>
        <v>51810</v>
      </c>
      <c r="H266" s="200">
        <f>G266*F266</f>
        <v>4693.9859999999999</v>
      </c>
      <c r="I266" s="199">
        <f>0.0906</f>
        <v>9.06E-2</v>
      </c>
      <c r="J266" s="251">
        <f>IF(AND(E220*12&gt;=150000),E220*E223,E220)</f>
        <v>51875.000000000007</v>
      </c>
      <c r="K266" s="200">
        <f>J266*I266</f>
        <v>4699.8750000000009</v>
      </c>
      <c r="L266" s="172">
        <f>K266-H266</f>
        <v>5.8890000000010332</v>
      </c>
      <c r="M266" s="173">
        <f t="shared" si="35"/>
        <v>1.254584057132048E-3</v>
      </c>
    </row>
    <row r="267" spans="1:13" ht="13.5" thickBot="1" x14ac:dyDescent="0.25">
      <c r="A267" s="140" t="str">
        <f t="shared" si="36"/>
        <v>GS &gt;50 to 999 kW</v>
      </c>
      <c r="B267" s="158"/>
      <c r="D267" s="204"/>
      <c r="E267" s="205"/>
      <c r="F267" s="206"/>
      <c r="G267" s="207"/>
      <c r="H267" s="208"/>
      <c r="I267" s="206"/>
      <c r="J267" s="209"/>
      <c r="K267" s="208"/>
      <c r="L267" s="210"/>
      <c r="M267" s="211"/>
    </row>
    <row r="268" spans="1:13" hidden="1" x14ac:dyDescent="0.2">
      <c r="A268" s="140" t="str">
        <f t="shared" si="36"/>
        <v>GS &gt;50 to 999 kW</v>
      </c>
      <c r="B268" s="158" t="s">
        <v>1871</v>
      </c>
      <c r="D268" s="212" t="s">
        <v>585</v>
      </c>
      <c r="E268" s="165"/>
      <c r="F268" s="213"/>
      <c r="G268" s="214"/>
      <c r="H268" s="215">
        <f>SUM(H257:H264,H256)</f>
        <v>7299.5304000000006</v>
      </c>
      <c r="I268" s="216"/>
      <c r="J268" s="216"/>
      <c r="K268" s="215">
        <f>SUM(K257:K264,K256)</f>
        <v>7702.0825000000004</v>
      </c>
      <c r="L268" s="217">
        <f>K268-H268</f>
        <v>402.55209999999988</v>
      </c>
      <c r="M268" s="218">
        <f>IF((H268)=0,"",(L268/H268))</f>
        <v>5.5147670869347958E-2</v>
      </c>
    </row>
    <row r="269" spans="1:13" hidden="1" x14ac:dyDescent="0.2">
      <c r="A269" s="140" t="str">
        <f t="shared" si="36"/>
        <v>GS &gt;50 to 999 kW</v>
      </c>
      <c r="B269" s="158" t="s">
        <v>1871</v>
      </c>
      <c r="D269" s="219" t="s">
        <v>36</v>
      </c>
      <c r="E269" s="165"/>
      <c r="F269" s="213">
        <v>0.13</v>
      </c>
      <c r="G269" s="220"/>
      <c r="H269" s="221">
        <f>H268*F269</f>
        <v>948.93895200000009</v>
      </c>
      <c r="I269" s="222">
        <v>0.13</v>
      </c>
      <c r="J269" s="223"/>
      <c r="K269" s="221">
        <f>K268*I269</f>
        <v>1001.2707250000001</v>
      </c>
      <c r="L269" s="224">
        <f>K269-H269</f>
        <v>52.331772999999998</v>
      </c>
      <c r="M269" s="225">
        <f>IF((H269)=0,"",(L269/H269))</f>
        <v>5.5147670869347971E-2</v>
      </c>
    </row>
    <row r="270" spans="1:13" hidden="1" x14ac:dyDescent="0.2">
      <c r="A270" s="140" t="str">
        <f t="shared" si="36"/>
        <v>GS &gt;50 to 999 kW</v>
      </c>
      <c r="B270" s="158" t="s">
        <v>1871</v>
      </c>
      <c r="D270" s="226" t="s">
        <v>586</v>
      </c>
      <c r="E270" s="165"/>
      <c r="F270" s="227"/>
      <c r="G270" s="220"/>
      <c r="H270" s="221">
        <f>H268+H269</f>
        <v>8248.4693520000001</v>
      </c>
      <c r="I270" s="223"/>
      <c r="J270" s="223"/>
      <c r="K270" s="221">
        <f>K268+K269</f>
        <v>8703.3532250000007</v>
      </c>
      <c r="L270" s="224">
        <f>K270-H270</f>
        <v>454.88387300000068</v>
      </c>
      <c r="M270" s="225">
        <f>IF((H270)=0,"",(L270/H270))</f>
        <v>5.5147670869348062E-2</v>
      </c>
    </row>
    <row r="271" spans="1:13" hidden="1" x14ac:dyDescent="0.2">
      <c r="A271" s="140" t="str">
        <f t="shared" si="36"/>
        <v>GS &gt;50 to 999 kW</v>
      </c>
      <c r="B271" s="158" t="s">
        <v>1871</v>
      </c>
      <c r="D271" s="2465" t="s">
        <v>264</v>
      </c>
      <c r="E271" s="2465"/>
      <c r="F271" s="227"/>
      <c r="G271" s="220"/>
      <c r="H271" s="228">
        <f>ROUND(-H270*10%,2)</f>
        <v>-824.85</v>
      </c>
      <c r="I271" s="202"/>
      <c r="J271" s="202"/>
      <c r="K271" s="202"/>
      <c r="L271" s="202"/>
      <c r="M271" s="229"/>
    </row>
    <row r="272" spans="1:13" ht="13.5" hidden="1" thickBot="1" x14ac:dyDescent="0.25">
      <c r="A272" s="140" t="str">
        <f t="shared" si="36"/>
        <v>GS &gt;50 to 999 kW</v>
      </c>
      <c r="B272" s="158" t="s">
        <v>1896</v>
      </c>
      <c r="D272" s="2466" t="s">
        <v>1897</v>
      </c>
      <c r="E272" s="2466"/>
      <c r="F272" s="230"/>
      <c r="G272" s="231"/>
      <c r="H272" s="232">
        <f>H270+H271</f>
        <v>7423.6193519999997</v>
      </c>
      <c r="I272" s="233"/>
      <c r="J272" s="233"/>
      <c r="K272" s="232">
        <f>K270+K271</f>
        <v>8703.3532250000007</v>
      </c>
      <c r="L272" s="234">
        <f>K272-H272</f>
        <v>1279.733873000001</v>
      </c>
      <c r="M272" s="235">
        <f>IF((H272)=0,"",(L272/H272))</f>
        <v>0.17238678497911231</v>
      </c>
    </row>
    <row r="273" spans="1:20" ht="13.5" hidden="1" thickBot="1" x14ac:dyDescent="0.25">
      <c r="A273" s="140" t="str">
        <f t="shared" si="36"/>
        <v>GS &gt;50 to 999 kW</v>
      </c>
      <c r="B273" s="140" t="s">
        <v>1871</v>
      </c>
      <c r="D273" s="204"/>
      <c r="E273" s="205"/>
      <c r="F273" s="206"/>
      <c r="G273" s="207"/>
      <c r="H273" s="208"/>
      <c r="I273" s="206"/>
      <c r="J273" s="209"/>
      <c r="K273" s="208"/>
      <c r="L273" s="210"/>
      <c r="M273" s="211"/>
    </row>
    <row r="274" spans="1:20" hidden="1" x14ac:dyDescent="0.2">
      <c r="A274" s="140" t="str">
        <f t="shared" si="36"/>
        <v>GS &gt;50 to 999 kW</v>
      </c>
      <c r="B274" s="140" t="s">
        <v>1872</v>
      </c>
      <c r="D274" s="212" t="s">
        <v>1898</v>
      </c>
      <c r="E274" s="165"/>
      <c r="F274" s="213"/>
      <c r="G274" s="214"/>
      <c r="H274" s="215">
        <f>SUM(H265,H256,H257:H262)</f>
        <v>9115.9889999999996</v>
      </c>
      <c r="I274" s="216"/>
      <c r="J274" s="216"/>
      <c r="K274" s="215">
        <f>SUM(K265,K256,K257:K262)</f>
        <v>9520.82</v>
      </c>
      <c r="L274" s="217">
        <f>K274-H274</f>
        <v>404.83100000000013</v>
      </c>
      <c r="M274" s="218">
        <f>IF((H274)=0,"",(L274/H274))</f>
        <v>4.4408895184055198E-2</v>
      </c>
    </row>
    <row r="275" spans="1:20" hidden="1" x14ac:dyDescent="0.2">
      <c r="A275" s="140" t="str">
        <f t="shared" si="36"/>
        <v>GS &gt;50 to 999 kW</v>
      </c>
      <c r="B275" s="140" t="s">
        <v>1872</v>
      </c>
      <c r="D275" s="219" t="s">
        <v>36</v>
      </c>
      <c r="E275" s="165"/>
      <c r="F275" s="213">
        <v>0.13</v>
      </c>
      <c r="G275" s="214"/>
      <c r="H275" s="221">
        <f>H274*F275</f>
        <v>1185.0785699999999</v>
      </c>
      <c r="I275" s="236">
        <v>0.13</v>
      </c>
      <c r="J275" s="222"/>
      <c r="K275" s="221">
        <f>K274*I275</f>
        <v>1237.7066</v>
      </c>
      <c r="L275" s="224">
        <f>K275-H275</f>
        <v>52.628030000000081</v>
      </c>
      <c r="M275" s="225">
        <f>IF((H275)=0,"",(L275/H275))</f>
        <v>4.4408895184055254E-2</v>
      </c>
    </row>
    <row r="276" spans="1:20" hidden="1" x14ac:dyDescent="0.2">
      <c r="A276" s="140" t="str">
        <f t="shared" si="36"/>
        <v>GS &gt;50 to 999 kW</v>
      </c>
      <c r="B276" s="140" t="s">
        <v>1872</v>
      </c>
      <c r="D276" s="226" t="s">
        <v>586</v>
      </c>
      <c r="E276" s="165"/>
      <c r="F276" s="227"/>
      <c r="G276" s="220"/>
      <c r="H276" s="221">
        <f>H274+H275</f>
        <v>10301.067569999999</v>
      </c>
      <c r="I276" s="223"/>
      <c r="J276" s="223"/>
      <c r="K276" s="221">
        <f>K274+K275</f>
        <v>10758.526599999999</v>
      </c>
      <c r="L276" s="224">
        <f>K276-H276</f>
        <v>457.45902999999998</v>
      </c>
      <c r="M276" s="225">
        <f>IF((H276)=0,"",(L276/H276))</f>
        <v>4.4408895184055185E-2</v>
      </c>
    </row>
    <row r="277" spans="1:20" hidden="1" x14ac:dyDescent="0.2">
      <c r="A277" s="140" t="str">
        <f t="shared" si="36"/>
        <v>GS &gt;50 to 999 kW</v>
      </c>
      <c r="B277" s="140" t="s">
        <v>1872</v>
      </c>
      <c r="D277" s="2465" t="s">
        <v>264</v>
      </c>
      <c r="E277" s="2465"/>
      <c r="F277" s="227"/>
      <c r="G277" s="220"/>
      <c r="H277" s="228">
        <f>ROUND(-H276*10%,2)</f>
        <v>-1030.1099999999999</v>
      </c>
      <c r="I277" s="202"/>
      <c r="J277" s="202"/>
      <c r="K277" s="202"/>
      <c r="L277" s="202"/>
      <c r="M277" s="229"/>
    </row>
    <row r="278" spans="1:20" ht="13.5" hidden="1" thickBot="1" x14ac:dyDescent="0.25">
      <c r="A278" s="140" t="str">
        <f t="shared" si="36"/>
        <v>GS &gt;50 to 999 kW</v>
      </c>
      <c r="B278" s="140" t="s">
        <v>1899</v>
      </c>
      <c r="D278" s="2466" t="s">
        <v>1898</v>
      </c>
      <c r="E278" s="2466"/>
      <c r="F278" s="237"/>
      <c r="G278" s="238"/>
      <c r="H278" s="239">
        <f>SUM(H276:H277)</f>
        <v>9270.9575699999987</v>
      </c>
      <c r="I278" s="240"/>
      <c r="J278" s="240"/>
      <c r="K278" s="239">
        <f>SUM(K276:K277)</f>
        <v>10758.526599999999</v>
      </c>
      <c r="L278" s="241">
        <f>K278-H278</f>
        <v>1487.5690300000006</v>
      </c>
      <c r="M278" s="242">
        <f>IF((H278)=0,"",(L278/H278))</f>
        <v>0.16045473391159104</v>
      </c>
    </row>
    <row r="279" spans="1:20" ht="13.5" hidden="1" thickBot="1" x14ac:dyDescent="0.25">
      <c r="A279" s="140" t="str">
        <f t="shared" si="36"/>
        <v>GS &gt;50 to 999 kW</v>
      </c>
      <c r="B279" s="140" t="s">
        <v>1872</v>
      </c>
      <c r="D279" s="204"/>
      <c r="E279" s="205"/>
      <c r="F279" s="243"/>
      <c r="G279" s="244"/>
      <c r="H279" s="245"/>
      <c r="I279" s="243"/>
      <c r="J279" s="207"/>
      <c r="K279" s="245"/>
      <c r="L279" s="246"/>
      <c r="M279" s="211"/>
    </row>
    <row r="280" spans="1:20" x14ac:dyDescent="0.2">
      <c r="A280" s="140" t="str">
        <f t="shared" si="36"/>
        <v>GS &gt;50 to 999 kW</v>
      </c>
      <c r="B280" s="140" t="s">
        <v>1873</v>
      </c>
      <c r="D280" s="212" t="s">
        <v>1900</v>
      </c>
      <c r="E280" s="165"/>
      <c r="F280" s="213"/>
      <c r="G280" s="214"/>
      <c r="H280" s="215">
        <f>SUM(H266,H256:H260)</f>
        <v>6701.643</v>
      </c>
      <c r="I280" s="216"/>
      <c r="J280" s="216"/>
      <c r="K280" s="215">
        <f>SUM(K266,K256:K261)</f>
        <v>7103.4450000000006</v>
      </c>
      <c r="L280" s="217">
        <f>K280-H280</f>
        <v>401.80200000000059</v>
      </c>
      <c r="M280" s="218">
        <f>IF((H280)=0,"",(L280/H280))</f>
        <v>5.9955745180696823E-2</v>
      </c>
    </row>
    <row r="281" spans="1:20" x14ac:dyDescent="0.2">
      <c r="A281" s="140" t="str">
        <f t="shared" si="36"/>
        <v>GS &gt;50 to 999 kW</v>
      </c>
      <c r="B281" s="140" t="s">
        <v>1873</v>
      </c>
      <c r="D281" s="219" t="s">
        <v>36</v>
      </c>
      <c r="E281" s="165"/>
      <c r="F281" s="213">
        <v>0.13</v>
      </c>
      <c r="G281" s="214"/>
      <c r="H281" s="221">
        <f>H280*F281</f>
        <v>871.21359000000007</v>
      </c>
      <c r="I281" s="236">
        <v>0.13</v>
      </c>
      <c r="J281" s="222"/>
      <c r="K281" s="221">
        <f>K280*I281</f>
        <v>923.44785000000013</v>
      </c>
      <c r="L281" s="224">
        <f>K281-H281</f>
        <v>52.234260000000063</v>
      </c>
      <c r="M281" s="225">
        <f>IF((H281)=0,"",(L281/H281))</f>
        <v>5.9955745180696803E-2</v>
      </c>
    </row>
    <row r="282" spans="1:20" x14ac:dyDescent="0.2">
      <c r="A282" s="140" t="str">
        <f t="shared" si="36"/>
        <v>GS &gt;50 to 999 kW</v>
      </c>
      <c r="B282" s="140" t="s">
        <v>1873</v>
      </c>
      <c r="D282" s="226" t="s">
        <v>586</v>
      </c>
      <c r="E282" s="165"/>
      <c r="F282" s="227"/>
      <c r="G282" s="220"/>
      <c r="H282" s="221">
        <f>H280+H281</f>
        <v>7572.8565900000003</v>
      </c>
      <c r="I282" s="223"/>
      <c r="J282" s="223"/>
      <c r="K282" s="221">
        <f>K280+K281</f>
        <v>8026.8928500000011</v>
      </c>
      <c r="L282" s="224">
        <f>K282-H282</f>
        <v>454.03626000000077</v>
      </c>
      <c r="M282" s="225">
        <f>IF((H282)=0,"",(L282/H282))</f>
        <v>5.995574518069683E-2</v>
      </c>
    </row>
    <row r="283" spans="1:20" x14ac:dyDescent="0.2">
      <c r="A283" s="140" t="str">
        <f t="shared" si="36"/>
        <v>GS &gt;50 to 999 kW</v>
      </c>
      <c r="B283" s="140" t="s">
        <v>1873</v>
      </c>
      <c r="D283" s="2465" t="s">
        <v>264</v>
      </c>
      <c r="E283" s="2465"/>
      <c r="F283" s="227"/>
      <c r="G283" s="220"/>
      <c r="H283" s="228">
        <f>IF(E224="Yes", ROUND(-H282*10%,2), 0)</f>
        <v>0</v>
      </c>
      <c r="I283" s="202"/>
      <c r="J283" s="202"/>
      <c r="K283" s="202"/>
      <c r="L283" s="202"/>
      <c r="M283" s="229"/>
    </row>
    <row r="284" spans="1:20" ht="13.5" thickBot="1" x14ac:dyDescent="0.25">
      <c r="A284" s="140" t="str">
        <f t="shared" si="36"/>
        <v>GS &gt;50 to 999 kW</v>
      </c>
      <c r="B284" s="140" t="s">
        <v>1901</v>
      </c>
      <c r="D284" s="2466" t="s">
        <v>1900</v>
      </c>
      <c r="E284" s="2466"/>
      <c r="F284" s="237"/>
      <c r="G284" s="238"/>
      <c r="H284" s="239">
        <f>SUM(H282:H283)</f>
        <v>7572.8565900000003</v>
      </c>
      <c r="I284" s="240"/>
      <c r="J284" s="240"/>
      <c r="K284" s="239">
        <f>SUM(K282:K283)</f>
        <v>8026.8928500000011</v>
      </c>
      <c r="L284" s="241">
        <f>K284-H284</f>
        <v>454.03626000000077</v>
      </c>
      <c r="M284" s="242">
        <f>IF((H284)=0,"",(L284/H284))</f>
        <v>5.995574518069683E-2</v>
      </c>
    </row>
    <row r="285" spans="1:20" ht="13.5" thickBot="1" x14ac:dyDescent="0.25">
      <c r="A285" s="140" t="str">
        <f t="shared" si="36"/>
        <v>GS &gt;50 to 999 kW</v>
      </c>
      <c r="B285" s="140" t="s">
        <v>1873</v>
      </c>
      <c r="D285" s="204"/>
      <c r="E285" s="205"/>
      <c r="F285" s="243"/>
      <c r="G285" s="244"/>
      <c r="H285" s="245"/>
      <c r="I285" s="243"/>
      <c r="J285" s="207"/>
      <c r="K285" s="245"/>
      <c r="L285" s="246"/>
      <c r="M285" s="211"/>
    </row>
    <row r="288" spans="1:20" x14ac:dyDescent="0.2">
      <c r="D288" s="1315" t="s">
        <v>37</v>
      </c>
      <c r="E288" s="2467" t="str">
        <f>D33</f>
        <v>GS &gt;1,000 to 4,999 kW</v>
      </c>
      <c r="F288" s="2467"/>
      <c r="G288" s="2467"/>
      <c r="H288" s="1316"/>
      <c r="I288" s="1316"/>
      <c r="T288" s="140" t="s">
        <v>2364</v>
      </c>
    </row>
    <row r="289" spans="1:13" x14ac:dyDescent="0.2">
      <c r="D289" s="1315" t="s">
        <v>1887</v>
      </c>
      <c r="E289" s="2467" t="str">
        <f>H33</f>
        <v>Non-RPP (Other)</v>
      </c>
      <c r="F289" s="2467"/>
      <c r="G289" s="2467"/>
      <c r="H289" s="1316"/>
      <c r="I289" s="1316"/>
    </row>
    <row r="290" spans="1:13" ht="15.75" x14ac:dyDescent="0.2">
      <c r="D290" s="1315" t="s">
        <v>14</v>
      </c>
      <c r="E290" s="1802">
        <v>1265000</v>
      </c>
      <c r="F290" s="334" t="s">
        <v>110</v>
      </c>
      <c r="G290" s="158"/>
      <c r="J290" s="1318"/>
      <c r="K290" s="1318"/>
      <c r="L290" s="1318"/>
      <c r="M290" s="1318"/>
    </row>
    <row r="291" spans="1:13" ht="15.75" x14ac:dyDescent="0.25">
      <c r="D291" s="1315" t="s">
        <v>1888</v>
      </c>
      <c r="E291" s="1802">
        <v>1800</v>
      </c>
      <c r="F291" s="757" t="s">
        <v>111</v>
      </c>
      <c r="G291" s="498"/>
      <c r="H291" s="435"/>
      <c r="I291" s="435"/>
      <c r="J291" s="435"/>
    </row>
    <row r="292" spans="1:13" x14ac:dyDescent="0.2">
      <c r="D292" s="1315" t="s">
        <v>1889</v>
      </c>
      <c r="E292" s="1319">
        <f>J33</f>
        <v>1.0362</v>
      </c>
    </row>
    <row r="293" spans="1:13" x14ac:dyDescent="0.2">
      <c r="D293" s="1315" t="s">
        <v>1890</v>
      </c>
      <c r="E293" s="1319">
        <f>K33</f>
        <v>1.0375000000000001</v>
      </c>
    </row>
    <row r="294" spans="1:13" x14ac:dyDescent="0.2">
      <c r="D294" s="334" t="s">
        <v>1976</v>
      </c>
      <c r="E294" s="1521" t="str">
        <f>I33</f>
        <v>No</v>
      </c>
    </row>
    <row r="295" spans="1:13" x14ac:dyDescent="0.2">
      <c r="D295" s="158"/>
    </row>
    <row r="296" spans="1:13" x14ac:dyDescent="0.2">
      <c r="D296" s="158"/>
      <c r="E296" s="159"/>
      <c r="F296" s="2468" t="s">
        <v>15</v>
      </c>
      <c r="G296" s="2469"/>
      <c r="H296" s="2470"/>
      <c r="I296" s="2468" t="s">
        <v>16</v>
      </c>
      <c r="J296" s="2469"/>
      <c r="K296" s="2470"/>
      <c r="L296" s="2468" t="s">
        <v>17</v>
      </c>
      <c r="M296" s="2470"/>
    </row>
    <row r="297" spans="1:13" x14ac:dyDescent="0.2">
      <c r="D297" s="158"/>
      <c r="E297" s="2459" t="s">
        <v>18</v>
      </c>
      <c r="F297" s="160" t="s">
        <v>19</v>
      </c>
      <c r="G297" s="160" t="s">
        <v>20</v>
      </c>
      <c r="H297" s="161" t="s">
        <v>21</v>
      </c>
      <c r="I297" s="160" t="s">
        <v>19</v>
      </c>
      <c r="J297" s="162" t="s">
        <v>20</v>
      </c>
      <c r="K297" s="161" t="s">
        <v>21</v>
      </c>
      <c r="L297" s="2461" t="s">
        <v>22</v>
      </c>
      <c r="M297" s="2463" t="s">
        <v>23</v>
      </c>
    </row>
    <row r="298" spans="1:13" x14ac:dyDescent="0.2">
      <c r="D298" s="158"/>
      <c r="E298" s="2460"/>
      <c r="F298" s="163" t="s">
        <v>402</v>
      </c>
      <c r="G298" s="163"/>
      <c r="H298" s="164" t="s">
        <v>402</v>
      </c>
      <c r="I298" s="163" t="s">
        <v>402</v>
      </c>
      <c r="J298" s="164"/>
      <c r="K298" s="164" t="s">
        <v>402</v>
      </c>
      <c r="L298" s="2462"/>
      <c r="M298" s="2464"/>
    </row>
    <row r="299" spans="1:13" x14ac:dyDescent="0.2">
      <c r="A299" s="140" t="str">
        <f>$E288</f>
        <v>GS &gt;1,000 to 4,999 kW</v>
      </c>
      <c r="D299" s="165" t="s">
        <v>24</v>
      </c>
      <c r="E299" s="166" t="s">
        <v>2365</v>
      </c>
      <c r="F299" s="167">
        <v>899.32</v>
      </c>
      <c r="G299" s="168">
        <v>1</v>
      </c>
      <c r="H299" s="169">
        <f>G299*F299</f>
        <v>899.32</v>
      </c>
      <c r="I299" s="170">
        <v>578.53</v>
      </c>
      <c r="J299" s="171">
        <v>1</v>
      </c>
      <c r="K299" s="169">
        <f>J299*I299</f>
        <v>578.53</v>
      </c>
      <c r="L299" s="172">
        <f t="shared" ref="L299:L331" si="43">K299-H299</f>
        <v>-320.79000000000008</v>
      </c>
      <c r="M299" s="173">
        <f>IF(ISERROR(L299/H299), "", L299/H299)</f>
        <v>-0.35670284214740033</v>
      </c>
    </row>
    <row r="300" spans="1:13" x14ac:dyDescent="0.2">
      <c r="A300" s="140" t="str">
        <f>A299</f>
        <v>GS &gt;1,000 to 4,999 kW</v>
      </c>
      <c r="D300" s="165" t="s">
        <v>25</v>
      </c>
      <c r="E300" s="166"/>
      <c r="F300" s="167"/>
      <c r="G300" s="168">
        <v>1</v>
      </c>
      <c r="H300" s="169">
        <f t="shared" ref="H300:H314" si="44">G300*F300</f>
        <v>0</v>
      </c>
      <c r="I300" s="170"/>
      <c r="J300" s="171">
        <v>1</v>
      </c>
      <c r="K300" s="169">
        <f>J300*I300</f>
        <v>0</v>
      </c>
      <c r="L300" s="172">
        <f t="shared" si="43"/>
        <v>0</v>
      </c>
      <c r="M300" s="173" t="str">
        <f t="shared" ref="M300:M336" si="45">IF(ISERROR(L300/H300), "", L300/H300)</f>
        <v/>
      </c>
    </row>
    <row r="301" spans="1:13" x14ac:dyDescent="0.2">
      <c r="A301" s="140" t="str">
        <f t="shared" ref="A301:A355" si="46">A300</f>
        <v>GS &gt;1,000 to 4,999 kW</v>
      </c>
      <c r="D301" s="174" t="s">
        <v>2375</v>
      </c>
      <c r="E301" s="166" t="s">
        <v>2365</v>
      </c>
      <c r="F301" s="167">
        <v>255.62</v>
      </c>
      <c r="G301" s="168">
        <v>1</v>
      </c>
      <c r="H301" s="169">
        <f t="shared" si="44"/>
        <v>255.62</v>
      </c>
      <c r="I301" s="170"/>
      <c r="J301" s="171">
        <v>1</v>
      </c>
      <c r="K301" s="169">
        <f t="shared" ref="K301:K314" si="47">J301*I301</f>
        <v>0</v>
      </c>
      <c r="L301" s="172">
        <f t="shared" si="43"/>
        <v>-255.62</v>
      </c>
      <c r="M301" s="173">
        <f t="shared" si="45"/>
        <v>-1</v>
      </c>
    </row>
    <row r="302" spans="1:13" x14ac:dyDescent="0.2">
      <c r="A302" s="140" t="str">
        <f t="shared" si="46"/>
        <v>GS &gt;1,000 to 4,999 kW</v>
      </c>
      <c r="D302" s="174"/>
      <c r="E302" s="166"/>
      <c r="F302" s="167"/>
      <c r="G302" s="168">
        <v>1</v>
      </c>
      <c r="H302" s="169">
        <f t="shared" si="44"/>
        <v>0</v>
      </c>
      <c r="I302" s="170"/>
      <c r="J302" s="171">
        <v>1</v>
      </c>
      <c r="K302" s="169">
        <f t="shared" si="47"/>
        <v>0</v>
      </c>
      <c r="L302" s="172">
        <f t="shared" si="43"/>
        <v>0</v>
      </c>
      <c r="M302" s="173" t="str">
        <f t="shared" si="45"/>
        <v/>
      </c>
    </row>
    <row r="303" spans="1:13" x14ac:dyDescent="0.2">
      <c r="A303" s="140" t="str">
        <f t="shared" si="46"/>
        <v>GS &gt;1,000 to 4,999 kW</v>
      </c>
      <c r="D303" s="174"/>
      <c r="E303" s="166"/>
      <c r="F303" s="167"/>
      <c r="G303" s="168">
        <v>1</v>
      </c>
      <c r="H303" s="169">
        <f t="shared" si="44"/>
        <v>0</v>
      </c>
      <c r="I303" s="170"/>
      <c r="J303" s="171">
        <v>1</v>
      </c>
      <c r="K303" s="169">
        <f t="shared" si="47"/>
        <v>0</v>
      </c>
      <c r="L303" s="172">
        <f t="shared" si="43"/>
        <v>0</v>
      </c>
      <c r="M303" s="173" t="str">
        <f t="shared" si="45"/>
        <v/>
      </c>
    </row>
    <row r="304" spans="1:13" x14ac:dyDescent="0.2">
      <c r="A304" s="140" t="str">
        <f t="shared" si="46"/>
        <v>GS &gt;1,000 to 4,999 kW</v>
      </c>
      <c r="D304" s="174"/>
      <c r="E304" s="166"/>
      <c r="F304" s="167"/>
      <c r="G304" s="168">
        <v>1</v>
      </c>
      <c r="H304" s="169">
        <f t="shared" si="44"/>
        <v>0</v>
      </c>
      <c r="I304" s="170"/>
      <c r="J304" s="171">
        <v>1</v>
      </c>
      <c r="K304" s="169">
        <f t="shared" si="47"/>
        <v>0</v>
      </c>
      <c r="L304" s="172">
        <f t="shared" si="43"/>
        <v>0</v>
      </c>
      <c r="M304" s="173" t="str">
        <f t="shared" si="45"/>
        <v/>
      </c>
    </row>
    <row r="305" spans="1:13" x14ac:dyDescent="0.2">
      <c r="A305" s="140" t="str">
        <f t="shared" si="46"/>
        <v>GS &gt;1,000 to 4,999 kW</v>
      </c>
      <c r="D305" s="165" t="s">
        <v>26</v>
      </c>
      <c r="E305" s="166" t="s">
        <v>2372</v>
      </c>
      <c r="F305" s="167">
        <v>2.8380000000000001</v>
      </c>
      <c r="G305" s="248">
        <f>IF($E291&gt;0, $E291, $E290)</f>
        <v>1800</v>
      </c>
      <c r="H305" s="169">
        <f t="shared" si="44"/>
        <v>5108.4000000000005</v>
      </c>
      <c r="I305" s="170">
        <v>2.0232999999999999</v>
      </c>
      <c r="J305" s="248">
        <f>IF($E291&gt;0, $E291, $E290)</f>
        <v>1800</v>
      </c>
      <c r="K305" s="169">
        <f t="shared" si="47"/>
        <v>3641.9399999999996</v>
      </c>
      <c r="L305" s="172">
        <f t="shared" si="43"/>
        <v>-1466.4600000000009</v>
      </c>
      <c r="M305" s="173">
        <f t="shared" si="45"/>
        <v>-0.28706835799859071</v>
      </c>
    </row>
    <row r="306" spans="1:13" x14ac:dyDescent="0.2">
      <c r="A306" s="140" t="str">
        <f t="shared" si="46"/>
        <v>GS &gt;1,000 to 4,999 kW</v>
      </c>
      <c r="D306" s="165" t="s">
        <v>27</v>
      </c>
      <c r="E306" s="166"/>
      <c r="F306" s="167"/>
      <c r="G306" s="248">
        <f>IF($E291&gt;0, $E291, $E290)</f>
        <v>1800</v>
      </c>
      <c r="H306" s="169">
        <f t="shared" si="44"/>
        <v>0</v>
      </c>
      <c r="I306" s="170"/>
      <c r="J306" s="248">
        <f>IF($E291&gt;0, $E291, $E290)</f>
        <v>1800</v>
      </c>
      <c r="K306" s="169">
        <f t="shared" si="47"/>
        <v>0</v>
      </c>
      <c r="L306" s="172">
        <f t="shared" si="43"/>
        <v>0</v>
      </c>
      <c r="M306" s="173" t="str">
        <f t="shared" si="45"/>
        <v/>
      </c>
    </row>
    <row r="307" spans="1:13" x14ac:dyDescent="0.2">
      <c r="A307" s="140" t="str">
        <f t="shared" si="46"/>
        <v>GS &gt;1,000 to 4,999 kW</v>
      </c>
      <c r="D307" s="165" t="s">
        <v>28</v>
      </c>
      <c r="E307" s="166" t="s">
        <v>2372</v>
      </c>
      <c r="F307" s="167"/>
      <c r="G307" s="248">
        <f>IF($E291&gt;0, $E291, $E290)</f>
        <v>1800</v>
      </c>
      <c r="H307" s="169">
        <f t="shared" si="44"/>
        <v>0</v>
      </c>
      <c r="I307" s="170">
        <v>8.4400000000000003E-2</v>
      </c>
      <c r="J307" s="248">
        <f>IF($E291&gt;0, $E291, $E290)</f>
        <v>1800</v>
      </c>
      <c r="K307" s="169">
        <f t="shared" si="47"/>
        <v>151.92000000000002</v>
      </c>
      <c r="L307" s="172">
        <f t="shared" si="43"/>
        <v>151.92000000000002</v>
      </c>
      <c r="M307" s="173" t="str">
        <f t="shared" si="45"/>
        <v/>
      </c>
    </row>
    <row r="308" spans="1:13" x14ac:dyDescent="0.2">
      <c r="A308" s="140" t="str">
        <f t="shared" si="46"/>
        <v>GS &gt;1,000 to 4,999 kW</v>
      </c>
      <c r="D308" s="174"/>
      <c r="E308" s="166"/>
      <c r="F308" s="167"/>
      <c r="G308" s="248">
        <f>IF($E291&gt;0, $E291, $E290)</f>
        <v>1800</v>
      </c>
      <c r="H308" s="169">
        <f t="shared" si="44"/>
        <v>0</v>
      </c>
      <c r="I308" s="170"/>
      <c r="J308" s="248">
        <f>IF($E291&gt;0, $E291, $E290)</f>
        <v>1800</v>
      </c>
      <c r="K308" s="169">
        <f t="shared" si="47"/>
        <v>0</v>
      </c>
      <c r="L308" s="172">
        <f t="shared" si="43"/>
        <v>0</v>
      </c>
      <c r="M308" s="173" t="str">
        <f t="shared" si="45"/>
        <v/>
      </c>
    </row>
    <row r="309" spans="1:13" x14ac:dyDescent="0.2">
      <c r="A309" s="140" t="str">
        <f t="shared" si="46"/>
        <v>GS &gt;1,000 to 4,999 kW</v>
      </c>
      <c r="D309" s="174"/>
      <c r="E309" s="166"/>
      <c r="F309" s="167"/>
      <c r="G309" s="248">
        <f>IF($E291&gt;0, $E291, $E290)</f>
        <v>1800</v>
      </c>
      <c r="H309" s="169">
        <f t="shared" si="44"/>
        <v>0</v>
      </c>
      <c r="I309" s="170"/>
      <c r="J309" s="248">
        <f>IF($E291&gt;0, $E291, $E290)</f>
        <v>1800</v>
      </c>
      <c r="K309" s="169">
        <f t="shared" si="47"/>
        <v>0</v>
      </c>
      <c r="L309" s="172">
        <f t="shared" si="43"/>
        <v>0</v>
      </c>
      <c r="M309" s="173" t="str">
        <f t="shared" si="45"/>
        <v/>
      </c>
    </row>
    <row r="310" spans="1:13" x14ac:dyDescent="0.2">
      <c r="A310" s="140" t="str">
        <f t="shared" si="46"/>
        <v>GS &gt;1,000 to 4,999 kW</v>
      </c>
      <c r="D310" s="174"/>
      <c r="E310" s="166"/>
      <c r="F310" s="167"/>
      <c r="G310" s="248">
        <f>IF($E291&gt;0, $E291, $E290)</f>
        <v>1800</v>
      </c>
      <c r="H310" s="169">
        <f t="shared" si="44"/>
        <v>0</v>
      </c>
      <c r="I310" s="170"/>
      <c r="J310" s="248">
        <f>IF($E291&gt;0, $E291, $E290)</f>
        <v>1800</v>
      </c>
      <c r="K310" s="169">
        <f t="shared" si="47"/>
        <v>0</v>
      </c>
      <c r="L310" s="172">
        <f t="shared" si="43"/>
        <v>0</v>
      </c>
      <c r="M310" s="173" t="str">
        <f t="shared" si="45"/>
        <v/>
      </c>
    </row>
    <row r="311" spans="1:13" x14ac:dyDescent="0.2">
      <c r="A311" s="140" t="str">
        <f t="shared" si="46"/>
        <v>GS &gt;1,000 to 4,999 kW</v>
      </c>
      <c r="D311" s="174"/>
      <c r="E311" s="166"/>
      <c r="F311" s="167"/>
      <c r="G311" s="248">
        <f>IF($E291&gt;0, $E291, $E290)</f>
        <v>1800</v>
      </c>
      <c r="H311" s="169">
        <f t="shared" si="44"/>
        <v>0</v>
      </c>
      <c r="I311" s="170"/>
      <c r="J311" s="248">
        <f>IF($E291&gt;0, $E291, $E290)</f>
        <v>1800</v>
      </c>
      <c r="K311" s="169">
        <f t="shared" si="47"/>
        <v>0</v>
      </c>
      <c r="L311" s="172">
        <f t="shared" si="43"/>
        <v>0</v>
      </c>
      <c r="M311" s="173" t="str">
        <f t="shared" si="45"/>
        <v/>
      </c>
    </row>
    <row r="312" spans="1:13" x14ac:dyDescent="0.2">
      <c r="A312" s="140" t="str">
        <f t="shared" si="46"/>
        <v>GS &gt;1,000 to 4,999 kW</v>
      </c>
      <c r="D312" s="174"/>
      <c r="E312" s="166"/>
      <c r="F312" s="167"/>
      <c r="G312" s="248">
        <f>IF($E291&gt;0, $E291, $E290)</f>
        <v>1800</v>
      </c>
      <c r="H312" s="169">
        <f t="shared" si="44"/>
        <v>0</v>
      </c>
      <c r="I312" s="170"/>
      <c r="J312" s="248">
        <f>IF($E291&gt;0, $E291, $E290)</f>
        <v>1800</v>
      </c>
      <c r="K312" s="169">
        <f t="shared" si="47"/>
        <v>0</v>
      </c>
      <c r="L312" s="172">
        <f t="shared" si="43"/>
        <v>0</v>
      </c>
      <c r="M312" s="173" t="str">
        <f t="shared" si="45"/>
        <v/>
      </c>
    </row>
    <row r="313" spans="1:13" x14ac:dyDescent="0.2">
      <c r="A313" s="140" t="str">
        <f t="shared" si="46"/>
        <v>GS &gt;1,000 to 4,999 kW</v>
      </c>
      <c r="D313" s="174" t="s">
        <v>2373</v>
      </c>
      <c r="E313" s="166" t="s">
        <v>2372</v>
      </c>
      <c r="F313" s="167"/>
      <c r="G313" s="248">
        <f>IF($E291&gt;0, $E291, $E290)</f>
        <v>1800</v>
      </c>
      <c r="H313" s="169">
        <f t="shared" si="44"/>
        <v>0</v>
      </c>
      <c r="I313" s="170">
        <v>1.7396</v>
      </c>
      <c r="J313" s="248">
        <f>IF($E291&gt;0, $E291, $E290)</f>
        <v>1800</v>
      </c>
      <c r="K313" s="169">
        <f t="shared" si="47"/>
        <v>3131.28</v>
      </c>
      <c r="L313" s="172">
        <f t="shared" si="43"/>
        <v>3131.28</v>
      </c>
      <c r="M313" s="173" t="str">
        <f t="shared" si="45"/>
        <v/>
      </c>
    </row>
    <row r="314" spans="1:13" x14ac:dyDescent="0.2">
      <c r="A314" s="140" t="str">
        <f t="shared" si="46"/>
        <v>GS &gt;1,000 to 4,999 kW</v>
      </c>
      <c r="D314" s="174"/>
      <c r="E314" s="166"/>
      <c r="F314" s="167"/>
      <c r="G314" s="248">
        <f>IF($E291&gt;0, $E291, $E290)</f>
        <v>1800</v>
      </c>
      <c r="H314" s="169">
        <f t="shared" si="44"/>
        <v>0</v>
      </c>
      <c r="I314" s="170"/>
      <c r="J314" s="248">
        <f>IF($E291&gt;0, $E291, $E290)</f>
        <v>1800</v>
      </c>
      <c r="K314" s="169">
        <f t="shared" si="47"/>
        <v>0</v>
      </c>
      <c r="L314" s="172">
        <f t="shared" si="43"/>
        <v>0</v>
      </c>
      <c r="M314" s="173" t="str">
        <f t="shared" si="45"/>
        <v/>
      </c>
    </row>
    <row r="315" spans="1:13" x14ac:dyDescent="0.2">
      <c r="A315" s="140" t="str">
        <f t="shared" si="46"/>
        <v>GS &gt;1,000 to 4,999 kW</v>
      </c>
      <c r="B315" s="338" t="s">
        <v>1891</v>
      </c>
      <c r="C315" s="337"/>
      <c r="D315" s="175" t="s">
        <v>617</v>
      </c>
      <c r="E315" s="176"/>
      <c r="F315" s="177"/>
      <c r="G315" s="178"/>
      <c r="H315" s="179">
        <f>SUM(H299:H314)</f>
        <v>6263.34</v>
      </c>
      <c r="I315" s="180"/>
      <c r="J315" s="181"/>
      <c r="K315" s="179">
        <f>SUM(K299:K314)</f>
        <v>7503.67</v>
      </c>
      <c r="L315" s="182">
        <f t="shared" si="43"/>
        <v>1240.33</v>
      </c>
      <c r="M315" s="183">
        <f>IF((H315)=0,"",(L315/H315))</f>
        <v>0.19803012450226234</v>
      </c>
    </row>
    <row r="316" spans="1:13" ht="25.5" x14ac:dyDescent="0.2">
      <c r="A316" s="140" t="str">
        <f t="shared" si="46"/>
        <v>GS &gt;1,000 to 4,999 kW</v>
      </c>
      <c r="D316" s="184" t="s">
        <v>2376</v>
      </c>
      <c r="E316" s="166" t="s">
        <v>2366</v>
      </c>
      <c r="F316" s="167"/>
      <c r="G316" s="248">
        <f>IF($E291&gt;0, $E291, $E290)</f>
        <v>1800</v>
      </c>
      <c r="H316" s="169">
        <f>G316*F316</f>
        <v>0</v>
      </c>
      <c r="I316" s="170">
        <v>-3.2000000000000002E-3</v>
      </c>
      <c r="J316" s="248">
        <f>+E290</f>
        <v>1265000</v>
      </c>
      <c r="K316" s="169">
        <f>J316*I316</f>
        <v>-4048</v>
      </c>
      <c r="L316" s="172">
        <f t="shared" si="43"/>
        <v>-4048</v>
      </c>
      <c r="M316" s="173" t="str">
        <f t="shared" si="45"/>
        <v/>
      </c>
    </row>
    <row r="317" spans="1:13" x14ac:dyDescent="0.2">
      <c r="A317" s="140" t="str">
        <f t="shared" si="46"/>
        <v>GS &gt;1,000 to 4,999 kW</v>
      </c>
      <c r="D317" s="184" t="s">
        <v>2367</v>
      </c>
      <c r="E317" s="166" t="s">
        <v>2372</v>
      </c>
      <c r="F317" s="167"/>
      <c r="G317" s="248">
        <f>IF($E291&gt;0, $E291, $E290)</f>
        <v>1800</v>
      </c>
      <c r="H317" s="169">
        <f t="shared" ref="H317:H321" si="48">G317*F317</f>
        <v>0</v>
      </c>
      <c r="I317" s="170">
        <v>5.9999999999999995E-4</v>
      </c>
      <c r="J317" s="248">
        <f>IF($E291&gt;0, $E291, $E290)</f>
        <v>1800</v>
      </c>
      <c r="K317" s="169">
        <f t="shared" ref="K317:K321" si="49">J317*I317</f>
        <v>1.0799999999999998</v>
      </c>
      <c r="L317" s="172">
        <f t="shared" si="43"/>
        <v>1.0799999999999998</v>
      </c>
      <c r="M317" s="173" t="str">
        <f t="shared" si="45"/>
        <v/>
      </c>
    </row>
    <row r="318" spans="1:13" x14ac:dyDescent="0.2">
      <c r="A318" s="140" t="str">
        <f t="shared" si="46"/>
        <v>GS &gt;1,000 to 4,999 kW</v>
      </c>
      <c r="D318" s="184" t="s">
        <v>2368</v>
      </c>
      <c r="E318" s="166" t="s">
        <v>2372</v>
      </c>
      <c r="F318" s="167"/>
      <c r="G318" s="248">
        <f>IF($E291&gt;0, $E291, $E290)</f>
        <v>1800</v>
      </c>
      <c r="H318" s="169">
        <f t="shared" si="48"/>
        <v>0</v>
      </c>
      <c r="I318" s="170">
        <v>-0.9042</v>
      </c>
      <c r="J318" s="248">
        <f>IF($E291&gt;0, $E291, $E290)</f>
        <v>1800</v>
      </c>
      <c r="K318" s="169">
        <f t="shared" si="49"/>
        <v>-1627.56</v>
      </c>
      <c r="L318" s="172">
        <f t="shared" si="43"/>
        <v>-1627.56</v>
      </c>
      <c r="M318" s="173" t="str">
        <f t="shared" si="45"/>
        <v/>
      </c>
    </row>
    <row r="319" spans="1:13" x14ac:dyDescent="0.2">
      <c r="A319" s="140" t="str">
        <f t="shared" si="46"/>
        <v>GS &gt;1,000 to 4,999 kW</v>
      </c>
      <c r="D319" s="184" t="s">
        <v>2371</v>
      </c>
      <c r="E319" s="166" t="s">
        <v>2366</v>
      </c>
      <c r="F319" s="167"/>
      <c r="G319" s="248">
        <f>IF($E291&gt;0, $E291, $E290)</f>
        <v>1800</v>
      </c>
      <c r="H319" s="169">
        <f t="shared" si="48"/>
        <v>0</v>
      </c>
      <c r="I319" s="170">
        <v>7.0000000000000001E-3</v>
      </c>
      <c r="J319" s="248">
        <f>+E290</f>
        <v>1265000</v>
      </c>
      <c r="K319" s="169">
        <f t="shared" si="49"/>
        <v>8855</v>
      </c>
      <c r="L319" s="172">
        <f t="shared" si="43"/>
        <v>8855</v>
      </c>
      <c r="M319" s="173" t="str">
        <f t="shared" si="45"/>
        <v/>
      </c>
    </row>
    <row r="320" spans="1:13" x14ac:dyDescent="0.2">
      <c r="A320" s="140" t="str">
        <f t="shared" si="46"/>
        <v>GS &gt;1,000 to 4,999 kW</v>
      </c>
      <c r="D320" s="185" t="s">
        <v>605</v>
      </c>
      <c r="E320" s="166" t="s">
        <v>2372</v>
      </c>
      <c r="F320" s="167">
        <v>7.7899999999999997E-2</v>
      </c>
      <c r="G320" s="248">
        <f>IF($E291&gt;0, $E291, $E290)</f>
        <v>1800</v>
      </c>
      <c r="H320" s="169">
        <f>G320*F320</f>
        <v>140.22</v>
      </c>
      <c r="I320" s="170">
        <v>0.25779999999999997</v>
      </c>
      <c r="J320" s="248">
        <f>IF($E291&gt;0, $E291, $E290)</f>
        <v>1800</v>
      </c>
      <c r="K320" s="169">
        <f>J320*I320</f>
        <v>464.03999999999996</v>
      </c>
      <c r="L320" s="172">
        <f t="shared" si="43"/>
        <v>323.81999999999994</v>
      </c>
      <c r="M320" s="173">
        <f t="shared" si="45"/>
        <v>2.3093709884467262</v>
      </c>
    </row>
    <row r="321" spans="1:13" x14ac:dyDescent="0.2">
      <c r="A321" s="140" t="str">
        <f t="shared" si="46"/>
        <v>GS &gt;1,000 to 4,999 kW</v>
      </c>
      <c r="D321" s="185" t="s">
        <v>928</v>
      </c>
      <c r="E321" s="166"/>
      <c r="F321" s="186">
        <f>IF((E290*12&gt;=150000), 0, IF(E289="RPP",(F332*0.64+F333*0.18+F334*0.18),IF(E289="Non-RPP (Retailer)",F335,F336)))</f>
        <v>0</v>
      </c>
      <c r="G321" s="249">
        <f>IF(F321=0, 0, $E290*E292-E290)</f>
        <v>0</v>
      </c>
      <c r="H321" s="169">
        <f t="shared" si="48"/>
        <v>0</v>
      </c>
      <c r="I321" s="187">
        <f>IF((E290*12&gt;=150000), 0, IF(E289="RPP",(I332*0.64+I333*0.18+I334*0.18),IF(E289="Non-RPP (Retailer)",I335,I336)))</f>
        <v>0</v>
      </c>
      <c r="J321" s="249">
        <f>IF(I321=0, 0, E290*E293-E290)</f>
        <v>0</v>
      </c>
      <c r="K321" s="169">
        <f t="shared" si="49"/>
        <v>0</v>
      </c>
      <c r="L321" s="172">
        <f t="shared" si="43"/>
        <v>0</v>
      </c>
      <c r="M321" s="173" t="str">
        <f t="shared" si="45"/>
        <v/>
      </c>
    </row>
    <row r="322" spans="1:13" x14ac:dyDescent="0.2">
      <c r="A322" s="140" t="str">
        <f t="shared" si="46"/>
        <v>GS &gt;1,000 to 4,999 kW</v>
      </c>
      <c r="D322" s="185" t="s">
        <v>562</v>
      </c>
      <c r="E322" s="166"/>
      <c r="F322" s="186"/>
      <c r="G322" s="168"/>
      <c r="H322" s="169">
        <f>G322*F322</f>
        <v>0</v>
      </c>
      <c r="I322" s="186"/>
      <c r="J322" s="168"/>
      <c r="K322" s="169">
        <f>J322*I322</f>
        <v>0</v>
      </c>
      <c r="L322" s="172">
        <f t="shared" si="43"/>
        <v>0</v>
      </c>
      <c r="M322" s="173" t="str">
        <f t="shared" si="45"/>
        <v/>
      </c>
    </row>
    <row r="323" spans="1:13" ht="25.5" x14ac:dyDescent="0.2">
      <c r="A323" s="140" t="str">
        <f t="shared" si="46"/>
        <v>GS &gt;1,000 to 4,999 kW</v>
      </c>
      <c r="B323" s="158" t="s">
        <v>1892</v>
      </c>
      <c r="D323" s="188" t="s">
        <v>560</v>
      </c>
      <c r="E323" s="189"/>
      <c r="F323" s="190"/>
      <c r="G323" s="178"/>
      <c r="H323" s="191">
        <f>SUM(H316:H322)+H315</f>
        <v>6403.56</v>
      </c>
      <c r="I323" s="178"/>
      <c r="J323" s="181"/>
      <c r="K323" s="191">
        <f>SUM(K316:K322)+K315</f>
        <v>11148.23</v>
      </c>
      <c r="L323" s="182">
        <f t="shared" si="43"/>
        <v>4744.6699999999992</v>
      </c>
      <c r="M323" s="183">
        <f>IF((H323)=0,"",(L323/H323))</f>
        <v>0.74094253821311873</v>
      </c>
    </row>
    <row r="324" spans="1:13" x14ac:dyDescent="0.2">
      <c r="A324" s="140" t="str">
        <f t="shared" si="46"/>
        <v>GS &gt;1,000 to 4,999 kW</v>
      </c>
      <c r="D324" s="192" t="s">
        <v>30</v>
      </c>
      <c r="E324" s="193" t="s">
        <v>2372</v>
      </c>
      <c r="F324" s="170">
        <v>3.2199</v>
      </c>
      <c r="G324" s="249">
        <f>IF($E291&gt;0, $E291, $E290*$E292)</f>
        <v>1800</v>
      </c>
      <c r="H324" s="169">
        <f>G324*F324</f>
        <v>5795.82</v>
      </c>
      <c r="I324" s="170">
        <v>2.9769999999999999</v>
      </c>
      <c r="J324" s="249">
        <f>IF($E291&gt;0, $E291, $E290*$E293)</f>
        <v>1800</v>
      </c>
      <c r="K324" s="169">
        <f>J324*I324</f>
        <v>5358.5999999999995</v>
      </c>
      <c r="L324" s="172">
        <f t="shared" si="43"/>
        <v>-437.22000000000025</v>
      </c>
      <c r="M324" s="173">
        <f t="shared" si="45"/>
        <v>-7.5437125376564537E-2</v>
      </c>
    </row>
    <row r="325" spans="1:13" ht="25.5" x14ac:dyDescent="0.2">
      <c r="A325" s="140" t="str">
        <f t="shared" si="46"/>
        <v>GS &gt;1,000 to 4,999 kW</v>
      </c>
      <c r="D325" s="194" t="s">
        <v>31</v>
      </c>
      <c r="E325" s="193" t="s">
        <v>2372</v>
      </c>
      <c r="F325" s="170">
        <v>2.4224999999999999</v>
      </c>
      <c r="G325" s="249">
        <f>IF($E291&gt;0, $E291, $E290*$E292)</f>
        <v>1800</v>
      </c>
      <c r="H325" s="169">
        <f>G325*F325</f>
        <v>4360.5</v>
      </c>
      <c r="I325" s="170">
        <v>2.4157999999999999</v>
      </c>
      <c r="J325" s="249">
        <f>IF($E291&gt;0, $E291, $E290*$E293)</f>
        <v>1800</v>
      </c>
      <c r="K325" s="169">
        <f>J325*I325</f>
        <v>4348.4399999999996</v>
      </c>
      <c r="L325" s="172">
        <f t="shared" si="43"/>
        <v>-12.0600000000004</v>
      </c>
      <c r="M325" s="173">
        <f t="shared" si="45"/>
        <v>-2.7657378740970988E-3</v>
      </c>
    </row>
    <row r="326" spans="1:13" ht="25.5" x14ac:dyDescent="0.2">
      <c r="A326" s="140" t="str">
        <f t="shared" si="46"/>
        <v>GS &gt;1,000 to 4,999 kW</v>
      </c>
      <c r="B326" s="158" t="s">
        <v>1893</v>
      </c>
      <c r="D326" s="188" t="s">
        <v>561</v>
      </c>
      <c r="E326" s="176"/>
      <c r="F326" s="195"/>
      <c r="G326" s="178"/>
      <c r="H326" s="191">
        <f>SUM(H323:H325)</f>
        <v>16559.88</v>
      </c>
      <c r="I326" s="196"/>
      <c r="J326" s="197"/>
      <c r="K326" s="191">
        <f>SUM(K323:K325)</f>
        <v>20855.269999999997</v>
      </c>
      <c r="L326" s="182">
        <f t="shared" si="43"/>
        <v>4295.3899999999958</v>
      </c>
      <c r="M326" s="183">
        <f>IF((H326)=0,"",(L326/H326))</f>
        <v>0.25938533371014738</v>
      </c>
    </row>
    <row r="327" spans="1:13" ht="25.5" x14ac:dyDescent="0.2">
      <c r="A327" s="140" t="str">
        <f t="shared" si="46"/>
        <v>GS &gt;1,000 to 4,999 kW</v>
      </c>
      <c r="D327" s="198" t="s">
        <v>32</v>
      </c>
      <c r="E327" s="166" t="s">
        <v>2366</v>
      </c>
      <c r="F327" s="199">
        <v>4.4000000000000003E-3</v>
      </c>
      <c r="G327" s="249">
        <f>E290*E292</f>
        <v>1310793</v>
      </c>
      <c r="H327" s="200">
        <f t="shared" ref="H327:H334" si="50">G327*F327</f>
        <v>5767.4892</v>
      </c>
      <c r="I327" s="201">
        <v>3.5999999999999999E-3</v>
      </c>
      <c r="J327" s="249">
        <f>E290*E293</f>
        <v>1312437.5</v>
      </c>
      <c r="K327" s="200">
        <f t="shared" ref="K327:K334" si="51">J327*I327</f>
        <v>4724.7749999999996</v>
      </c>
      <c r="L327" s="172">
        <f t="shared" si="43"/>
        <v>-1042.7142000000003</v>
      </c>
      <c r="M327" s="173">
        <f t="shared" si="45"/>
        <v>-0.18079170395325583</v>
      </c>
    </row>
    <row r="328" spans="1:13" ht="25.5" x14ac:dyDescent="0.2">
      <c r="A328" s="140" t="str">
        <f t="shared" si="46"/>
        <v>GS &gt;1,000 to 4,999 kW</v>
      </c>
      <c r="D328" s="198" t="s">
        <v>33</v>
      </c>
      <c r="E328" s="166" t="s">
        <v>2366</v>
      </c>
      <c r="F328" s="199">
        <v>1.2999999999999999E-3</v>
      </c>
      <c r="G328" s="249">
        <f>E290*E292</f>
        <v>1310793</v>
      </c>
      <c r="H328" s="200">
        <f t="shared" si="50"/>
        <v>1704.0309</v>
      </c>
      <c r="I328" s="201">
        <v>1.2999999999999999E-3</v>
      </c>
      <c r="J328" s="249">
        <f>E290*E293</f>
        <v>1312437.5</v>
      </c>
      <c r="K328" s="200">
        <f t="shared" si="51"/>
        <v>1706.1687499999998</v>
      </c>
      <c r="L328" s="172">
        <f t="shared" si="43"/>
        <v>2.1378499999998439</v>
      </c>
      <c r="M328" s="173">
        <f t="shared" si="45"/>
        <v>1.2545840571317362E-3</v>
      </c>
    </row>
    <row r="329" spans="1:13" x14ac:dyDescent="0.2">
      <c r="A329" s="140" t="str">
        <f t="shared" si="46"/>
        <v>GS &gt;1,000 to 4,999 kW</v>
      </c>
      <c r="D329" s="165" t="s">
        <v>34</v>
      </c>
      <c r="E329" s="166" t="s">
        <v>2365</v>
      </c>
      <c r="F329" s="199">
        <v>0.25</v>
      </c>
      <c r="G329" s="168">
        <v>1</v>
      </c>
      <c r="H329" s="200">
        <f t="shared" si="50"/>
        <v>0.25</v>
      </c>
      <c r="I329" s="201">
        <v>0.25</v>
      </c>
      <c r="J329" s="171">
        <v>1</v>
      </c>
      <c r="K329" s="200">
        <f t="shared" si="51"/>
        <v>0.25</v>
      </c>
      <c r="L329" s="172">
        <f t="shared" si="43"/>
        <v>0</v>
      </c>
      <c r="M329" s="173">
        <f t="shared" si="45"/>
        <v>0</v>
      </c>
    </row>
    <row r="330" spans="1:13" x14ac:dyDescent="0.2">
      <c r="A330" s="140" t="str">
        <f t="shared" si="46"/>
        <v>GS &gt;1,000 to 4,999 kW</v>
      </c>
      <c r="D330" s="165" t="s">
        <v>35</v>
      </c>
      <c r="E330" s="166" t="s">
        <v>2366</v>
      </c>
      <c r="F330" s="199">
        <v>7.0000000000000001E-3</v>
      </c>
      <c r="G330" s="248">
        <f>E290</f>
        <v>1265000</v>
      </c>
      <c r="H330" s="200">
        <f t="shared" si="50"/>
        <v>8855</v>
      </c>
      <c r="I330" s="199">
        <v>7.0000000000000001E-3</v>
      </c>
      <c r="J330" s="202">
        <f>+J316</f>
        <v>1265000</v>
      </c>
      <c r="K330" s="200">
        <f t="shared" si="51"/>
        <v>8855</v>
      </c>
      <c r="L330" s="172">
        <f t="shared" si="43"/>
        <v>0</v>
      </c>
      <c r="M330" s="173">
        <f t="shared" si="45"/>
        <v>0</v>
      </c>
    </row>
    <row r="331" spans="1:13" ht="25.5" x14ac:dyDescent="0.2">
      <c r="A331" s="140" t="str">
        <f t="shared" si="46"/>
        <v>GS &gt;1,000 to 4,999 kW</v>
      </c>
      <c r="D331" s="198" t="s">
        <v>1939</v>
      </c>
      <c r="E331" s="166" t="s">
        <v>2366</v>
      </c>
      <c r="F331" s="202"/>
      <c r="G331" s="202"/>
      <c r="H331" s="202"/>
      <c r="I331" s="201">
        <v>1.1000000000000001E-3</v>
      </c>
      <c r="J331" s="249">
        <f>E290*E293</f>
        <v>1312437.5</v>
      </c>
      <c r="K331" s="200">
        <f t="shared" ref="K331" si="52">J331*I331</f>
        <v>1443.6812500000001</v>
      </c>
      <c r="L331" s="172">
        <f t="shared" si="43"/>
        <v>1443.6812500000001</v>
      </c>
      <c r="M331" s="173">
        <v>1</v>
      </c>
    </row>
    <row r="332" spans="1:13" hidden="1" x14ac:dyDescent="0.2">
      <c r="A332" s="140" t="str">
        <f>A330</f>
        <v>GS &gt;1,000 to 4,999 kW</v>
      </c>
      <c r="B332" s="158" t="s">
        <v>1871</v>
      </c>
      <c r="D332" s="185" t="s">
        <v>582</v>
      </c>
      <c r="E332" s="166"/>
      <c r="F332" s="203">
        <v>0.08</v>
      </c>
      <c r="G332" s="250">
        <f>IF(AND(E290*12&gt;=150000),0.64*E290*E292,0.64*E290)</f>
        <v>838907.52</v>
      </c>
      <c r="H332" s="200">
        <f t="shared" si="50"/>
        <v>67112.601600000009</v>
      </c>
      <c r="I332" s="203">
        <v>0.08</v>
      </c>
      <c r="J332" s="250">
        <f>IF(AND(E290*12&gt;=150000),0.64*E290*E293,0.64*E290)</f>
        <v>839960.00000000012</v>
      </c>
      <c r="K332" s="200">
        <f t="shared" si="51"/>
        <v>67196.800000000017</v>
      </c>
      <c r="L332" s="172">
        <f>K332-H332</f>
        <v>84.198400000008405</v>
      </c>
      <c r="M332" s="173">
        <f t="shared" si="45"/>
        <v>1.2545840571319528E-3</v>
      </c>
    </row>
    <row r="333" spans="1:13" hidden="1" x14ac:dyDescent="0.2">
      <c r="A333" s="140" t="str">
        <f t="shared" si="46"/>
        <v>GS &gt;1,000 to 4,999 kW</v>
      </c>
      <c r="B333" s="158" t="s">
        <v>1871</v>
      </c>
      <c r="D333" s="185" t="s">
        <v>583</v>
      </c>
      <c r="E333" s="166"/>
      <c r="F333" s="203">
        <v>0.122</v>
      </c>
      <c r="G333" s="250">
        <f>IF(AND(E290*12&gt;=150000),0.18*E290*E292,0.18*E290)</f>
        <v>235942.74</v>
      </c>
      <c r="H333" s="200">
        <f t="shared" si="50"/>
        <v>28785.014279999999</v>
      </c>
      <c r="I333" s="203">
        <v>0.122</v>
      </c>
      <c r="J333" s="250">
        <f>IF(AND(E290*12&gt;=150000),0.18*E290*E293,0.18*E290)</f>
        <v>236238.75000000003</v>
      </c>
      <c r="K333" s="200">
        <f t="shared" si="51"/>
        <v>28821.127500000002</v>
      </c>
      <c r="L333" s="172">
        <f>K333-H333</f>
        <v>36.113220000002912</v>
      </c>
      <c r="M333" s="173">
        <f t="shared" si="45"/>
        <v>1.254584057131929E-3</v>
      </c>
    </row>
    <row r="334" spans="1:13" hidden="1" x14ac:dyDescent="0.2">
      <c r="A334" s="140" t="str">
        <f t="shared" si="46"/>
        <v>GS &gt;1,000 to 4,999 kW</v>
      </c>
      <c r="B334" s="158" t="s">
        <v>1871</v>
      </c>
      <c r="D334" s="158" t="s">
        <v>584</v>
      </c>
      <c r="E334" s="166"/>
      <c r="F334" s="203">
        <v>0.161</v>
      </c>
      <c r="G334" s="250">
        <f>IF(AND(E290*12&gt;=150000),0.18*E290*E292,0.18*E290)</f>
        <v>235942.74</v>
      </c>
      <c r="H334" s="200">
        <f t="shared" si="50"/>
        <v>37986.781139999999</v>
      </c>
      <c r="I334" s="203">
        <v>0.161</v>
      </c>
      <c r="J334" s="250">
        <f>IF(AND(E290*12&gt;=150000),0.18*E290*E293,0.18*E290)</f>
        <v>236238.75000000003</v>
      </c>
      <c r="K334" s="200">
        <f t="shared" si="51"/>
        <v>38034.438750000008</v>
      </c>
      <c r="L334" s="172">
        <f>K334-H334</f>
        <v>47.657610000009299</v>
      </c>
      <c r="M334" s="173">
        <f t="shared" si="45"/>
        <v>1.2545840571320727E-3</v>
      </c>
    </row>
    <row r="335" spans="1:13" hidden="1" x14ac:dyDescent="0.2">
      <c r="A335" s="140" t="str">
        <f t="shared" si="46"/>
        <v>GS &gt;1,000 to 4,999 kW</v>
      </c>
      <c r="B335" s="140" t="s">
        <v>1872</v>
      </c>
      <c r="D335" s="185" t="s">
        <v>1894</v>
      </c>
      <c r="E335" s="166"/>
      <c r="F335" s="203">
        <v>8.5999999999999993E-2</v>
      </c>
      <c r="G335" s="250">
        <f>IF(AND(E290*12&gt;=150000),E290*E292,E290)</f>
        <v>1310793</v>
      </c>
      <c r="H335" s="200">
        <f>G335*F335</f>
        <v>112728.19799999999</v>
      </c>
      <c r="I335" s="203">
        <v>8.5999999999999993E-2</v>
      </c>
      <c r="J335" s="250">
        <f>IF(AND(E290*12&gt;=150000),E290*E293,E290)</f>
        <v>1312437.5</v>
      </c>
      <c r="K335" s="200">
        <f>J335*I335</f>
        <v>112869.62499999999</v>
      </c>
      <c r="L335" s="172">
        <f>K335-H335</f>
        <v>141.42699999999604</v>
      </c>
      <c r="M335" s="173">
        <f t="shared" si="45"/>
        <v>1.2545840571317928E-3</v>
      </c>
    </row>
    <row r="336" spans="1:13" ht="13.5" thickBot="1" x14ac:dyDescent="0.25">
      <c r="A336" s="140" t="str">
        <f t="shared" si="46"/>
        <v>GS &gt;1,000 to 4,999 kW</v>
      </c>
      <c r="B336" s="140" t="s">
        <v>1873</v>
      </c>
      <c r="D336" s="185" t="s">
        <v>1895</v>
      </c>
      <c r="E336" s="166"/>
      <c r="F336" s="199">
        <f>0.0906</f>
        <v>9.06E-2</v>
      </c>
      <c r="G336" s="251">
        <f>IF(AND(E290*12&gt;=150000),E290*E292,E290)</f>
        <v>1310793</v>
      </c>
      <c r="H336" s="200">
        <f>G336*F336</f>
        <v>118757.8458</v>
      </c>
      <c r="I336" s="199">
        <f>0.0906</f>
        <v>9.06E-2</v>
      </c>
      <c r="J336" s="251">
        <f>IF(AND(E290*12&gt;=150000),E290*E293,E290)</f>
        <v>1312437.5</v>
      </c>
      <c r="K336" s="200">
        <f>J336*I336</f>
        <v>118906.83749999999</v>
      </c>
      <c r="L336" s="172">
        <f>K336-H336</f>
        <v>148.99169999999867</v>
      </c>
      <c r="M336" s="173">
        <f t="shared" si="45"/>
        <v>1.2545840571318166E-3</v>
      </c>
    </row>
    <row r="337" spans="1:13" ht="13.5" thickBot="1" x14ac:dyDescent="0.25">
      <c r="A337" s="140" t="str">
        <f t="shared" si="46"/>
        <v>GS &gt;1,000 to 4,999 kW</v>
      </c>
      <c r="B337" s="158"/>
      <c r="D337" s="204"/>
      <c r="E337" s="205"/>
      <c r="F337" s="206"/>
      <c r="G337" s="207"/>
      <c r="H337" s="208"/>
      <c r="I337" s="206"/>
      <c r="J337" s="209"/>
      <c r="K337" s="208"/>
      <c r="L337" s="210"/>
      <c r="M337" s="211"/>
    </row>
    <row r="338" spans="1:13" hidden="1" x14ac:dyDescent="0.2">
      <c r="A338" s="140" t="str">
        <f t="shared" si="46"/>
        <v>GS &gt;1,000 to 4,999 kW</v>
      </c>
      <c r="B338" s="158" t="s">
        <v>1871</v>
      </c>
      <c r="D338" s="212" t="s">
        <v>585</v>
      </c>
      <c r="E338" s="165"/>
      <c r="F338" s="213"/>
      <c r="G338" s="214"/>
      <c r="H338" s="215">
        <f>SUM(H327:H334,H326)</f>
        <v>166771.04712</v>
      </c>
      <c r="I338" s="216"/>
      <c r="J338" s="216"/>
      <c r="K338" s="215">
        <f>SUM(K327:K334,K326)</f>
        <v>171637.51125000001</v>
      </c>
      <c r="L338" s="217">
        <f>K338-H338</f>
        <v>4866.4641300000076</v>
      </c>
      <c r="M338" s="218">
        <f>IF((H338)=0,"",(L338/H338))</f>
        <v>2.9180509531119909E-2</v>
      </c>
    </row>
    <row r="339" spans="1:13" hidden="1" x14ac:dyDescent="0.2">
      <c r="A339" s="140" t="str">
        <f t="shared" si="46"/>
        <v>GS &gt;1,000 to 4,999 kW</v>
      </c>
      <c r="B339" s="158" t="s">
        <v>1871</v>
      </c>
      <c r="D339" s="219" t="s">
        <v>36</v>
      </c>
      <c r="E339" s="165"/>
      <c r="F339" s="213">
        <v>0.13</v>
      </c>
      <c r="G339" s="220"/>
      <c r="H339" s="221">
        <f>H338*F339</f>
        <v>21680.2361256</v>
      </c>
      <c r="I339" s="222">
        <v>0.13</v>
      </c>
      <c r="J339" s="223"/>
      <c r="K339" s="221">
        <f>K338*I339</f>
        <v>22312.8764625</v>
      </c>
      <c r="L339" s="224">
        <f>K339-H339</f>
        <v>632.64033689999997</v>
      </c>
      <c r="M339" s="225">
        <f>IF((H339)=0,"",(L339/H339))</f>
        <v>2.9180509531119864E-2</v>
      </c>
    </row>
    <row r="340" spans="1:13" hidden="1" x14ac:dyDescent="0.2">
      <c r="A340" s="140" t="str">
        <f t="shared" si="46"/>
        <v>GS &gt;1,000 to 4,999 kW</v>
      </c>
      <c r="B340" s="158" t="s">
        <v>1871</v>
      </c>
      <c r="D340" s="226" t="s">
        <v>586</v>
      </c>
      <c r="E340" s="165"/>
      <c r="F340" s="227"/>
      <c r="G340" s="220"/>
      <c r="H340" s="221">
        <f>H338+H339</f>
        <v>188451.2832456</v>
      </c>
      <c r="I340" s="223"/>
      <c r="J340" s="223"/>
      <c r="K340" s="221">
        <f>K338+K339</f>
        <v>193950.3877125</v>
      </c>
      <c r="L340" s="224">
        <f>K340-H340</f>
        <v>5499.1044668999966</v>
      </c>
      <c r="M340" s="225">
        <f>IF((H340)=0,"",(L340/H340))</f>
        <v>2.9180509531119846E-2</v>
      </c>
    </row>
    <row r="341" spans="1:13" hidden="1" x14ac:dyDescent="0.2">
      <c r="A341" s="140" t="str">
        <f t="shared" si="46"/>
        <v>GS &gt;1,000 to 4,999 kW</v>
      </c>
      <c r="B341" s="158" t="s">
        <v>1871</v>
      </c>
      <c r="D341" s="2465" t="s">
        <v>264</v>
      </c>
      <c r="E341" s="2465"/>
      <c r="F341" s="227"/>
      <c r="G341" s="220"/>
      <c r="H341" s="228">
        <f>ROUND(-H340*10%,2)</f>
        <v>-18845.13</v>
      </c>
      <c r="I341" s="202"/>
      <c r="J341" s="202"/>
      <c r="K341" s="202"/>
      <c r="L341" s="202"/>
      <c r="M341" s="229"/>
    </row>
    <row r="342" spans="1:13" ht="13.5" hidden="1" thickBot="1" x14ac:dyDescent="0.25">
      <c r="A342" s="140" t="str">
        <f t="shared" si="46"/>
        <v>GS &gt;1,000 to 4,999 kW</v>
      </c>
      <c r="B342" s="158" t="s">
        <v>1896</v>
      </c>
      <c r="D342" s="2466" t="s">
        <v>1897</v>
      </c>
      <c r="E342" s="2466"/>
      <c r="F342" s="230"/>
      <c r="G342" s="231"/>
      <c r="H342" s="232">
        <f>H340+H341</f>
        <v>169606.1532456</v>
      </c>
      <c r="I342" s="233"/>
      <c r="J342" s="233"/>
      <c r="K342" s="232">
        <f>K340+K341</f>
        <v>193950.3877125</v>
      </c>
      <c r="L342" s="234">
        <f>K342-H342</f>
        <v>24344.234466900001</v>
      </c>
      <c r="M342" s="235">
        <f>IF((H342)=0,"",(L342/H342))</f>
        <v>0.14353391077532471</v>
      </c>
    </row>
    <row r="343" spans="1:13" ht="13.5" hidden="1" thickBot="1" x14ac:dyDescent="0.25">
      <c r="A343" s="140" t="str">
        <f t="shared" si="46"/>
        <v>GS &gt;1,000 to 4,999 kW</v>
      </c>
      <c r="B343" s="140" t="s">
        <v>1871</v>
      </c>
      <c r="D343" s="204"/>
      <c r="E343" s="205"/>
      <c r="F343" s="206"/>
      <c r="G343" s="207"/>
      <c r="H343" s="208"/>
      <c r="I343" s="206"/>
      <c r="J343" s="209"/>
      <c r="K343" s="208"/>
      <c r="L343" s="210"/>
      <c r="M343" s="211"/>
    </row>
    <row r="344" spans="1:13" hidden="1" x14ac:dyDescent="0.2">
      <c r="A344" s="140" t="str">
        <f t="shared" si="46"/>
        <v>GS &gt;1,000 to 4,999 kW</v>
      </c>
      <c r="B344" s="140" t="s">
        <v>1872</v>
      </c>
      <c r="D344" s="212" t="s">
        <v>1898</v>
      </c>
      <c r="E344" s="165"/>
      <c r="F344" s="213"/>
      <c r="G344" s="214"/>
      <c r="H344" s="215">
        <f>SUM(H335,H326,H327:H332)</f>
        <v>212727.4497</v>
      </c>
      <c r="I344" s="216"/>
      <c r="J344" s="216"/>
      <c r="K344" s="215">
        <f>SUM(K335,K326,K327:K332)</f>
        <v>217651.57</v>
      </c>
      <c r="L344" s="217">
        <f>K344-H344</f>
        <v>4924.1203000000096</v>
      </c>
      <c r="M344" s="218">
        <f>IF((H344)=0,"",(L344/H344))</f>
        <v>2.3147554802844091E-2</v>
      </c>
    </row>
    <row r="345" spans="1:13" hidden="1" x14ac:dyDescent="0.2">
      <c r="A345" s="140" t="str">
        <f t="shared" si="46"/>
        <v>GS &gt;1,000 to 4,999 kW</v>
      </c>
      <c r="B345" s="140" t="s">
        <v>1872</v>
      </c>
      <c r="D345" s="219" t="s">
        <v>36</v>
      </c>
      <c r="E345" s="165"/>
      <c r="F345" s="213">
        <v>0.13</v>
      </c>
      <c r="G345" s="214"/>
      <c r="H345" s="221">
        <f>H344*F345</f>
        <v>27654.568460999999</v>
      </c>
      <c r="I345" s="236">
        <v>0.13</v>
      </c>
      <c r="J345" s="222"/>
      <c r="K345" s="221">
        <f>K344*I345</f>
        <v>28294.704100000003</v>
      </c>
      <c r="L345" s="224">
        <f>K345-H345</f>
        <v>640.13563900000372</v>
      </c>
      <c r="M345" s="225">
        <f>IF((H345)=0,"",(L345/H345))</f>
        <v>2.3147554802844181E-2</v>
      </c>
    </row>
    <row r="346" spans="1:13" hidden="1" x14ac:dyDescent="0.2">
      <c r="A346" s="140" t="str">
        <f t="shared" si="46"/>
        <v>GS &gt;1,000 to 4,999 kW</v>
      </c>
      <c r="B346" s="140" t="s">
        <v>1872</v>
      </c>
      <c r="D346" s="226" t="s">
        <v>586</v>
      </c>
      <c r="E346" s="165"/>
      <c r="F346" s="227"/>
      <c r="G346" s="220"/>
      <c r="H346" s="221">
        <f>H344+H345</f>
        <v>240382.01816099999</v>
      </c>
      <c r="I346" s="223"/>
      <c r="J346" s="223"/>
      <c r="K346" s="221">
        <f>K344+K345</f>
        <v>245946.27410000001</v>
      </c>
      <c r="L346" s="224">
        <f>K346-H346</f>
        <v>5564.2559390000242</v>
      </c>
      <c r="M346" s="225">
        <f>IF((H346)=0,"",(L346/H346))</f>
        <v>2.3147554802844146E-2</v>
      </c>
    </row>
    <row r="347" spans="1:13" hidden="1" x14ac:dyDescent="0.2">
      <c r="A347" s="140" t="str">
        <f t="shared" si="46"/>
        <v>GS &gt;1,000 to 4,999 kW</v>
      </c>
      <c r="B347" s="140" t="s">
        <v>1872</v>
      </c>
      <c r="D347" s="2465" t="s">
        <v>264</v>
      </c>
      <c r="E347" s="2465"/>
      <c r="F347" s="227"/>
      <c r="G347" s="220"/>
      <c r="H347" s="228">
        <f>ROUND(-H346*10%,2)</f>
        <v>-24038.2</v>
      </c>
      <c r="I347" s="202"/>
      <c r="J347" s="202"/>
      <c r="K347" s="202"/>
      <c r="L347" s="202"/>
      <c r="M347" s="229"/>
    </row>
    <row r="348" spans="1:13" ht="13.5" hidden="1" thickBot="1" x14ac:dyDescent="0.25">
      <c r="A348" s="140" t="str">
        <f t="shared" si="46"/>
        <v>GS &gt;1,000 to 4,999 kW</v>
      </c>
      <c r="B348" s="140" t="s">
        <v>1899</v>
      </c>
      <c r="D348" s="2466" t="s">
        <v>1898</v>
      </c>
      <c r="E348" s="2466"/>
      <c r="F348" s="237"/>
      <c r="G348" s="238"/>
      <c r="H348" s="239">
        <f>SUM(H346:H347)</f>
        <v>216343.81816099997</v>
      </c>
      <c r="I348" s="240"/>
      <c r="J348" s="240"/>
      <c r="K348" s="239">
        <f>SUM(K346:K347)</f>
        <v>245946.27410000001</v>
      </c>
      <c r="L348" s="241">
        <f>K348-H348</f>
        <v>29602.455939000036</v>
      </c>
      <c r="M348" s="242">
        <f>IF((H348)=0,"",(L348/H348))</f>
        <v>0.13683060690447052</v>
      </c>
    </row>
    <row r="349" spans="1:13" ht="13.5" hidden="1" thickBot="1" x14ac:dyDescent="0.25">
      <c r="A349" s="140" t="str">
        <f t="shared" si="46"/>
        <v>GS &gt;1,000 to 4,999 kW</v>
      </c>
      <c r="B349" s="140" t="s">
        <v>1872</v>
      </c>
      <c r="D349" s="204"/>
      <c r="E349" s="205"/>
      <c r="F349" s="243"/>
      <c r="G349" s="244"/>
      <c r="H349" s="245"/>
      <c r="I349" s="243"/>
      <c r="J349" s="207"/>
      <c r="K349" s="245"/>
      <c r="L349" s="246"/>
      <c r="M349" s="211"/>
    </row>
    <row r="350" spans="1:13" x14ac:dyDescent="0.2">
      <c r="A350" s="140" t="str">
        <f t="shared" si="46"/>
        <v>GS &gt;1,000 to 4,999 kW</v>
      </c>
      <c r="B350" s="140" t="s">
        <v>1873</v>
      </c>
      <c r="D350" s="212" t="s">
        <v>1900</v>
      </c>
      <c r="E350" s="165"/>
      <c r="F350" s="213"/>
      <c r="G350" s="214"/>
      <c r="H350" s="215">
        <f>SUM(H336,H326:H330)</f>
        <v>151644.49590000001</v>
      </c>
      <c r="I350" s="216"/>
      <c r="J350" s="216"/>
      <c r="K350" s="215">
        <f>SUM(K336,K326:K331)</f>
        <v>156491.98249999998</v>
      </c>
      <c r="L350" s="217">
        <f>K350-H350</f>
        <v>4847.4865999999747</v>
      </c>
      <c r="M350" s="218">
        <f>IF((H350)=0,"",(L350/H350))</f>
        <v>3.196612294584425E-2</v>
      </c>
    </row>
    <row r="351" spans="1:13" x14ac:dyDescent="0.2">
      <c r="A351" s="140" t="str">
        <f t="shared" si="46"/>
        <v>GS &gt;1,000 to 4,999 kW</v>
      </c>
      <c r="B351" s="140" t="s">
        <v>1873</v>
      </c>
      <c r="D351" s="219" t="s">
        <v>36</v>
      </c>
      <c r="E351" s="165"/>
      <c r="F351" s="213">
        <v>0.13</v>
      </c>
      <c r="G351" s="214"/>
      <c r="H351" s="221">
        <f>H350*F351</f>
        <v>19713.784467000001</v>
      </c>
      <c r="I351" s="236">
        <v>0.13</v>
      </c>
      <c r="J351" s="222"/>
      <c r="K351" s="221">
        <f>K350*I351</f>
        <v>20343.957725</v>
      </c>
      <c r="L351" s="224">
        <f>K351-H351</f>
        <v>630.1732579999989</v>
      </c>
      <c r="M351" s="225">
        <f>IF((H351)=0,"",(L351/H351))</f>
        <v>3.1966122945844361E-2</v>
      </c>
    </row>
    <row r="352" spans="1:13" x14ac:dyDescent="0.2">
      <c r="A352" s="140" t="str">
        <f t="shared" si="46"/>
        <v>GS &gt;1,000 to 4,999 kW</v>
      </c>
      <c r="B352" s="140" t="s">
        <v>1873</v>
      </c>
      <c r="D352" s="226" t="s">
        <v>586</v>
      </c>
      <c r="E352" s="165"/>
      <c r="F352" s="227"/>
      <c r="G352" s="220"/>
      <c r="H352" s="221">
        <f>H350+H351</f>
        <v>171358.280367</v>
      </c>
      <c r="I352" s="223"/>
      <c r="J352" s="223"/>
      <c r="K352" s="221">
        <f>K350+K351</f>
        <v>176835.94022499997</v>
      </c>
      <c r="L352" s="224">
        <f>K352-H352</f>
        <v>5477.65985799997</v>
      </c>
      <c r="M352" s="225">
        <f>IF((H352)=0,"",(L352/H352))</f>
        <v>3.1966122945844243E-2</v>
      </c>
    </row>
    <row r="353" spans="1:20" x14ac:dyDescent="0.2">
      <c r="A353" s="140" t="str">
        <f t="shared" si="46"/>
        <v>GS &gt;1,000 to 4,999 kW</v>
      </c>
      <c r="B353" s="140" t="s">
        <v>1873</v>
      </c>
      <c r="D353" s="2465" t="s">
        <v>264</v>
      </c>
      <c r="E353" s="2465"/>
      <c r="F353" s="227"/>
      <c r="G353" s="220"/>
      <c r="H353" s="228">
        <f>IF(E294="Yes", ROUND(-H352*10%,2), 0)</f>
        <v>0</v>
      </c>
      <c r="I353" s="202"/>
      <c r="J353" s="202"/>
      <c r="K353" s="202"/>
      <c r="L353" s="202"/>
      <c r="M353" s="229"/>
    </row>
    <row r="354" spans="1:20" ht="13.5" thickBot="1" x14ac:dyDescent="0.25">
      <c r="A354" s="140" t="str">
        <f t="shared" si="46"/>
        <v>GS &gt;1,000 to 4,999 kW</v>
      </c>
      <c r="B354" s="140" t="s">
        <v>1901</v>
      </c>
      <c r="D354" s="2466" t="s">
        <v>1900</v>
      </c>
      <c r="E354" s="2466"/>
      <c r="F354" s="237"/>
      <c r="G354" s="238"/>
      <c r="H354" s="239">
        <f>SUM(H352:H353)</f>
        <v>171358.280367</v>
      </c>
      <c r="I354" s="240"/>
      <c r="J354" s="240"/>
      <c r="K354" s="239">
        <f>SUM(K352:K353)</f>
        <v>176835.94022499997</v>
      </c>
      <c r="L354" s="241">
        <f>K354-H354</f>
        <v>5477.65985799997</v>
      </c>
      <c r="M354" s="242">
        <f>IF((H354)=0,"",(L354/H354))</f>
        <v>3.1966122945844243E-2</v>
      </c>
    </row>
    <row r="355" spans="1:20" ht="13.5" thickBot="1" x14ac:dyDescent="0.25">
      <c r="A355" s="140" t="str">
        <f t="shared" si="46"/>
        <v>GS &gt;1,000 to 4,999 kW</v>
      </c>
      <c r="B355" s="140" t="s">
        <v>1873</v>
      </c>
      <c r="D355" s="204"/>
      <c r="E355" s="205"/>
      <c r="F355" s="243"/>
      <c r="G355" s="244"/>
      <c r="H355" s="245"/>
      <c r="I355" s="243"/>
      <c r="J355" s="207"/>
      <c r="K355" s="245"/>
      <c r="L355" s="246"/>
      <c r="M355" s="211"/>
    </row>
    <row r="358" spans="1:20" x14ac:dyDescent="0.2">
      <c r="D358" s="1315" t="s">
        <v>37</v>
      </c>
      <c r="E358" s="2467" t="str">
        <f>D34</f>
        <v>Large Use</v>
      </c>
      <c r="F358" s="2467"/>
      <c r="G358" s="2467"/>
      <c r="H358" s="1316"/>
      <c r="I358" s="1316"/>
      <c r="T358" s="140" t="s">
        <v>2364</v>
      </c>
    </row>
    <row r="359" spans="1:20" x14ac:dyDescent="0.2">
      <c r="D359" s="1315" t="s">
        <v>1887</v>
      </c>
      <c r="E359" s="2467" t="str">
        <f>H34</f>
        <v>Non-RPP (Other)</v>
      </c>
      <c r="F359" s="2467"/>
      <c r="G359" s="2467"/>
      <c r="H359" s="1316"/>
      <c r="I359" s="1316"/>
    </row>
    <row r="360" spans="1:20" ht="15.75" x14ac:dyDescent="0.2">
      <c r="D360" s="1315" t="s">
        <v>14</v>
      </c>
      <c r="E360" s="1802">
        <v>3770000</v>
      </c>
      <c r="F360" s="334" t="s">
        <v>110</v>
      </c>
      <c r="G360" s="158"/>
      <c r="J360" s="1318"/>
      <c r="K360" s="1318"/>
      <c r="L360" s="1318"/>
      <c r="M360" s="1318"/>
    </row>
    <row r="361" spans="1:20" ht="15.75" x14ac:dyDescent="0.25">
      <c r="D361" s="1315" t="s">
        <v>1888</v>
      </c>
      <c r="E361" s="1802">
        <v>7000</v>
      </c>
      <c r="F361" s="757" t="s">
        <v>111</v>
      </c>
      <c r="G361" s="498"/>
      <c r="H361" s="435"/>
      <c r="I361" s="435"/>
      <c r="J361" s="435"/>
    </row>
    <row r="362" spans="1:20" x14ac:dyDescent="0.2">
      <c r="D362" s="1315" t="s">
        <v>1889</v>
      </c>
      <c r="E362" s="1319">
        <f>J34</f>
        <v>1.0148999999999999</v>
      </c>
    </row>
    <row r="363" spans="1:20" x14ac:dyDescent="0.2">
      <c r="D363" s="1315" t="s">
        <v>1890</v>
      </c>
      <c r="E363" s="1319">
        <f>K34</f>
        <v>1.0154000000000001</v>
      </c>
    </row>
    <row r="364" spans="1:20" x14ac:dyDescent="0.2">
      <c r="D364" s="334" t="s">
        <v>1976</v>
      </c>
      <c r="E364" s="1521" t="str">
        <f>I34</f>
        <v>No</v>
      </c>
    </row>
    <row r="365" spans="1:20" x14ac:dyDescent="0.2">
      <c r="D365" s="158"/>
    </row>
    <row r="366" spans="1:20" x14ac:dyDescent="0.2">
      <c r="D366" s="158"/>
      <c r="E366" s="159"/>
      <c r="F366" s="2468" t="s">
        <v>15</v>
      </c>
      <c r="G366" s="2469"/>
      <c r="H366" s="2470"/>
      <c r="I366" s="2468" t="s">
        <v>16</v>
      </c>
      <c r="J366" s="2469"/>
      <c r="K366" s="2470"/>
      <c r="L366" s="2468" t="s">
        <v>17</v>
      </c>
      <c r="M366" s="2470"/>
    </row>
    <row r="367" spans="1:20" x14ac:dyDescent="0.2">
      <c r="D367" s="158"/>
      <c r="E367" s="2459" t="s">
        <v>18</v>
      </c>
      <c r="F367" s="160" t="s">
        <v>19</v>
      </c>
      <c r="G367" s="160" t="s">
        <v>20</v>
      </c>
      <c r="H367" s="161" t="s">
        <v>21</v>
      </c>
      <c r="I367" s="160" t="s">
        <v>19</v>
      </c>
      <c r="J367" s="162" t="s">
        <v>20</v>
      </c>
      <c r="K367" s="161" t="s">
        <v>21</v>
      </c>
      <c r="L367" s="2461" t="s">
        <v>22</v>
      </c>
      <c r="M367" s="2463" t="s">
        <v>23</v>
      </c>
    </row>
    <row r="368" spans="1:20" x14ac:dyDescent="0.2">
      <c r="D368" s="158"/>
      <c r="E368" s="2460"/>
      <c r="F368" s="163" t="s">
        <v>402</v>
      </c>
      <c r="G368" s="163"/>
      <c r="H368" s="164" t="s">
        <v>402</v>
      </c>
      <c r="I368" s="163" t="s">
        <v>402</v>
      </c>
      <c r="J368" s="164"/>
      <c r="K368" s="164" t="s">
        <v>402</v>
      </c>
      <c r="L368" s="2462"/>
      <c r="M368" s="2464"/>
    </row>
    <row r="369" spans="1:13" x14ac:dyDescent="0.2">
      <c r="A369" s="140" t="str">
        <f>$E358</f>
        <v>Large Use</v>
      </c>
      <c r="D369" s="165" t="s">
        <v>24</v>
      </c>
      <c r="E369" s="166" t="s">
        <v>2365</v>
      </c>
      <c r="F369" s="167">
        <v>3755.43</v>
      </c>
      <c r="G369" s="168">
        <v>1</v>
      </c>
      <c r="H369" s="169">
        <f>G369*F369</f>
        <v>3755.43</v>
      </c>
      <c r="I369" s="170">
        <v>2446.91</v>
      </c>
      <c r="J369" s="171">
        <v>1</v>
      </c>
      <c r="K369" s="169">
        <f>J369*I369</f>
        <v>2446.91</v>
      </c>
      <c r="L369" s="172">
        <f t="shared" ref="L369:L401" si="53">K369-H369</f>
        <v>-1308.52</v>
      </c>
      <c r="M369" s="173">
        <f>IF(ISERROR(L369/H369), "", L369/H369)</f>
        <v>-0.34843413404057594</v>
      </c>
    </row>
    <row r="370" spans="1:13" x14ac:dyDescent="0.2">
      <c r="A370" s="140" t="str">
        <f>A369</f>
        <v>Large Use</v>
      </c>
      <c r="D370" s="165" t="s">
        <v>25</v>
      </c>
      <c r="E370" s="166"/>
      <c r="F370" s="167"/>
      <c r="G370" s="168">
        <v>1</v>
      </c>
      <c r="H370" s="169">
        <f t="shared" ref="H370:H384" si="54">G370*F370</f>
        <v>0</v>
      </c>
      <c r="I370" s="170"/>
      <c r="J370" s="171">
        <v>1</v>
      </c>
      <c r="K370" s="169">
        <f>J370*I370</f>
        <v>0</v>
      </c>
      <c r="L370" s="172">
        <f t="shared" si="53"/>
        <v>0</v>
      </c>
      <c r="M370" s="173" t="str">
        <f t="shared" ref="M370:M406" si="55">IF(ISERROR(L370/H370), "", L370/H370)</f>
        <v/>
      </c>
    </row>
    <row r="371" spans="1:13" x14ac:dyDescent="0.2">
      <c r="A371" s="140" t="str">
        <f t="shared" ref="A371:A425" si="56">A370</f>
        <v>Large Use</v>
      </c>
      <c r="D371" s="174" t="s">
        <v>2375</v>
      </c>
      <c r="E371" s="166" t="s">
        <v>2365</v>
      </c>
      <c r="F371" s="167">
        <v>733.47</v>
      </c>
      <c r="G371" s="168">
        <v>1</v>
      </c>
      <c r="H371" s="169">
        <f t="shared" si="54"/>
        <v>733.47</v>
      </c>
      <c r="I371" s="170"/>
      <c r="J371" s="171">
        <v>1</v>
      </c>
      <c r="K371" s="169">
        <f t="shared" ref="K371:K384" si="57">J371*I371</f>
        <v>0</v>
      </c>
      <c r="L371" s="172">
        <f t="shared" si="53"/>
        <v>-733.47</v>
      </c>
      <c r="M371" s="173">
        <f t="shared" si="55"/>
        <v>-1</v>
      </c>
    </row>
    <row r="372" spans="1:13" x14ac:dyDescent="0.2">
      <c r="A372" s="140" t="str">
        <f t="shared" si="56"/>
        <v>Large Use</v>
      </c>
      <c r="D372" s="174"/>
      <c r="E372" s="166"/>
      <c r="F372" s="167"/>
      <c r="G372" s="168">
        <v>1</v>
      </c>
      <c r="H372" s="169">
        <f t="shared" si="54"/>
        <v>0</v>
      </c>
      <c r="I372" s="170"/>
      <c r="J372" s="171">
        <v>1</v>
      </c>
      <c r="K372" s="169">
        <f t="shared" si="57"/>
        <v>0</v>
      </c>
      <c r="L372" s="172">
        <f t="shared" si="53"/>
        <v>0</v>
      </c>
      <c r="M372" s="173" t="str">
        <f t="shared" si="55"/>
        <v/>
      </c>
    </row>
    <row r="373" spans="1:13" x14ac:dyDescent="0.2">
      <c r="A373" s="140" t="str">
        <f t="shared" si="56"/>
        <v>Large Use</v>
      </c>
      <c r="D373" s="174"/>
      <c r="E373" s="166"/>
      <c r="F373" s="167"/>
      <c r="G373" s="168">
        <v>1</v>
      </c>
      <c r="H373" s="169">
        <f t="shared" si="54"/>
        <v>0</v>
      </c>
      <c r="I373" s="170"/>
      <c r="J373" s="171">
        <v>1</v>
      </c>
      <c r="K373" s="169">
        <f t="shared" si="57"/>
        <v>0</v>
      </c>
      <c r="L373" s="172">
        <f t="shared" si="53"/>
        <v>0</v>
      </c>
      <c r="M373" s="173" t="str">
        <f t="shared" si="55"/>
        <v/>
      </c>
    </row>
    <row r="374" spans="1:13" x14ac:dyDescent="0.2">
      <c r="A374" s="140" t="str">
        <f t="shared" si="56"/>
        <v>Large Use</v>
      </c>
      <c r="D374" s="174"/>
      <c r="E374" s="166"/>
      <c r="F374" s="167"/>
      <c r="G374" s="168">
        <v>1</v>
      </c>
      <c r="H374" s="169">
        <f t="shared" si="54"/>
        <v>0</v>
      </c>
      <c r="I374" s="170"/>
      <c r="J374" s="171">
        <v>1</v>
      </c>
      <c r="K374" s="169">
        <f t="shared" si="57"/>
        <v>0</v>
      </c>
      <c r="L374" s="172">
        <f t="shared" si="53"/>
        <v>0</v>
      </c>
      <c r="M374" s="173" t="str">
        <f t="shared" si="55"/>
        <v/>
      </c>
    </row>
    <row r="375" spans="1:13" x14ac:dyDescent="0.2">
      <c r="A375" s="140" t="str">
        <f t="shared" si="56"/>
        <v>Large Use</v>
      </c>
      <c r="D375" s="165" t="s">
        <v>26</v>
      </c>
      <c r="E375" s="166" t="s">
        <v>2372</v>
      </c>
      <c r="F375" s="167">
        <v>2.2483</v>
      </c>
      <c r="G375" s="248">
        <f>IF($E361&gt;0, $E361, $E360)</f>
        <v>7000</v>
      </c>
      <c r="H375" s="169">
        <f t="shared" si="54"/>
        <v>15738.1</v>
      </c>
      <c r="I375" s="170">
        <v>1.4649000000000001</v>
      </c>
      <c r="J375" s="248">
        <f>IF($E361&gt;0, $E361, $E360)</f>
        <v>7000</v>
      </c>
      <c r="K375" s="169">
        <f t="shared" si="57"/>
        <v>10254.300000000001</v>
      </c>
      <c r="L375" s="172">
        <f t="shared" si="53"/>
        <v>-5483.7999999999993</v>
      </c>
      <c r="M375" s="173">
        <f t="shared" si="55"/>
        <v>-0.34844104434461587</v>
      </c>
    </row>
    <row r="376" spans="1:13" x14ac:dyDescent="0.2">
      <c r="A376" s="140" t="str">
        <f t="shared" si="56"/>
        <v>Large Use</v>
      </c>
      <c r="D376" s="165" t="s">
        <v>27</v>
      </c>
      <c r="E376" s="166"/>
      <c r="F376" s="167"/>
      <c r="G376" s="248">
        <f>IF($E361&gt;0, $E361, $E360)</f>
        <v>7000</v>
      </c>
      <c r="H376" s="169">
        <f t="shared" si="54"/>
        <v>0</v>
      </c>
      <c r="I376" s="170"/>
      <c r="J376" s="248">
        <f>IF($E361&gt;0, $E361, $E360)</f>
        <v>7000</v>
      </c>
      <c r="K376" s="169">
        <f t="shared" si="57"/>
        <v>0</v>
      </c>
      <c r="L376" s="172">
        <f t="shared" si="53"/>
        <v>0</v>
      </c>
      <c r="M376" s="173" t="str">
        <f t="shared" si="55"/>
        <v/>
      </c>
    </row>
    <row r="377" spans="1:13" x14ac:dyDescent="0.2">
      <c r="A377" s="140" t="str">
        <f t="shared" si="56"/>
        <v>Large Use</v>
      </c>
      <c r="D377" s="165" t="s">
        <v>28</v>
      </c>
      <c r="E377" s="166" t="s">
        <v>2372</v>
      </c>
      <c r="F377" s="167"/>
      <c r="G377" s="248">
        <f>IF($E361&gt;0, $E361, $E360)</f>
        <v>7000</v>
      </c>
      <c r="H377" s="169">
        <f t="shared" si="54"/>
        <v>0</v>
      </c>
      <c r="I377" s="170">
        <v>-8.5000000000000006E-3</v>
      </c>
      <c r="J377" s="248">
        <f>IF($E361&gt;0, $E361, $E360)</f>
        <v>7000</v>
      </c>
      <c r="K377" s="169">
        <f t="shared" si="57"/>
        <v>-59.500000000000007</v>
      </c>
      <c r="L377" s="172">
        <f t="shared" si="53"/>
        <v>-59.500000000000007</v>
      </c>
      <c r="M377" s="173" t="str">
        <f t="shared" si="55"/>
        <v/>
      </c>
    </row>
    <row r="378" spans="1:13" x14ac:dyDescent="0.2">
      <c r="A378" s="140" t="str">
        <f t="shared" si="56"/>
        <v>Large Use</v>
      </c>
      <c r="D378" s="174"/>
      <c r="E378" s="166"/>
      <c r="F378" s="167"/>
      <c r="G378" s="248">
        <f>IF($E361&gt;0, $E361, $E360)</f>
        <v>7000</v>
      </c>
      <c r="H378" s="169">
        <f t="shared" si="54"/>
        <v>0</v>
      </c>
      <c r="I378" s="170"/>
      <c r="J378" s="248">
        <f>IF($E361&gt;0, $E361, $E360)</f>
        <v>7000</v>
      </c>
      <c r="K378" s="169">
        <f t="shared" si="57"/>
        <v>0</v>
      </c>
      <c r="L378" s="172">
        <f t="shared" si="53"/>
        <v>0</v>
      </c>
      <c r="M378" s="173" t="str">
        <f t="shared" si="55"/>
        <v/>
      </c>
    </row>
    <row r="379" spans="1:13" x14ac:dyDescent="0.2">
      <c r="A379" s="140" t="str">
        <f t="shared" si="56"/>
        <v>Large Use</v>
      </c>
      <c r="D379" s="174"/>
      <c r="E379" s="166"/>
      <c r="F379" s="167"/>
      <c r="G379" s="248">
        <f>IF($E361&gt;0, $E361, $E360)</f>
        <v>7000</v>
      </c>
      <c r="H379" s="169">
        <f t="shared" si="54"/>
        <v>0</v>
      </c>
      <c r="I379" s="170"/>
      <c r="J379" s="248">
        <f>IF($E361&gt;0, $E361, $E360)</f>
        <v>7000</v>
      </c>
      <c r="K379" s="169">
        <f t="shared" si="57"/>
        <v>0</v>
      </c>
      <c r="L379" s="172">
        <f t="shared" si="53"/>
        <v>0</v>
      </c>
      <c r="M379" s="173" t="str">
        <f t="shared" si="55"/>
        <v/>
      </c>
    </row>
    <row r="380" spans="1:13" x14ac:dyDescent="0.2">
      <c r="A380" s="140" t="str">
        <f t="shared" si="56"/>
        <v>Large Use</v>
      </c>
      <c r="D380" s="174"/>
      <c r="E380" s="166"/>
      <c r="F380" s="167"/>
      <c r="G380" s="248">
        <f>IF($E361&gt;0, $E361, $E360)</f>
        <v>7000</v>
      </c>
      <c r="H380" s="169">
        <f t="shared" si="54"/>
        <v>0</v>
      </c>
      <c r="I380" s="170"/>
      <c r="J380" s="248">
        <f>IF($E361&gt;0, $E361, $E360)</f>
        <v>7000</v>
      </c>
      <c r="K380" s="169">
        <f t="shared" si="57"/>
        <v>0</v>
      </c>
      <c r="L380" s="172">
        <f t="shared" si="53"/>
        <v>0</v>
      </c>
      <c r="M380" s="173" t="str">
        <f t="shared" si="55"/>
        <v/>
      </c>
    </row>
    <row r="381" spans="1:13" x14ac:dyDescent="0.2">
      <c r="A381" s="140" t="str">
        <f t="shared" si="56"/>
        <v>Large Use</v>
      </c>
      <c r="D381" s="174"/>
      <c r="E381" s="166"/>
      <c r="F381" s="167"/>
      <c r="G381" s="248">
        <f>IF($E361&gt;0, $E361, $E360)</f>
        <v>7000</v>
      </c>
      <c r="H381" s="169">
        <f t="shared" si="54"/>
        <v>0</v>
      </c>
      <c r="I381" s="170"/>
      <c r="J381" s="248">
        <f>IF($E361&gt;0, $E361, $E360)</f>
        <v>7000</v>
      </c>
      <c r="K381" s="169">
        <f t="shared" si="57"/>
        <v>0</v>
      </c>
      <c r="L381" s="172">
        <f t="shared" si="53"/>
        <v>0</v>
      </c>
      <c r="M381" s="173" t="str">
        <f t="shared" si="55"/>
        <v/>
      </c>
    </row>
    <row r="382" spans="1:13" x14ac:dyDescent="0.2">
      <c r="A382" s="140" t="str">
        <f t="shared" si="56"/>
        <v>Large Use</v>
      </c>
      <c r="D382" s="174"/>
      <c r="E382" s="166"/>
      <c r="F382" s="167"/>
      <c r="G382" s="248">
        <f>IF($E361&gt;0, $E361, $E360)</f>
        <v>7000</v>
      </c>
      <c r="H382" s="169">
        <f t="shared" si="54"/>
        <v>0</v>
      </c>
      <c r="I382" s="170"/>
      <c r="J382" s="248">
        <f>IF($E361&gt;0, $E361, $E360)</f>
        <v>7000</v>
      </c>
      <c r="K382" s="169">
        <f t="shared" si="57"/>
        <v>0</v>
      </c>
      <c r="L382" s="172">
        <f t="shared" si="53"/>
        <v>0</v>
      </c>
      <c r="M382" s="173" t="str">
        <f t="shared" si="55"/>
        <v/>
      </c>
    </row>
    <row r="383" spans="1:13" x14ac:dyDescent="0.2">
      <c r="A383" s="140" t="str">
        <f t="shared" si="56"/>
        <v>Large Use</v>
      </c>
      <c r="D383" s="174" t="s">
        <v>2373</v>
      </c>
      <c r="E383" s="166" t="s">
        <v>2372</v>
      </c>
      <c r="F383" s="167"/>
      <c r="G383" s="248">
        <f>IF($E361&gt;0, $E361, $E360)</f>
        <v>7000</v>
      </c>
      <c r="H383" s="169">
        <f t="shared" si="54"/>
        <v>0</v>
      </c>
      <c r="I383" s="170">
        <v>1.9092</v>
      </c>
      <c r="J383" s="248">
        <f>IF($E361&gt;0, $E361, $E360)</f>
        <v>7000</v>
      </c>
      <c r="K383" s="169">
        <f t="shared" si="57"/>
        <v>13364.4</v>
      </c>
      <c r="L383" s="172">
        <f t="shared" si="53"/>
        <v>13364.4</v>
      </c>
      <c r="M383" s="173" t="str">
        <f t="shared" si="55"/>
        <v/>
      </c>
    </row>
    <row r="384" spans="1:13" x14ac:dyDescent="0.2">
      <c r="A384" s="140" t="str">
        <f t="shared" si="56"/>
        <v>Large Use</v>
      </c>
      <c r="D384" s="174"/>
      <c r="E384" s="166"/>
      <c r="F384" s="167"/>
      <c r="G384" s="248">
        <f>IF($E361&gt;0, $E361, $E360)</f>
        <v>7000</v>
      </c>
      <c r="H384" s="169">
        <f t="shared" si="54"/>
        <v>0</v>
      </c>
      <c r="I384" s="170"/>
      <c r="J384" s="248">
        <f>IF($E361&gt;0, $E361, $E360)</f>
        <v>7000</v>
      </c>
      <c r="K384" s="169">
        <f t="shared" si="57"/>
        <v>0</v>
      </c>
      <c r="L384" s="172">
        <f t="shared" si="53"/>
        <v>0</v>
      </c>
      <c r="M384" s="173" t="str">
        <f t="shared" si="55"/>
        <v/>
      </c>
    </row>
    <row r="385" spans="1:13" x14ac:dyDescent="0.2">
      <c r="A385" s="140" t="str">
        <f t="shared" si="56"/>
        <v>Large Use</v>
      </c>
      <c r="B385" s="338" t="s">
        <v>1891</v>
      </c>
      <c r="C385" s="337"/>
      <c r="D385" s="175" t="s">
        <v>617</v>
      </c>
      <c r="E385" s="176"/>
      <c r="F385" s="177"/>
      <c r="G385" s="178"/>
      <c r="H385" s="179">
        <f>SUM(H369:H384)</f>
        <v>20227</v>
      </c>
      <c r="I385" s="180"/>
      <c r="J385" s="181"/>
      <c r="K385" s="179">
        <f>SUM(K369:K384)</f>
        <v>26006.11</v>
      </c>
      <c r="L385" s="182">
        <f t="shared" si="53"/>
        <v>5779.1100000000006</v>
      </c>
      <c r="M385" s="183">
        <f>IF((H385)=0,"",(L385/H385))</f>
        <v>0.28571266129430961</v>
      </c>
    </row>
    <row r="386" spans="1:13" ht="25.5" x14ac:dyDescent="0.2">
      <c r="A386" s="140" t="str">
        <f t="shared" si="56"/>
        <v>Large Use</v>
      </c>
      <c r="D386" s="184" t="s">
        <v>29</v>
      </c>
      <c r="E386" s="166" t="s">
        <v>2366</v>
      </c>
      <c r="F386" s="167"/>
      <c r="G386" s="248">
        <f>IF($E361&gt;0, $E361, $E360)</f>
        <v>7000</v>
      </c>
      <c r="H386" s="169">
        <f>G386*F386</f>
        <v>0</v>
      </c>
      <c r="I386" s="170">
        <v>-3.2000000000000002E-3</v>
      </c>
      <c r="J386" s="248">
        <f>+E360</f>
        <v>3770000</v>
      </c>
      <c r="K386" s="169">
        <f>J386*I386</f>
        <v>-12064</v>
      </c>
      <c r="L386" s="172">
        <f t="shared" si="53"/>
        <v>-12064</v>
      </c>
      <c r="M386" s="173" t="str">
        <f t="shared" si="55"/>
        <v/>
      </c>
    </row>
    <row r="387" spans="1:13" x14ac:dyDescent="0.2">
      <c r="A387" s="140" t="str">
        <f t="shared" si="56"/>
        <v>Large Use</v>
      </c>
      <c r="D387" s="184" t="s">
        <v>2367</v>
      </c>
      <c r="E387" s="166" t="s">
        <v>2372</v>
      </c>
      <c r="F387" s="167"/>
      <c r="G387" s="248">
        <f>IF($E361&gt;0, $E361, $E360)</f>
        <v>7000</v>
      </c>
      <c r="H387" s="169">
        <f t="shared" ref="H387:H391" si="58">G387*F387</f>
        <v>0</v>
      </c>
      <c r="I387" s="170">
        <v>1E-4</v>
      </c>
      <c r="J387" s="248">
        <f>IF($E361&gt;0, $E361, $E360)</f>
        <v>7000</v>
      </c>
      <c r="K387" s="169">
        <f t="shared" ref="K387:K391" si="59">J387*I387</f>
        <v>0.70000000000000007</v>
      </c>
      <c r="L387" s="172">
        <f t="shared" si="53"/>
        <v>0.70000000000000007</v>
      </c>
      <c r="M387" s="173" t="str">
        <f t="shared" si="55"/>
        <v/>
      </c>
    </row>
    <row r="388" spans="1:13" x14ac:dyDescent="0.2">
      <c r="A388" s="140" t="str">
        <f t="shared" si="56"/>
        <v>Large Use</v>
      </c>
      <c r="D388" s="184" t="s">
        <v>2368</v>
      </c>
      <c r="E388" s="166" t="s">
        <v>2372</v>
      </c>
      <c r="F388" s="167"/>
      <c r="G388" s="248">
        <f>IF($E361&gt;0, $E361, $E360)</f>
        <v>7000</v>
      </c>
      <c r="H388" s="169">
        <f t="shared" si="58"/>
        <v>0</v>
      </c>
      <c r="I388" s="170">
        <v>-0.996</v>
      </c>
      <c r="J388" s="248">
        <f>IF($E361&gt;0, $E361, $E360)</f>
        <v>7000</v>
      </c>
      <c r="K388" s="169">
        <f t="shared" si="59"/>
        <v>-6972</v>
      </c>
      <c r="L388" s="172">
        <f t="shared" si="53"/>
        <v>-6972</v>
      </c>
      <c r="M388" s="173" t="str">
        <f t="shared" si="55"/>
        <v/>
      </c>
    </row>
    <row r="389" spans="1:13" x14ac:dyDescent="0.2">
      <c r="A389" s="140" t="str">
        <f t="shared" si="56"/>
        <v>Large Use</v>
      </c>
      <c r="D389" s="184"/>
      <c r="E389" s="166"/>
      <c r="F389" s="167"/>
      <c r="G389" s="248">
        <f>IF($E361&gt;0, $E361, $E360)</f>
        <v>7000</v>
      </c>
      <c r="H389" s="169">
        <f t="shared" si="58"/>
        <v>0</v>
      </c>
      <c r="I389" s="170">
        <v>0</v>
      </c>
      <c r="J389" s="248">
        <f>IF($E361&gt;0, $E361, $E360)</f>
        <v>7000</v>
      </c>
      <c r="K389" s="169">
        <f t="shared" si="59"/>
        <v>0</v>
      </c>
      <c r="L389" s="172">
        <f t="shared" si="53"/>
        <v>0</v>
      </c>
      <c r="M389" s="173" t="str">
        <f t="shared" si="55"/>
        <v/>
      </c>
    </row>
    <row r="390" spans="1:13" x14ac:dyDescent="0.2">
      <c r="A390" s="140" t="str">
        <f t="shared" si="56"/>
        <v>Large Use</v>
      </c>
      <c r="D390" s="185" t="s">
        <v>605</v>
      </c>
      <c r="E390" s="166" t="s">
        <v>2372</v>
      </c>
      <c r="F390" s="167">
        <v>8.7099999999999997E-2</v>
      </c>
      <c r="G390" s="248">
        <f>IF($E361&gt;0, $E361, $E360)</f>
        <v>7000</v>
      </c>
      <c r="H390" s="169">
        <f>G390*F390</f>
        <v>609.69999999999993</v>
      </c>
      <c r="I390" s="170">
        <v>0.28839999999999999</v>
      </c>
      <c r="J390" s="248">
        <f>IF($E361&gt;0, $E361, $E360)</f>
        <v>7000</v>
      </c>
      <c r="K390" s="169">
        <f>J390*I390</f>
        <v>2018.8</v>
      </c>
      <c r="L390" s="172">
        <f t="shared" si="53"/>
        <v>1409.1</v>
      </c>
      <c r="M390" s="173">
        <f t="shared" si="55"/>
        <v>2.3111366245694605</v>
      </c>
    </row>
    <row r="391" spans="1:13" x14ac:dyDescent="0.2">
      <c r="A391" s="140" t="str">
        <f t="shared" si="56"/>
        <v>Large Use</v>
      </c>
      <c r="D391" s="185" t="s">
        <v>928</v>
      </c>
      <c r="E391" s="166"/>
      <c r="F391" s="186">
        <f>IF((E360*12&gt;=150000), 0, IF(E359="RPP",(F402*0.64+F403*0.18+F404*0.18),IF(E359="Non-RPP (Retailer)",F405,F406)))</f>
        <v>0</v>
      </c>
      <c r="G391" s="249">
        <f>IF(F391=0, 0, $E360*E362-E360)</f>
        <v>0</v>
      </c>
      <c r="H391" s="169">
        <f t="shared" si="58"/>
        <v>0</v>
      </c>
      <c r="I391" s="187">
        <f>IF((E360*12&gt;=150000), 0, IF(E359="RPP",(I402*0.64+I403*0.18+I404*0.18),IF(E359="Non-RPP (Retailer)",I405,I406)))</f>
        <v>0</v>
      </c>
      <c r="J391" s="249">
        <f>IF(I391=0, 0, E360*E363-E360)</f>
        <v>0</v>
      </c>
      <c r="K391" s="169">
        <f t="shared" si="59"/>
        <v>0</v>
      </c>
      <c r="L391" s="172">
        <f t="shared" si="53"/>
        <v>0</v>
      </c>
      <c r="M391" s="173" t="str">
        <f t="shared" si="55"/>
        <v/>
      </c>
    </row>
    <row r="392" spans="1:13" x14ac:dyDescent="0.2">
      <c r="A392" s="140" t="str">
        <f t="shared" si="56"/>
        <v>Large Use</v>
      </c>
      <c r="D392" s="185" t="s">
        <v>562</v>
      </c>
      <c r="E392" s="166"/>
      <c r="F392" s="186"/>
      <c r="G392" s="168"/>
      <c r="H392" s="169">
        <f>G392*F392</f>
        <v>0</v>
      </c>
      <c r="I392" s="186"/>
      <c r="J392" s="168"/>
      <c r="K392" s="169">
        <f>J392*I392</f>
        <v>0</v>
      </c>
      <c r="L392" s="172">
        <f t="shared" si="53"/>
        <v>0</v>
      </c>
      <c r="M392" s="173" t="str">
        <f t="shared" si="55"/>
        <v/>
      </c>
    </row>
    <row r="393" spans="1:13" ht="25.5" x14ac:dyDescent="0.2">
      <c r="A393" s="140" t="str">
        <f t="shared" si="56"/>
        <v>Large Use</v>
      </c>
      <c r="B393" s="158" t="s">
        <v>1892</v>
      </c>
      <c r="D393" s="188" t="s">
        <v>560</v>
      </c>
      <c r="E393" s="189"/>
      <c r="F393" s="190"/>
      <c r="G393" s="178"/>
      <c r="H393" s="191">
        <f>SUM(H386:H392)+H385</f>
        <v>20836.7</v>
      </c>
      <c r="I393" s="178"/>
      <c r="J393" s="181"/>
      <c r="K393" s="191">
        <f>SUM(K386:K392)+K385</f>
        <v>8989.61</v>
      </c>
      <c r="L393" s="182">
        <f t="shared" si="53"/>
        <v>-11847.09</v>
      </c>
      <c r="M393" s="183">
        <f>IF((H393)=0,"",(L393/H393))</f>
        <v>-0.56856843934020262</v>
      </c>
    </row>
    <row r="394" spans="1:13" x14ac:dyDescent="0.2">
      <c r="A394" s="140" t="str">
        <f t="shared" si="56"/>
        <v>Large Use</v>
      </c>
      <c r="D394" s="192" t="s">
        <v>30</v>
      </c>
      <c r="E394" s="193" t="s">
        <v>2372</v>
      </c>
      <c r="F394" s="170">
        <v>3.4866999999999999</v>
      </c>
      <c r="G394" s="249">
        <f>IF($E361&gt;0, $E361, $E360*$E362)</f>
        <v>7000</v>
      </c>
      <c r="H394" s="169">
        <f>G394*F394</f>
        <v>24406.899999999998</v>
      </c>
      <c r="I394" s="170">
        <v>3.2237</v>
      </c>
      <c r="J394" s="249">
        <f>IF($E361&gt;0, $E361, $E360*$E363)</f>
        <v>7000</v>
      </c>
      <c r="K394" s="169">
        <f>J394*I394</f>
        <v>22565.9</v>
      </c>
      <c r="L394" s="172">
        <f t="shared" si="53"/>
        <v>-1840.9999999999964</v>
      </c>
      <c r="M394" s="173">
        <f t="shared" si="55"/>
        <v>-7.5429489201823935E-2</v>
      </c>
    </row>
    <row r="395" spans="1:13" ht="25.5" x14ac:dyDescent="0.2">
      <c r="A395" s="140" t="str">
        <f t="shared" si="56"/>
        <v>Large Use</v>
      </c>
      <c r="D395" s="194" t="s">
        <v>31</v>
      </c>
      <c r="E395" s="193" t="s">
        <v>2372</v>
      </c>
      <c r="F395" s="170">
        <v>2.7092000000000001</v>
      </c>
      <c r="G395" s="249">
        <f>IF($E361&gt;0, $E361, $E360*$E362)</f>
        <v>7000</v>
      </c>
      <c r="H395" s="169">
        <f>G395*F395</f>
        <v>18964.400000000001</v>
      </c>
      <c r="I395" s="170">
        <v>2.7017000000000002</v>
      </c>
      <c r="J395" s="249">
        <f>IF($E361&gt;0, $E361, $E360*$E363)</f>
        <v>7000</v>
      </c>
      <c r="K395" s="169">
        <f>J395*I395</f>
        <v>18911.900000000001</v>
      </c>
      <c r="L395" s="172">
        <f t="shared" si="53"/>
        <v>-52.5</v>
      </c>
      <c r="M395" s="173">
        <f t="shared" si="55"/>
        <v>-2.7683448988631326E-3</v>
      </c>
    </row>
    <row r="396" spans="1:13" ht="25.5" x14ac:dyDescent="0.2">
      <c r="A396" s="140" t="str">
        <f t="shared" si="56"/>
        <v>Large Use</v>
      </c>
      <c r="B396" s="158" t="s">
        <v>1893</v>
      </c>
      <c r="D396" s="188" t="s">
        <v>561</v>
      </c>
      <c r="E396" s="176"/>
      <c r="F396" s="195"/>
      <c r="G396" s="178"/>
      <c r="H396" s="191">
        <f>SUM(H393:H395)</f>
        <v>64208</v>
      </c>
      <c r="I396" s="196"/>
      <c r="J396" s="197"/>
      <c r="K396" s="191">
        <f>SUM(K393:K395)</f>
        <v>50467.41</v>
      </c>
      <c r="L396" s="182">
        <f t="shared" si="53"/>
        <v>-13740.589999999997</v>
      </c>
      <c r="M396" s="183">
        <f>IF((H396)=0,"",(L396/H396))</f>
        <v>-0.2140012148018938</v>
      </c>
    </row>
    <row r="397" spans="1:13" ht="25.5" x14ac:dyDescent="0.2">
      <c r="A397" s="140" t="str">
        <f t="shared" si="56"/>
        <v>Large Use</v>
      </c>
      <c r="D397" s="198" t="s">
        <v>32</v>
      </c>
      <c r="E397" s="166" t="s">
        <v>2366</v>
      </c>
      <c r="F397" s="199">
        <v>4.4000000000000003E-3</v>
      </c>
      <c r="G397" s="249">
        <f>E360*E362</f>
        <v>3826172.9999999995</v>
      </c>
      <c r="H397" s="200">
        <f t="shared" ref="H397:H404" si="60">G397*F397</f>
        <v>16835.161199999999</v>
      </c>
      <c r="I397" s="201">
        <v>3.5999999999999999E-3</v>
      </c>
      <c r="J397" s="249">
        <f>E360*E363</f>
        <v>3828058.0000000005</v>
      </c>
      <c r="K397" s="200">
        <f t="shared" ref="K397:K404" si="61">J397*I397</f>
        <v>13781.008800000001</v>
      </c>
      <c r="L397" s="172">
        <f t="shared" si="53"/>
        <v>-3054.1523999999972</v>
      </c>
      <c r="M397" s="173">
        <f t="shared" si="55"/>
        <v>-0.18141509687474791</v>
      </c>
    </row>
    <row r="398" spans="1:13" ht="25.5" x14ac:dyDescent="0.2">
      <c r="A398" s="140" t="str">
        <f t="shared" si="56"/>
        <v>Large Use</v>
      </c>
      <c r="D398" s="198" t="s">
        <v>33</v>
      </c>
      <c r="E398" s="166" t="s">
        <v>2366</v>
      </c>
      <c r="F398" s="199">
        <v>1.2999999999999999E-3</v>
      </c>
      <c r="G398" s="249">
        <f>E360*E362</f>
        <v>3826172.9999999995</v>
      </c>
      <c r="H398" s="200">
        <f t="shared" si="60"/>
        <v>4974.0248999999994</v>
      </c>
      <c r="I398" s="201">
        <v>1.2999999999999999E-3</v>
      </c>
      <c r="J398" s="249">
        <f>E360*E363</f>
        <v>3828058.0000000005</v>
      </c>
      <c r="K398" s="200">
        <f t="shared" si="61"/>
        <v>4976.4754000000003</v>
      </c>
      <c r="L398" s="172">
        <f t="shared" si="53"/>
        <v>2.4505000000008295</v>
      </c>
      <c r="M398" s="173">
        <f t="shared" si="55"/>
        <v>4.9265937530807889E-4</v>
      </c>
    </row>
    <row r="399" spans="1:13" x14ac:dyDescent="0.2">
      <c r="A399" s="140" t="str">
        <f t="shared" si="56"/>
        <v>Large Use</v>
      </c>
      <c r="D399" s="165" t="s">
        <v>34</v>
      </c>
      <c r="E399" s="166" t="s">
        <v>2365</v>
      </c>
      <c r="F399" s="199">
        <v>0.25</v>
      </c>
      <c r="G399" s="168">
        <v>1</v>
      </c>
      <c r="H399" s="200">
        <f t="shared" si="60"/>
        <v>0.25</v>
      </c>
      <c r="I399" s="201">
        <v>0.25</v>
      </c>
      <c r="J399" s="171">
        <v>1</v>
      </c>
      <c r="K399" s="200">
        <f t="shared" si="61"/>
        <v>0.25</v>
      </c>
      <c r="L399" s="172">
        <f t="shared" si="53"/>
        <v>0</v>
      </c>
      <c r="M399" s="173">
        <f t="shared" si="55"/>
        <v>0</v>
      </c>
    </row>
    <row r="400" spans="1:13" x14ac:dyDescent="0.2">
      <c r="A400" s="140" t="str">
        <f t="shared" si="56"/>
        <v>Large Use</v>
      </c>
      <c r="D400" s="165" t="s">
        <v>35</v>
      </c>
      <c r="E400" s="166" t="s">
        <v>2366</v>
      </c>
      <c r="F400" s="199">
        <v>7.0000000000000001E-3</v>
      </c>
      <c r="G400" s="248">
        <f>E360</f>
        <v>3770000</v>
      </c>
      <c r="H400" s="200">
        <f t="shared" si="60"/>
        <v>26390</v>
      </c>
      <c r="I400" s="199">
        <v>7.0000000000000001E-3</v>
      </c>
      <c r="J400" s="202">
        <f>+J386</f>
        <v>3770000</v>
      </c>
      <c r="K400" s="200">
        <f t="shared" si="61"/>
        <v>26390</v>
      </c>
      <c r="L400" s="172">
        <f t="shared" si="53"/>
        <v>0</v>
      </c>
      <c r="M400" s="173">
        <f t="shared" si="55"/>
        <v>0</v>
      </c>
    </row>
    <row r="401" spans="1:13" ht="25.5" x14ac:dyDescent="0.2">
      <c r="A401" s="140" t="str">
        <f t="shared" si="56"/>
        <v>Large Use</v>
      </c>
      <c r="D401" s="198" t="s">
        <v>1939</v>
      </c>
      <c r="E401" s="166" t="s">
        <v>2366</v>
      </c>
      <c r="F401" s="202"/>
      <c r="G401" s="202"/>
      <c r="H401" s="202"/>
      <c r="I401" s="201">
        <v>1.1000000000000001E-3</v>
      </c>
      <c r="J401" s="249">
        <f>E360*E363</f>
        <v>3828058.0000000005</v>
      </c>
      <c r="K401" s="200">
        <f t="shared" ref="K401" si="62">J401*I401</f>
        <v>4210.863800000001</v>
      </c>
      <c r="L401" s="172">
        <f t="shared" si="53"/>
        <v>4210.863800000001</v>
      </c>
      <c r="M401" s="173">
        <v>1</v>
      </c>
    </row>
    <row r="402" spans="1:13" hidden="1" x14ac:dyDescent="0.2">
      <c r="A402" s="140" t="str">
        <f>A400</f>
        <v>Large Use</v>
      </c>
      <c r="B402" s="158" t="s">
        <v>1871</v>
      </c>
      <c r="D402" s="185" t="s">
        <v>582</v>
      </c>
      <c r="E402" s="166"/>
      <c r="F402" s="203">
        <v>0.08</v>
      </c>
      <c r="G402" s="250">
        <f>IF(AND(E360*12&gt;=150000),0.64*E360*E362,0.64*E360)</f>
        <v>2448750.7199999997</v>
      </c>
      <c r="H402" s="200">
        <f t="shared" si="60"/>
        <v>195900.05759999997</v>
      </c>
      <c r="I402" s="203">
        <v>0.08</v>
      </c>
      <c r="J402" s="250">
        <f>IF(AND(E360*12&gt;=150000),0.64*E360*E363,0.64*E360)</f>
        <v>2449957.12</v>
      </c>
      <c r="K402" s="200">
        <f t="shared" si="61"/>
        <v>195996.56960000002</v>
      </c>
      <c r="L402" s="172">
        <f>K402-H402</f>
        <v>96.5120000000461</v>
      </c>
      <c r="M402" s="173">
        <f t="shared" si="55"/>
        <v>4.9265937530814752E-4</v>
      </c>
    </row>
    <row r="403" spans="1:13" hidden="1" x14ac:dyDescent="0.2">
      <c r="A403" s="140" t="str">
        <f t="shared" si="56"/>
        <v>Large Use</v>
      </c>
      <c r="B403" s="158" t="s">
        <v>1871</v>
      </c>
      <c r="D403" s="185" t="s">
        <v>583</v>
      </c>
      <c r="E403" s="166"/>
      <c r="F403" s="203">
        <v>0.122</v>
      </c>
      <c r="G403" s="250">
        <f>IF(AND(E360*12&gt;=150000),0.18*E360*E362,0.18*E360)</f>
        <v>688711.1399999999</v>
      </c>
      <c r="H403" s="200">
        <f t="shared" si="60"/>
        <v>84022.759079999989</v>
      </c>
      <c r="I403" s="203">
        <v>0.122</v>
      </c>
      <c r="J403" s="250">
        <f>IF(AND(E360*12&gt;=150000),0.18*E360*E363,0.18*E360)</f>
        <v>689050.44000000006</v>
      </c>
      <c r="K403" s="200">
        <f t="shared" si="61"/>
        <v>84064.153680000003</v>
      </c>
      <c r="L403" s="172">
        <f>K403-H403</f>
        <v>41.394600000014179</v>
      </c>
      <c r="M403" s="173">
        <f t="shared" si="55"/>
        <v>4.9265937530808095E-4</v>
      </c>
    </row>
    <row r="404" spans="1:13" hidden="1" x14ac:dyDescent="0.2">
      <c r="A404" s="140" t="str">
        <f t="shared" si="56"/>
        <v>Large Use</v>
      </c>
      <c r="B404" s="158" t="s">
        <v>1871</v>
      </c>
      <c r="D404" s="158" t="s">
        <v>584</v>
      </c>
      <c r="E404" s="166"/>
      <c r="F404" s="203">
        <v>0.161</v>
      </c>
      <c r="G404" s="250">
        <f>IF(AND(E360*12&gt;=150000),0.18*E360*E362,0.18*E360)</f>
        <v>688711.1399999999</v>
      </c>
      <c r="H404" s="200">
        <f t="shared" si="60"/>
        <v>110882.49353999998</v>
      </c>
      <c r="I404" s="203">
        <v>0.161</v>
      </c>
      <c r="J404" s="250">
        <f>IF(AND(E360*12&gt;=150000),0.18*E360*E363,0.18*E360)</f>
        <v>689050.44000000006</v>
      </c>
      <c r="K404" s="200">
        <f t="shared" si="61"/>
        <v>110937.12084000002</v>
      </c>
      <c r="L404" s="172">
        <f>K404-H404</f>
        <v>54.627300000036485</v>
      </c>
      <c r="M404" s="173">
        <f t="shared" si="55"/>
        <v>4.9265937530824119E-4</v>
      </c>
    </row>
    <row r="405" spans="1:13" hidden="1" x14ac:dyDescent="0.2">
      <c r="A405" s="140" t="str">
        <f t="shared" si="56"/>
        <v>Large Use</v>
      </c>
      <c r="B405" s="140" t="s">
        <v>1872</v>
      </c>
      <c r="D405" s="185" t="s">
        <v>1894</v>
      </c>
      <c r="E405" s="166"/>
      <c r="F405" s="203">
        <v>8.5999999999999993E-2</v>
      </c>
      <c r="G405" s="250">
        <f>IF(AND(E360*12&gt;=150000),E360*E362,E360)</f>
        <v>3826172.9999999995</v>
      </c>
      <c r="H405" s="200">
        <f>G405*F405</f>
        <v>329050.87799999991</v>
      </c>
      <c r="I405" s="203">
        <v>8.5999999999999993E-2</v>
      </c>
      <c r="J405" s="250">
        <f>IF(AND(E360*12&gt;=150000),E360*E363,E360)</f>
        <v>3828058.0000000005</v>
      </c>
      <c r="K405" s="200">
        <f>J405*I405</f>
        <v>329212.98800000001</v>
      </c>
      <c r="L405" s="172">
        <f>K405-H405</f>
        <v>162.11000000010245</v>
      </c>
      <c r="M405" s="173">
        <f t="shared" si="55"/>
        <v>4.9265937530822363E-4</v>
      </c>
    </row>
    <row r="406" spans="1:13" ht="13.5" thickBot="1" x14ac:dyDescent="0.25">
      <c r="A406" s="140" t="str">
        <f t="shared" si="56"/>
        <v>Large Use</v>
      </c>
      <c r="B406" s="140" t="s">
        <v>1873</v>
      </c>
      <c r="D406" s="185" t="s">
        <v>1895</v>
      </c>
      <c r="E406" s="166"/>
      <c r="F406" s="199">
        <f>0.0906</f>
        <v>9.06E-2</v>
      </c>
      <c r="G406" s="251">
        <f>IF(AND(E360*12&gt;=150000),E360*E362,E360)</f>
        <v>3826172.9999999995</v>
      </c>
      <c r="H406" s="200">
        <f>G406*F406</f>
        <v>346651.27379999997</v>
      </c>
      <c r="I406" s="199">
        <f>0.0906</f>
        <v>9.06E-2</v>
      </c>
      <c r="J406" s="251">
        <f>IF(AND(E360*12&gt;=150000),E360*E363,E360)</f>
        <v>3828058.0000000005</v>
      </c>
      <c r="K406" s="200">
        <f>J406*I406</f>
        <v>346822.05480000004</v>
      </c>
      <c r="L406" s="172">
        <f>K406-H406</f>
        <v>170.78100000007544</v>
      </c>
      <c r="M406" s="173">
        <f t="shared" si="55"/>
        <v>4.9265937530812974E-4</v>
      </c>
    </row>
    <row r="407" spans="1:13" ht="13.5" thickBot="1" x14ac:dyDescent="0.25">
      <c r="A407" s="140" t="str">
        <f t="shared" si="56"/>
        <v>Large Use</v>
      </c>
      <c r="B407" s="158"/>
      <c r="D407" s="204"/>
      <c r="E407" s="205"/>
      <c r="F407" s="206"/>
      <c r="G407" s="207"/>
      <c r="H407" s="208"/>
      <c r="I407" s="206"/>
      <c r="J407" s="209"/>
      <c r="K407" s="208"/>
      <c r="L407" s="210"/>
      <c r="M407" s="211"/>
    </row>
    <row r="408" spans="1:13" hidden="1" x14ac:dyDescent="0.2">
      <c r="A408" s="140" t="str">
        <f t="shared" si="56"/>
        <v>Large Use</v>
      </c>
      <c r="B408" s="158" t="s">
        <v>1871</v>
      </c>
      <c r="D408" s="212" t="s">
        <v>585</v>
      </c>
      <c r="E408" s="165"/>
      <c r="F408" s="213"/>
      <c r="G408" s="214"/>
      <c r="H408" s="215">
        <f>SUM(H397:H404,H396)</f>
        <v>503212.74631999998</v>
      </c>
      <c r="I408" s="216"/>
      <c r="J408" s="216"/>
      <c r="K408" s="215">
        <f>SUM(K397:K404,K396)</f>
        <v>490823.85212000005</v>
      </c>
      <c r="L408" s="217">
        <f>K408-H408</f>
        <v>-12388.894199999922</v>
      </c>
      <c r="M408" s="218">
        <f>IF((H408)=0,"",(L408/H408))</f>
        <v>-2.4619595371142791E-2</v>
      </c>
    </row>
    <row r="409" spans="1:13" hidden="1" x14ac:dyDescent="0.2">
      <c r="A409" s="140" t="str">
        <f t="shared" si="56"/>
        <v>Large Use</v>
      </c>
      <c r="B409" s="158" t="s">
        <v>1871</v>
      </c>
      <c r="D409" s="219" t="s">
        <v>36</v>
      </c>
      <c r="E409" s="165"/>
      <c r="F409" s="213">
        <v>0.13</v>
      </c>
      <c r="G409" s="220"/>
      <c r="H409" s="221">
        <f>H408*F409</f>
        <v>65417.657021599996</v>
      </c>
      <c r="I409" s="222">
        <v>0.13</v>
      </c>
      <c r="J409" s="223"/>
      <c r="K409" s="221">
        <f>K408*I409</f>
        <v>63807.100775600011</v>
      </c>
      <c r="L409" s="224">
        <f>K409-H409</f>
        <v>-1610.5562459999855</v>
      </c>
      <c r="M409" s="225">
        <f>IF((H409)=0,"",(L409/H409))</f>
        <v>-2.4619595371142722E-2</v>
      </c>
    </row>
    <row r="410" spans="1:13" hidden="1" x14ac:dyDescent="0.2">
      <c r="A410" s="140" t="str">
        <f t="shared" si="56"/>
        <v>Large Use</v>
      </c>
      <c r="B410" s="158" t="s">
        <v>1871</v>
      </c>
      <c r="D410" s="226" t="s">
        <v>586</v>
      </c>
      <c r="E410" s="165"/>
      <c r="F410" s="227"/>
      <c r="G410" s="220"/>
      <c r="H410" s="221">
        <f>H408+H409</f>
        <v>568630.40334159997</v>
      </c>
      <c r="I410" s="223"/>
      <c r="J410" s="223"/>
      <c r="K410" s="221">
        <f>K408+K409</f>
        <v>554630.95289560012</v>
      </c>
      <c r="L410" s="224">
        <f>K410-H410</f>
        <v>-13999.450445999857</v>
      </c>
      <c r="M410" s="225">
        <f>IF((H410)=0,"",(L410/H410))</f>
        <v>-2.4619595371142694E-2</v>
      </c>
    </row>
    <row r="411" spans="1:13" hidden="1" x14ac:dyDescent="0.2">
      <c r="A411" s="140" t="str">
        <f t="shared" si="56"/>
        <v>Large Use</v>
      </c>
      <c r="B411" s="158" t="s">
        <v>1871</v>
      </c>
      <c r="D411" s="2465" t="s">
        <v>264</v>
      </c>
      <c r="E411" s="2465"/>
      <c r="F411" s="227"/>
      <c r="G411" s="220"/>
      <c r="H411" s="228">
        <f>ROUND(-H410*10%,2)</f>
        <v>-56863.040000000001</v>
      </c>
      <c r="I411" s="202"/>
      <c r="J411" s="202"/>
      <c r="K411" s="202"/>
      <c r="L411" s="202"/>
      <c r="M411" s="229"/>
    </row>
    <row r="412" spans="1:13" ht="13.5" hidden="1" thickBot="1" x14ac:dyDescent="0.25">
      <c r="A412" s="140" t="str">
        <f t="shared" si="56"/>
        <v>Large Use</v>
      </c>
      <c r="B412" s="158" t="s">
        <v>1896</v>
      </c>
      <c r="D412" s="2466" t="s">
        <v>1897</v>
      </c>
      <c r="E412" s="2466"/>
      <c r="F412" s="230"/>
      <c r="G412" s="231"/>
      <c r="H412" s="232">
        <f>H410+H411</f>
        <v>511767.36334159999</v>
      </c>
      <c r="I412" s="233"/>
      <c r="J412" s="233"/>
      <c r="K412" s="232">
        <f>K410+K411</f>
        <v>554630.95289560012</v>
      </c>
      <c r="L412" s="234">
        <f>K412-H412</f>
        <v>42863.589554000122</v>
      </c>
      <c r="M412" s="235">
        <f>IF((H412)=0,"",(L412/H412))</f>
        <v>8.3756004435533091E-2</v>
      </c>
    </row>
    <row r="413" spans="1:13" ht="13.5" hidden="1" thickBot="1" x14ac:dyDescent="0.25">
      <c r="A413" s="140" t="str">
        <f t="shared" si="56"/>
        <v>Large Use</v>
      </c>
      <c r="B413" s="140" t="s">
        <v>1871</v>
      </c>
      <c r="D413" s="204"/>
      <c r="E413" s="205"/>
      <c r="F413" s="206"/>
      <c r="G413" s="207"/>
      <c r="H413" s="208"/>
      <c r="I413" s="206"/>
      <c r="J413" s="209"/>
      <c r="K413" s="208"/>
      <c r="L413" s="210"/>
      <c r="M413" s="211"/>
    </row>
    <row r="414" spans="1:13" hidden="1" x14ac:dyDescent="0.2">
      <c r="A414" s="140" t="str">
        <f t="shared" si="56"/>
        <v>Large Use</v>
      </c>
      <c r="B414" s="140" t="s">
        <v>1872</v>
      </c>
      <c r="D414" s="212" t="s">
        <v>1898</v>
      </c>
      <c r="E414" s="165"/>
      <c r="F414" s="213"/>
      <c r="G414" s="214"/>
      <c r="H414" s="215">
        <f>SUM(H405,H396,H397:H402)</f>
        <v>637358.3716999999</v>
      </c>
      <c r="I414" s="216"/>
      <c r="J414" s="216"/>
      <c r="K414" s="215">
        <f>SUM(K405,K396,K397:K402)</f>
        <v>625035.56560000009</v>
      </c>
      <c r="L414" s="217">
        <f>K414-H414</f>
        <v>-12322.806099999812</v>
      </c>
      <c r="M414" s="218">
        <f>IF((H414)=0,"",(L414/H414))</f>
        <v>-1.933418724403305E-2</v>
      </c>
    </row>
    <row r="415" spans="1:13" hidden="1" x14ac:dyDescent="0.2">
      <c r="A415" s="140" t="str">
        <f t="shared" si="56"/>
        <v>Large Use</v>
      </c>
      <c r="B415" s="140" t="s">
        <v>1872</v>
      </c>
      <c r="D415" s="219" t="s">
        <v>36</v>
      </c>
      <c r="E415" s="165"/>
      <c r="F415" s="213">
        <v>0.13</v>
      </c>
      <c r="G415" s="214"/>
      <c r="H415" s="221">
        <f>H414*F415</f>
        <v>82856.588320999988</v>
      </c>
      <c r="I415" s="236">
        <v>0.13</v>
      </c>
      <c r="J415" s="222"/>
      <c r="K415" s="221">
        <f>K414*I415</f>
        <v>81254.623528000011</v>
      </c>
      <c r="L415" s="224">
        <f>K415-H415</f>
        <v>-1601.9647929999774</v>
      </c>
      <c r="M415" s="225">
        <f>IF((H415)=0,"",(L415/H415))</f>
        <v>-1.9334187244033071E-2</v>
      </c>
    </row>
    <row r="416" spans="1:13" hidden="1" x14ac:dyDescent="0.2">
      <c r="A416" s="140" t="str">
        <f t="shared" si="56"/>
        <v>Large Use</v>
      </c>
      <c r="B416" s="140" t="s">
        <v>1872</v>
      </c>
      <c r="D416" s="226" t="s">
        <v>586</v>
      </c>
      <c r="E416" s="165"/>
      <c r="F416" s="227"/>
      <c r="G416" s="220"/>
      <c r="H416" s="221">
        <f>H414+H415</f>
        <v>720214.96002099989</v>
      </c>
      <c r="I416" s="223"/>
      <c r="J416" s="223"/>
      <c r="K416" s="221">
        <f>K414+K415</f>
        <v>706290.18912800006</v>
      </c>
      <c r="L416" s="224">
        <f>K416-H416</f>
        <v>-13924.770892999833</v>
      </c>
      <c r="M416" s="225">
        <f>IF((H416)=0,"",(L416/H416))</f>
        <v>-1.9334187244033112E-2</v>
      </c>
    </row>
    <row r="417" spans="1:20" hidden="1" x14ac:dyDescent="0.2">
      <c r="A417" s="140" t="str">
        <f t="shared" si="56"/>
        <v>Large Use</v>
      </c>
      <c r="B417" s="140" t="s">
        <v>1872</v>
      </c>
      <c r="D417" s="2465" t="s">
        <v>264</v>
      </c>
      <c r="E417" s="2465"/>
      <c r="F417" s="227"/>
      <c r="G417" s="220"/>
      <c r="H417" s="228">
        <f>ROUND(-H416*10%,2)</f>
        <v>-72021.5</v>
      </c>
      <c r="I417" s="202"/>
      <c r="J417" s="202"/>
      <c r="K417" s="202"/>
      <c r="L417" s="202"/>
      <c r="M417" s="229"/>
    </row>
    <row r="418" spans="1:20" ht="13.5" hidden="1" thickBot="1" x14ac:dyDescent="0.25">
      <c r="A418" s="140" t="str">
        <f t="shared" si="56"/>
        <v>Large Use</v>
      </c>
      <c r="B418" s="140" t="s">
        <v>1899</v>
      </c>
      <c r="D418" s="2466" t="s">
        <v>1898</v>
      </c>
      <c r="E418" s="2466"/>
      <c r="F418" s="237"/>
      <c r="G418" s="238"/>
      <c r="H418" s="239">
        <f>SUM(H416:H417)</f>
        <v>648193.46002099989</v>
      </c>
      <c r="I418" s="240"/>
      <c r="J418" s="240"/>
      <c r="K418" s="239">
        <f>SUM(K416:K417)</f>
        <v>706290.18912800006</v>
      </c>
      <c r="L418" s="241">
        <f>K418-H418</f>
        <v>58096.729107000167</v>
      </c>
      <c r="M418" s="242">
        <f>IF((H418)=0,"",(L418/H418))</f>
        <v>8.9628687560528567E-2</v>
      </c>
    </row>
    <row r="419" spans="1:20" ht="13.5" hidden="1" thickBot="1" x14ac:dyDescent="0.25">
      <c r="A419" s="140" t="str">
        <f t="shared" si="56"/>
        <v>Large Use</v>
      </c>
      <c r="B419" s="140" t="s">
        <v>1872</v>
      </c>
      <c r="D419" s="204"/>
      <c r="E419" s="205"/>
      <c r="F419" s="243"/>
      <c r="G419" s="244"/>
      <c r="H419" s="245"/>
      <c r="I419" s="243"/>
      <c r="J419" s="207"/>
      <c r="K419" s="245"/>
      <c r="L419" s="246"/>
      <c r="M419" s="211"/>
    </row>
    <row r="420" spans="1:20" x14ac:dyDescent="0.2">
      <c r="A420" s="140" t="str">
        <f t="shared" si="56"/>
        <v>Large Use</v>
      </c>
      <c r="B420" s="140" t="s">
        <v>1873</v>
      </c>
      <c r="D420" s="212" t="s">
        <v>1900</v>
      </c>
      <c r="E420" s="165"/>
      <c r="F420" s="213"/>
      <c r="G420" s="214"/>
      <c r="H420" s="215">
        <f>SUM(H406,H396:H400)</f>
        <v>459058.70989999996</v>
      </c>
      <c r="I420" s="216"/>
      <c r="J420" s="216"/>
      <c r="K420" s="215">
        <f>SUM(K406,K396:K401)</f>
        <v>446648.06280000007</v>
      </c>
      <c r="L420" s="217">
        <f>K420-H420</f>
        <v>-12410.647099999886</v>
      </c>
      <c r="M420" s="218">
        <f>IF((H420)=0,"",(L420/H420))</f>
        <v>-2.7034988842066378E-2</v>
      </c>
    </row>
    <row r="421" spans="1:20" x14ac:dyDescent="0.2">
      <c r="A421" s="140" t="str">
        <f t="shared" si="56"/>
        <v>Large Use</v>
      </c>
      <c r="B421" s="140" t="s">
        <v>1873</v>
      </c>
      <c r="D421" s="219" t="s">
        <v>36</v>
      </c>
      <c r="E421" s="165"/>
      <c r="F421" s="213">
        <v>0.13</v>
      </c>
      <c r="G421" s="214"/>
      <c r="H421" s="221">
        <f>H420*F421</f>
        <v>59677.632286999993</v>
      </c>
      <c r="I421" s="236">
        <v>0.13</v>
      </c>
      <c r="J421" s="222"/>
      <c r="K421" s="221">
        <f>K420*I421</f>
        <v>58064.248164000011</v>
      </c>
      <c r="L421" s="224">
        <f>K421-H421</f>
        <v>-1613.3841229999816</v>
      </c>
      <c r="M421" s="225">
        <f>IF((H421)=0,"",(L421/H421))</f>
        <v>-2.7034988842066322E-2</v>
      </c>
    </row>
    <row r="422" spans="1:20" x14ac:dyDescent="0.2">
      <c r="A422" s="140" t="str">
        <f t="shared" si="56"/>
        <v>Large Use</v>
      </c>
      <c r="B422" s="140" t="s">
        <v>1873</v>
      </c>
      <c r="D422" s="226" t="s">
        <v>586</v>
      </c>
      <c r="E422" s="165"/>
      <c r="F422" s="227"/>
      <c r="G422" s="220"/>
      <c r="H422" s="221">
        <f>H420+H421</f>
        <v>518736.34218699997</v>
      </c>
      <c r="I422" s="223"/>
      <c r="J422" s="223"/>
      <c r="K422" s="221">
        <f>K420+K421</f>
        <v>504712.31096400006</v>
      </c>
      <c r="L422" s="224">
        <f>K422-H422</f>
        <v>-14024.031222999911</v>
      </c>
      <c r="M422" s="225">
        <f>IF((H422)=0,"",(L422/H422))</f>
        <v>-2.7034988842066454E-2</v>
      </c>
    </row>
    <row r="423" spans="1:20" x14ac:dyDescent="0.2">
      <c r="A423" s="140" t="str">
        <f t="shared" si="56"/>
        <v>Large Use</v>
      </c>
      <c r="B423" s="140" t="s">
        <v>1873</v>
      </c>
      <c r="D423" s="2465" t="s">
        <v>264</v>
      </c>
      <c r="E423" s="2465"/>
      <c r="F423" s="227"/>
      <c r="G423" s="220"/>
      <c r="H423" s="228">
        <f>IF(E364="Yes", ROUND(-H422*10%,2), 0)</f>
        <v>0</v>
      </c>
      <c r="I423" s="202"/>
      <c r="J423" s="202"/>
      <c r="K423" s="202"/>
      <c r="L423" s="202"/>
      <c r="M423" s="229"/>
    </row>
    <row r="424" spans="1:20" ht="13.5" thickBot="1" x14ac:dyDescent="0.25">
      <c r="A424" s="140" t="str">
        <f t="shared" si="56"/>
        <v>Large Use</v>
      </c>
      <c r="B424" s="140" t="s">
        <v>1901</v>
      </c>
      <c r="D424" s="2466" t="s">
        <v>1900</v>
      </c>
      <c r="E424" s="2466"/>
      <c r="F424" s="237"/>
      <c r="G424" s="238"/>
      <c r="H424" s="239">
        <f>SUM(H422:H423)</f>
        <v>518736.34218699997</v>
      </c>
      <c r="I424" s="240"/>
      <c r="J424" s="240"/>
      <c r="K424" s="239">
        <f>SUM(K422:K423)</f>
        <v>504712.31096400006</v>
      </c>
      <c r="L424" s="241">
        <f>K424-H424</f>
        <v>-14024.031222999911</v>
      </c>
      <c r="M424" s="242">
        <f>IF((H424)=0,"",(L424/H424))</f>
        <v>-2.7034988842066454E-2</v>
      </c>
    </row>
    <row r="425" spans="1:20" ht="13.5" thickBot="1" x14ac:dyDescent="0.25">
      <c r="A425" s="140" t="str">
        <f t="shared" si="56"/>
        <v>Large Use</v>
      </c>
      <c r="B425" s="140" t="s">
        <v>1873</v>
      </c>
      <c r="D425" s="204"/>
      <c r="E425" s="205"/>
      <c r="F425" s="243"/>
      <c r="G425" s="244"/>
      <c r="H425" s="245"/>
      <c r="I425" s="243"/>
      <c r="J425" s="207"/>
      <c r="K425" s="245"/>
      <c r="L425" s="246"/>
      <c r="M425" s="211"/>
    </row>
    <row r="428" spans="1:20" x14ac:dyDescent="0.2">
      <c r="D428" s="1315" t="s">
        <v>37</v>
      </c>
      <c r="E428" s="2467" t="str">
        <f>D35</f>
        <v>Unmetered &amp; Scattered</v>
      </c>
      <c r="F428" s="2467"/>
      <c r="G428" s="2467"/>
      <c r="H428" s="1316"/>
      <c r="I428" s="1316"/>
      <c r="T428" s="140" t="s">
        <v>2364</v>
      </c>
    </row>
    <row r="429" spans="1:20" x14ac:dyDescent="0.2">
      <c r="D429" s="1315" t="s">
        <v>1887</v>
      </c>
      <c r="E429" s="2467" t="str">
        <f>H35</f>
        <v>RPP</v>
      </c>
      <c r="F429" s="2467"/>
      <c r="G429" s="2467"/>
      <c r="H429" s="1316"/>
      <c r="I429" s="1316"/>
    </row>
    <row r="430" spans="1:20" ht="15.75" x14ac:dyDescent="0.2">
      <c r="D430" s="1315" t="s">
        <v>14</v>
      </c>
      <c r="E430" s="1802">
        <v>405</v>
      </c>
      <c r="F430" s="334" t="s">
        <v>110</v>
      </c>
      <c r="G430" s="158"/>
      <c r="J430" s="1318"/>
      <c r="K430" s="1318"/>
      <c r="L430" s="1318"/>
      <c r="M430" s="1318"/>
    </row>
    <row r="431" spans="1:20" ht="15.75" x14ac:dyDescent="0.25">
      <c r="D431" s="1315" t="s">
        <v>1888</v>
      </c>
      <c r="E431" s="1802">
        <f>M35</f>
        <v>0</v>
      </c>
      <c r="F431" s="757" t="s">
        <v>111</v>
      </c>
      <c r="G431" s="498"/>
      <c r="H431" s="435"/>
      <c r="I431" s="435"/>
      <c r="J431" s="435"/>
    </row>
    <row r="432" spans="1:20" x14ac:dyDescent="0.2">
      <c r="D432" s="1315" t="s">
        <v>1889</v>
      </c>
      <c r="E432" s="1319">
        <f>J35</f>
        <v>1.0362</v>
      </c>
    </row>
    <row r="433" spans="1:13" x14ac:dyDescent="0.2">
      <c r="D433" s="1315" t="s">
        <v>1890</v>
      </c>
      <c r="E433" s="1319">
        <f>K35</f>
        <v>1.0375000000000001</v>
      </c>
    </row>
    <row r="434" spans="1:13" x14ac:dyDescent="0.2">
      <c r="D434" s="334" t="s">
        <v>1976</v>
      </c>
      <c r="E434" s="1521" t="str">
        <f>I35</f>
        <v>No</v>
      </c>
    </row>
    <row r="435" spans="1:13" x14ac:dyDescent="0.2">
      <c r="D435" s="158"/>
    </row>
    <row r="436" spans="1:13" x14ac:dyDescent="0.2">
      <c r="D436" s="158"/>
      <c r="E436" s="159"/>
      <c r="F436" s="2468" t="s">
        <v>15</v>
      </c>
      <c r="G436" s="2469"/>
      <c r="H436" s="2470"/>
      <c r="I436" s="2468" t="s">
        <v>16</v>
      </c>
      <c r="J436" s="2469"/>
      <c r="K436" s="2470"/>
      <c r="L436" s="2468" t="s">
        <v>17</v>
      </c>
      <c r="M436" s="2470"/>
    </row>
    <row r="437" spans="1:13" x14ac:dyDescent="0.2">
      <c r="D437" s="158"/>
      <c r="E437" s="2459" t="s">
        <v>18</v>
      </c>
      <c r="F437" s="160" t="s">
        <v>19</v>
      </c>
      <c r="G437" s="160" t="s">
        <v>20</v>
      </c>
      <c r="H437" s="161" t="s">
        <v>21</v>
      </c>
      <c r="I437" s="160" t="s">
        <v>19</v>
      </c>
      <c r="J437" s="162" t="s">
        <v>20</v>
      </c>
      <c r="K437" s="161" t="s">
        <v>21</v>
      </c>
      <c r="L437" s="2461" t="s">
        <v>22</v>
      </c>
      <c r="M437" s="2463" t="s">
        <v>23</v>
      </c>
    </row>
    <row r="438" spans="1:13" x14ac:dyDescent="0.2">
      <c r="D438" s="158"/>
      <c r="E438" s="2460"/>
      <c r="F438" s="163" t="s">
        <v>402</v>
      </c>
      <c r="G438" s="163"/>
      <c r="H438" s="164" t="s">
        <v>402</v>
      </c>
      <c r="I438" s="163" t="s">
        <v>402</v>
      </c>
      <c r="J438" s="164"/>
      <c r="K438" s="164" t="s">
        <v>402</v>
      </c>
      <c r="L438" s="2462"/>
      <c r="M438" s="2464"/>
    </row>
    <row r="439" spans="1:13" x14ac:dyDescent="0.2">
      <c r="A439" s="140" t="str">
        <f>$E428</f>
        <v>Unmetered &amp; Scattered</v>
      </c>
      <c r="D439" s="165" t="s">
        <v>24</v>
      </c>
      <c r="E439" s="166" t="s">
        <v>2365</v>
      </c>
      <c r="F439" s="167">
        <v>7.86</v>
      </c>
      <c r="G439" s="168">
        <v>1</v>
      </c>
      <c r="H439" s="169">
        <f>G439*F439</f>
        <v>7.86</v>
      </c>
      <c r="I439" s="170">
        <v>7.84</v>
      </c>
      <c r="J439" s="171">
        <v>1</v>
      </c>
      <c r="K439" s="169">
        <f>J439*I439</f>
        <v>7.84</v>
      </c>
      <c r="L439" s="172">
        <f t="shared" ref="L439:L471" si="63">K439-H439</f>
        <v>-2.0000000000000462E-2</v>
      </c>
      <c r="M439" s="173">
        <f>IF(ISERROR(L439/H439), "", L439/H439)</f>
        <v>-2.5445292620865727E-3</v>
      </c>
    </row>
    <row r="440" spans="1:13" x14ac:dyDescent="0.2">
      <c r="A440" s="140" t="str">
        <f>A439</f>
        <v>Unmetered &amp; Scattered</v>
      </c>
      <c r="D440" s="165" t="s">
        <v>25</v>
      </c>
      <c r="E440" s="166"/>
      <c r="F440" s="167"/>
      <c r="G440" s="168">
        <v>1</v>
      </c>
      <c r="H440" s="169">
        <f t="shared" ref="H440:H454" si="64">G440*F440</f>
        <v>0</v>
      </c>
      <c r="I440" s="170"/>
      <c r="J440" s="171">
        <v>1</v>
      </c>
      <c r="K440" s="169">
        <f>J440*I440</f>
        <v>0</v>
      </c>
      <c r="L440" s="172">
        <f t="shared" si="63"/>
        <v>0</v>
      </c>
      <c r="M440" s="173" t="str">
        <f t="shared" ref="M440:M476" si="65">IF(ISERROR(L440/H440), "", L440/H440)</f>
        <v/>
      </c>
    </row>
    <row r="441" spans="1:13" x14ac:dyDescent="0.2">
      <c r="A441" s="140" t="str">
        <f t="shared" ref="A441:A495" si="66">A440</f>
        <v>Unmetered &amp; Scattered</v>
      </c>
      <c r="D441" s="174" t="s">
        <v>2375</v>
      </c>
      <c r="E441" s="166" t="s">
        <v>2365</v>
      </c>
      <c r="F441" s="167">
        <v>0.94</v>
      </c>
      <c r="G441" s="168">
        <v>1</v>
      </c>
      <c r="H441" s="169">
        <f t="shared" si="64"/>
        <v>0.94</v>
      </c>
      <c r="I441" s="170"/>
      <c r="J441" s="171">
        <v>1</v>
      </c>
      <c r="K441" s="169">
        <f t="shared" ref="K441:K454" si="67">J441*I441</f>
        <v>0</v>
      </c>
      <c r="L441" s="172">
        <f t="shared" si="63"/>
        <v>-0.94</v>
      </c>
      <c r="M441" s="173">
        <f t="shared" si="65"/>
        <v>-1</v>
      </c>
    </row>
    <row r="442" spans="1:13" x14ac:dyDescent="0.2">
      <c r="A442" s="140" t="str">
        <f t="shared" si="66"/>
        <v>Unmetered &amp; Scattered</v>
      </c>
      <c r="D442" s="174"/>
      <c r="E442" s="166"/>
      <c r="F442" s="167"/>
      <c r="G442" s="168">
        <v>1</v>
      </c>
      <c r="H442" s="169">
        <f t="shared" si="64"/>
        <v>0</v>
      </c>
      <c r="I442" s="170"/>
      <c r="J442" s="171">
        <v>1</v>
      </c>
      <c r="K442" s="169">
        <f t="shared" si="67"/>
        <v>0</v>
      </c>
      <c r="L442" s="172">
        <f t="shared" si="63"/>
        <v>0</v>
      </c>
      <c r="M442" s="173" t="str">
        <f t="shared" si="65"/>
        <v/>
      </c>
    </row>
    <row r="443" spans="1:13" x14ac:dyDescent="0.2">
      <c r="A443" s="140" t="str">
        <f t="shared" si="66"/>
        <v>Unmetered &amp; Scattered</v>
      </c>
      <c r="D443" s="174"/>
      <c r="E443" s="166"/>
      <c r="F443" s="167"/>
      <c r="G443" s="168">
        <v>1</v>
      </c>
      <c r="H443" s="169">
        <f t="shared" si="64"/>
        <v>0</v>
      </c>
      <c r="I443" s="170"/>
      <c r="J443" s="171">
        <v>1</v>
      </c>
      <c r="K443" s="169">
        <f t="shared" si="67"/>
        <v>0</v>
      </c>
      <c r="L443" s="172">
        <f t="shared" si="63"/>
        <v>0</v>
      </c>
      <c r="M443" s="173" t="str">
        <f t="shared" si="65"/>
        <v/>
      </c>
    </row>
    <row r="444" spans="1:13" x14ac:dyDescent="0.2">
      <c r="A444" s="140" t="str">
        <f t="shared" si="66"/>
        <v>Unmetered &amp; Scattered</v>
      </c>
      <c r="D444" s="174"/>
      <c r="E444" s="166"/>
      <c r="F444" s="167"/>
      <c r="G444" s="168">
        <v>1</v>
      </c>
      <c r="H444" s="169">
        <f t="shared" si="64"/>
        <v>0</v>
      </c>
      <c r="I444" s="170"/>
      <c r="J444" s="171">
        <v>1</v>
      </c>
      <c r="K444" s="169">
        <f t="shared" si="67"/>
        <v>0</v>
      </c>
      <c r="L444" s="172">
        <f t="shared" si="63"/>
        <v>0</v>
      </c>
      <c r="M444" s="173" t="str">
        <f t="shared" si="65"/>
        <v/>
      </c>
    </row>
    <row r="445" spans="1:13" x14ac:dyDescent="0.2">
      <c r="A445" s="140" t="str">
        <f t="shared" si="66"/>
        <v>Unmetered &amp; Scattered</v>
      </c>
      <c r="D445" s="165" t="s">
        <v>26</v>
      </c>
      <c r="E445" s="166" t="s">
        <v>2366</v>
      </c>
      <c r="F445" s="167">
        <v>1.66E-2</v>
      </c>
      <c r="G445" s="248">
        <f>IF($E431&gt;0, $E431, $E430)</f>
        <v>405</v>
      </c>
      <c r="H445" s="169">
        <f t="shared" si="64"/>
        <v>6.7229999999999999</v>
      </c>
      <c r="I445" s="170">
        <v>1.66E-2</v>
      </c>
      <c r="J445" s="248">
        <f>IF($E431&gt;0, $E431, $E430)</f>
        <v>405</v>
      </c>
      <c r="K445" s="169">
        <f t="shared" si="67"/>
        <v>6.7229999999999999</v>
      </c>
      <c r="L445" s="172">
        <f t="shared" si="63"/>
        <v>0</v>
      </c>
      <c r="M445" s="173">
        <f t="shared" si="65"/>
        <v>0</v>
      </c>
    </row>
    <row r="446" spans="1:13" x14ac:dyDescent="0.2">
      <c r="A446" s="140" t="str">
        <f t="shared" si="66"/>
        <v>Unmetered &amp; Scattered</v>
      </c>
      <c r="D446" s="165" t="s">
        <v>27</v>
      </c>
      <c r="E446" s="166"/>
      <c r="F446" s="167"/>
      <c r="G446" s="248">
        <f>IF($E431&gt;0, $E431, $E430)</f>
        <v>405</v>
      </c>
      <c r="H446" s="169">
        <f t="shared" si="64"/>
        <v>0</v>
      </c>
      <c r="I446" s="170"/>
      <c r="J446" s="248">
        <f>IF($E431&gt;0, $E431, $E430)</f>
        <v>405</v>
      </c>
      <c r="K446" s="169">
        <f t="shared" si="67"/>
        <v>0</v>
      </c>
      <c r="L446" s="172">
        <f t="shared" si="63"/>
        <v>0</v>
      </c>
      <c r="M446" s="173" t="str">
        <f t="shared" si="65"/>
        <v/>
      </c>
    </row>
    <row r="447" spans="1:13" x14ac:dyDescent="0.2">
      <c r="A447" s="140" t="str">
        <f t="shared" si="66"/>
        <v>Unmetered &amp; Scattered</v>
      </c>
      <c r="D447" s="165" t="s">
        <v>28</v>
      </c>
      <c r="E447" s="166" t="s">
        <v>2366</v>
      </c>
      <c r="F447" s="167"/>
      <c r="G447" s="248">
        <f>IF($E431&gt;0, $E431, $E430)</f>
        <v>405</v>
      </c>
      <c r="H447" s="169">
        <f t="shared" si="64"/>
        <v>0</v>
      </c>
      <c r="I447" s="170">
        <v>0</v>
      </c>
      <c r="J447" s="248">
        <f>IF($E431&gt;0, $E431, $E430)</f>
        <v>405</v>
      </c>
      <c r="K447" s="169">
        <f t="shared" si="67"/>
        <v>0</v>
      </c>
      <c r="L447" s="172">
        <f t="shared" si="63"/>
        <v>0</v>
      </c>
      <c r="M447" s="173" t="str">
        <f t="shared" si="65"/>
        <v/>
      </c>
    </row>
    <row r="448" spans="1:13" x14ac:dyDescent="0.2">
      <c r="A448" s="140" t="str">
        <f t="shared" si="66"/>
        <v>Unmetered &amp; Scattered</v>
      </c>
      <c r="D448" s="174"/>
      <c r="E448" s="166"/>
      <c r="F448" s="167"/>
      <c r="G448" s="248">
        <f>IF($E431&gt;0, $E431, $E430)</f>
        <v>405</v>
      </c>
      <c r="H448" s="169">
        <f t="shared" si="64"/>
        <v>0</v>
      </c>
      <c r="I448" s="170"/>
      <c r="J448" s="248">
        <f>IF($E431&gt;0, $E431, $E430)</f>
        <v>405</v>
      </c>
      <c r="K448" s="169">
        <f t="shared" si="67"/>
        <v>0</v>
      </c>
      <c r="L448" s="172">
        <f t="shared" si="63"/>
        <v>0</v>
      </c>
      <c r="M448" s="173" t="str">
        <f t="shared" si="65"/>
        <v/>
      </c>
    </row>
    <row r="449" spans="1:13" x14ac:dyDescent="0.2">
      <c r="A449" s="140" t="str">
        <f t="shared" si="66"/>
        <v>Unmetered &amp; Scattered</v>
      </c>
      <c r="D449" s="174"/>
      <c r="E449" s="166"/>
      <c r="F449" s="167"/>
      <c r="G449" s="248">
        <f>IF($E431&gt;0, $E431, $E430)</f>
        <v>405</v>
      </c>
      <c r="H449" s="169">
        <f t="shared" si="64"/>
        <v>0</v>
      </c>
      <c r="I449" s="170"/>
      <c r="J449" s="248">
        <f>IF($E431&gt;0, $E431, $E430)</f>
        <v>405</v>
      </c>
      <c r="K449" s="169">
        <f t="shared" si="67"/>
        <v>0</v>
      </c>
      <c r="L449" s="172">
        <f t="shared" si="63"/>
        <v>0</v>
      </c>
      <c r="M449" s="173" t="str">
        <f t="shared" si="65"/>
        <v/>
      </c>
    </row>
    <row r="450" spans="1:13" x14ac:dyDescent="0.2">
      <c r="A450" s="140" t="str">
        <f t="shared" si="66"/>
        <v>Unmetered &amp; Scattered</v>
      </c>
      <c r="D450" s="174"/>
      <c r="E450" s="166"/>
      <c r="F450" s="167"/>
      <c r="G450" s="248">
        <f>IF($E431&gt;0, $E431, $E430)</f>
        <v>405</v>
      </c>
      <c r="H450" s="169">
        <f t="shared" si="64"/>
        <v>0</v>
      </c>
      <c r="I450" s="170"/>
      <c r="J450" s="248">
        <f>IF($E431&gt;0, $E431, $E430)</f>
        <v>405</v>
      </c>
      <c r="K450" s="169">
        <f t="shared" si="67"/>
        <v>0</v>
      </c>
      <c r="L450" s="172">
        <f t="shared" si="63"/>
        <v>0</v>
      </c>
      <c r="M450" s="173" t="str">
        <f t="shared" si="65"/>
        <v/>
      </c>
    </row>
    <row r="451" spans="1:13" x14ac:dyDescent="0.2">
      <c r="A451" s="140" t="str">
        <f t="shared" si="66"/>
        <v>Unmetered &amp; Scattered</v>
      </c>
      <c r="D451" s="174"/>
      <c r="E451" s="166"/>
      <c r="F451" s="167"/>
      <c r="G451" s="248">
        <f>IF($E431&gt;0, $E431, $E430)</f>
        <v>405</v>
      </c>
      <c r="H451" s="169">
        <f t="shared" si="64"/>
        <v>0</v>
      </c>
      <c r="I451" s="170"/>
      <c r="J451" s="248">
        <f>IF($E431&gt;0, $E431, $E430)</f>
        <v>405</v>
      </c>
      <c r="K451" s="169">
        <f t="shared" si="67"/>
        <v>0</v>
      </c>
      <c r="L451" s="172">
        <f t="shared" si="63"/>
        <v>0</v>
      </c>
      <c r="M451" s="173" t="str">
        <f t="shared" si="65"/>
        <v/>
      </c>
    </row>
    <row r="452" spans="1:13" x14ac:dyDescent="0.2">
      <c r="A452" s="140" t="str">
        <f t="shared" si="66"/>
        <v>Unmetered &amp; Scattered</v>
      </c>
      <c r="D452" s="174"/>
      <c r="E452" s="166"/>
      <c r="F452" s="167"/>
      <c r="G452" s="248">
        <f>IF($E431&gt;0, $E431, $E430)</f>
        <v>405</v>
      </c>
      <c r="H452" s="169">
        <f t="shared" si="64"/>
        <v>0</v>
      </c>
      <c r="I452" s="170"/>
      <c r="J452" s="248">
        <f>IF($E431&gt;0, $E431, $E430)</f>
        <v>405</v>
      </c>
      <c r="K452" s="169">
        <f t="shared" si="67"/>
        <v>0</v>
      </c>
      <c r="L452" s="172">
        <f t="shared" si="63"/>
        <v>0</v>
      </c>
      <c r="M452" s="173" t="str">
        <f t="shared" si="65"/>
        <v/>
      </c>
    </row>
    <row r="453" spans="1:13" x14ac:dyDescent="0.2">
      <c r="A453" s="140" t="str">
        <f t="shared" si="66"/>
        <v>Unmetered &amp; Scattered</v>
      </c>
      <c r="D453" s="174"/>
      <c r="E453" s="166"/>
      <c r="F453" s="167"/>
      <c r="G453" s="248">
        <f>IF($E431&gt;0, $E431, $E430)</f>
        <v>405</v>
      </c>
      <c r="H453" s="169">
        <f t="shared" si="64"/>
        <v>0</v>
      </c>
      <c r="I453" s="170"/>
      <c r="J453" s="248">
        <f>IF($E431&gt;0, $E431, $E430)</f>
        <v>405</v>
      </c>
      <c r="K453" s="169">
        <f t="shared" si="67"/>
        <v>0</v>
      </c>
      <c r="L453" s="172">
        <f t="shared" si="63"/>
        <v>0</v>
      </c>
      <c r="M453" s="173" t="str">
        <f t="shared" si="65"/>
        <v/>
      </c>
    </row>
    <row r="454" spans="1:13" x14ac:dyDescent="0.2">
      <c r="A454" s="140" t="str">
        <f t="shared" si="66"/>
        <v>Unmetered &amp; Scattered</v>
      </c>
      <c r="D454" s="174"/>
      <c r="E454" s="166"/>
      <c r="F454" s="167"/>
      <c r="G454" s="248">
        <f>IF($E431&gt;0, $E431, $E430)</f>
        <v>405</v>
      </c>
      <c r="H454" s="169">
        <f t="shared" si="64"/>
        <v>0</v>
      </c>
      <c r="I454" s="170"/>
      <c r="J454" s="248">
        <f>IF($E431&gt;0, $E431, $E430)</f>
        <v>405</v>
      </c>
      <c r="K454" s="169">
        <f t="shared" si="67"/>
        <v>0</v>
      </c>
      <c r="L454" s="172">
        <f t="shared" si="63"/>
        <v>0</v>
      </c>
      <c r="M454" s="173" t="str">
        <f t="shared" si="65"/>
        <v/>
      </c>
    </row>
    <row r="455" spans="1:13" x14ac:dyDescent="0.2">
      <c r="A455" s="140" t="str">
        <f t="shared" si="66"/>
        <v>Unmetered &amp; Scattered</v>
      </c>
      <c r="B455" s="338" t="s">
        <v>1891</v>
      </c>
      <c r="C455" s="337"/>
      <c r="D455" s="175" t="s">
        <v>617</v>
      </c>
      <c r="E455" s="176"/>
      <c r="F455" s="177"/>
      <c r="G455" s="178"/>
      <c r="H455" s="179">
        <f>SUM(H439:H454)</f>
        <v>15.523</v>
      </c>
      <c r="I455" s="180"/>
      <c r="J455" s="181"/>
      <c r="K455" s="179">
        <f>SUM(K439:K454)</f>
        <v>14.562999999999999</v>
      </c>
      <c r="L455" s="182">
        <f t="shared" si="63"/>
        <v>-0.96000000000000085</v>
      </c>
      <c r="M455" s="183">
        <f>IF((H455)=0,"",(L455/H455))</f>
        <v>-6.1843715776589633E-2</v>
      </c>
    </row>
    <row r="456" spans="1:13" ht="25.5" x14ac:dyDescent="0.2">
      <c r="A456" s="140" t="str">
        <f t="shared" si="66"/>
        <v>Unmetered &amp; Scattered</v>
      </c>
      <c r="D456" s="184" t="s">
        <v>29</v>
      </c>
      <c r="E456" s="166" t="s">
        <v>2366</v>
      </c>
      <c r="F456" s="167"/>
      <c r="G456" s="248">
        <f>IF($E431&gt;0, $E431, $E430)</f>
        <v>405</v>
      </c>
      <c r="H456" s="169">
        <f>G456*F456</f>
        <v>0</v>
      </c>
      <c r="I456" s="170">
        <v>3.3E-3</v>
      </c>
      <c r="J456" s="248">
        <f>IF($E431&gt;0, $E431, $E430)</f>
        <v>405</v>
      </c>
      <c r="K456" s="169">
        <f>J456*I456</f>
        <v>1.3365</v>
      </c>
      <c r="L456" s="172">
        <f t="shared" si="63"/>
        <v>1.3365</v>
      </c>
      <c r="M456" s="173">
        <v>1</v>
      </c>
    </row>
    <row r="457" spans="1:13" ht="25.5" x14ac:dyDescent="0.2">
      <c r="A457" s="140" t="str">
        <f t="shared" si="66"/>
        <v>Unmetered &amp; Scattered</v>
      </c>
      <c r="D457" s="184" t="s">
        <v>29</v>
      </c>
      <c r="E457" s="166" t="s">
        <v>2366</v>
      </c>
      <c r="F457" s="167"/>
      <c r="G457" s="248">
        <f>IF($E431&gt;0, $E431, $E430)</f>
        <v>405</v>
      </c>
      <c r="H457" s="169">
        <f t="shared" ref="H457:H461" si="68">G457*F457</f>
        <v>0</v>
      </c>
      <c r="I457" s="170">
        <v>-3.2000000000000002E-3</v>
      </c>
      <c r="J457" s="248">
        <f>IF($E431&gt;0, $E431, $E430)</f>
        <v>405</v>
      </c>
      <c r="K457" s="169">
        <f t="shared" ref="K457:K461" si="69">J457*I457</f>
        <v>-1.296</v>
      </c>
      <c r="L457" s="172">
        <f t="shared" si="63"/>
        <v>-1.296</v>
      </c>
      <c r="M457" s="173">
        <v>1</v>
      </c>
    </row>
    <row r="458" spans="1:13" x14ac:dyDescent="0.2">
      <c r="A458" s="140" t="str">
        <f t="shared" si="66"/>
        <v>Unmetered &amp; Scattered</v>
      </c>
      <c r="D458" s="184" t="s">
        <v>2367</v>
      </c>
      <c r="E458" s="166" t="s">
        <v>2366</v>
      </c>
      <c r="F458" s="167"/>
      <c r="G458" s="248">
        <f>IF($E431&gt;0, $E431, $E430)</f>
        <v>405</v>
      </c>
      <c r="H458" s="169">
        <f t="shared" si="68"/>
        <v>0</v>
      </c>
      <c r="I458" s="170">
        <v>1.9E-3</v>
      </c>
      <c r="J458" s="248">
        <f>IF($E431&gt;0, $E431, $E430)</f>
        <v>405</v>
      </c>
      <c r="K458" s="169">
        <f t="shared" si="69"/>
        <v>0.76949999999999996</v>
      </c>
      <c r="L458" s="172">
        <f t="shared" si="63"/>
        <v>0.76949999999999996</v>
      </c>
      <c r="M458" s="173">
        <v>1</v>
      </c>
    </row>
    <row r="459" spans="1:13" x14ac:dyDescent="0.2">
      <c r="A459" s="140" t="str">
        <f t="shared" si="66"/>
        <v>Unmetered &amp; Scattered</v>
      </c>
      <c r="D459" s="184" t="s">
        <v>2368</v>
      </c>
      <c r="E459" s="166" t="s">
        <v>2366</v>
      </c>
      <c r="F459" s="167"/>
      <c r="G459" s="248">
        <f>IF($E431&gt;0, $E431, $E430)</f>
        <v>405</v>
      </c>
      <c r="H459" s="169">
        <f t="shared" si="68"/>
        <v>0</v>
      </c>
      <c r="I459" s="170">
        <v>-1.9E-3</v>
      </c>
      <c r="J459" s="248">
        <f>IF($E431&gt;0, $E431, $E430)</f>
        <v>405</v>
      </c>
      <c r="K459" s="169">
        <f t="shared" si="69"/>
        <v>-0.76949999999999996</v>
      </c>
      <c r="L459" s="172">
        <f t="shared" si="63"/>
        <v>-0.76949999999999996</v>
      </c>
      <c r="M459" s="173"/>
    </row>
    <row r="460" spans="1:13" x14ac:dyDescent="0.2">
      <c r="A460" s="140" t="str">
        <f t="shared" si="66"/>
        <v>Unmetered &amp; Scattered</v>
      </c>
      <c r="D460" s="185" t="s">
        <v>605</v>
      </c>
      <c r="E460" s="166" t="s">
        <v>2366</v>
      </c>
      <c r="F460" s="167">
        <v>2.0000000000000001E-4</v>
      </c>
      <c r="G460" s="248">
        <f>IF($E431&gt;0, $E431, $E430)</f>
        <v>405</v>
      </c>
      <c r="H460" s="169">
        <f>G460*F460</f>
        <v>8.1000000000000003E-2</v>
      </c>
      <c r="I460" s="170">
        <v>5.9999999999999995E-4</v>
      </c>
      <c r="J460" s="248">
        <f>IF($E431&gt;0, $E431, $E430)</f>
        <v>405</v>
      </c>
      <c r="K460" s="169">
        <f>J460*I460</f>
        <v>0.24299999999999997</v>
      </c>
      <c r="L460" s="172">
        <f t="shared" si="63"/>
        <v>0.16199999999999998</v>
      </c>
      <c r="M460" s="173">
        <f t="shared" si="65"/>
        <v>1.9999999999999996</v>
      </c>
    </row>
    <row r="461" spans="1:13" x14ac:dyDescent="0.2">
      <c r="A461" s="140" t="str">
        <f t="shared" si="66"/>
        <v>Unmetered &amp; Scattered</v>
      </c>
      <c r="D461" s="185" t="s">
        <v>928</v>
      </c>
      <c r="E461" s="166"/>
      <c r="F461" s="186">
        <f>IF((E430*12&gt;=150000), 0, IF(E429="RPP",(F472*0.64+F473*0.18+F474*0.18),IF(E429="Non-RPP (Retailer)",F475,F476)))</f>
        <v>0.10214000000000001</v>
      </c>
      <c r="G461" s="249">
        <f>IF(F461=0, 0, $E430*E432-E430)</f>
        <v>14.661000000000001</v>
      </c>
      <c r="H461" s="169">
        <f t="shared" si="68"/>
        <v>1.4974745400000002</v>
      </c>
      <c r="I461" s="187">
        <f>IF((E430*12&gt;=150000), 0, IF(E429="RPP",(I472*0.64+I473*0.18+I474*0.18),IF(E429="Non-RPP (Retailer)",I475,I476)))</f>
        <v>0.10214000000000001</v>
      </c>
      <c r="J461" s="249">
        <f>IF(I461=0, 0, E430*E433-E430)</f>
        <v>15.187500000000057</v>
      </c>
      <c r="K461" s="169">
        <f t="shared" si="69"/>
        <v>1.551251250000006</v>
      </c>
      <c r="L461" s="172">
        <f t="shared" si="63"/>
        <v>5.3776710000005723E-2</v>
      </c>
      <c r="M461" s="173">
        <f t="shared" si="65"/>
        <v>3.5911602209948566E-2</v>
      </c>
    </row>
    <row r="462" spans="1:13" x14ac:dyDescent="0.2">
      <c r="A462" s="140" t="str">
        <f t="shared" si="66"/>
        <v>Unmetered &amp; Scattered</v>
      </c>
      <c r="D462" s="185" t="s">
        <v>562</v>
      </c>
      <c r="E462" s="166"/>
      <c r="F462" s="186"/>
      <c r="G462" s="168"/>
      <c r="H462" s="169">
        <f>G462*F462</f>
        <v>0</v>
      </c>
      <c r="I462" s="186"/>
      <c r="J462" s="168"/>
      <c r="K462" s="169">
        <f>J462*I462</f>
        <v>0</v>
      </c>
      <c r="L462" s="172">
        <f t="shared" si="63"/>
        <v>0</v>
      </c>
      <c r="M462" s="173" t="str">
        <f t="shared" si="65"/>
        <v/>
      </c>
    </row>
    <row r="463" spans="1:13" ht="25.5" x14ac:dyDescent="0.2">
      <c r="A463" s="140" t="str">
        <f t="shared" si="66"/>
        <v>Unmetered &amp; Scattered</v>
      </c>
      <c r="B463" s="158" t="s">
        <v>1892</v>
      </c>
      <c r="D463" s="188" t="s">
        <v>560</v>
      </c>
      <c r="E463" s="189"/>
      <c r="F463" s="190"/>
      <c r="G463" s="178"/>
      <c r="H463" s="191">
        <f>SUM(H456:H462)+H455</f>
        <v>17.101474539999998</v>
      </c>
      <c r="I463" s="178"/>
      <c r="J463" s="181"/>
      <c r="K463" s="191">
        <f>SUM(K456:K462)+K455</f>
        <v>16.397751250000006</v>
      </c>
      <c r="L463" s="182">
        <f t="shared" si="63"/>
        <v>-0.70372328999999212</v>
      </c>
      <c r="M463" s="183">
        <f>IF((H463)=0,"",(L463/H463))</f>
        <v>-4.1149860402621877E-2</v>
      </c>
    </row>
    <row r="464" spans="1:13" x14ac:dyDescent="0.2">
      <c r="A464" s="140" t="str">
        <f t="shared" si="66"/>
        <v>Unmetered &amp; Scattered</v>
      </c>
      <c r="D464" s="192" t="s">
        <v>30</v>
      </c>
      <c r="E464" s="193" t="s">
        <v>2366</v>
      </c>
      <c r="F464" s="170">
        <v>7.3000000000000001E-3</v>
      </c>
      <c r="G464" s="249">
        <f>IF($E431&gt;0, $E431, $E430*$E432)</f>
        <v>419.661</v>
      </c>
      <c r="H464" s="169">
        <f>G464*F464</f>
        <v>3.0635253000000002</v>
      </c>
      <c r="I464" s="170">
        <v>6.7000000000000002E-3</v>
      </c>
      <c r="J464" s="249">
        <f>IF($E431&gt;0, $E431, $E430*$E433)</f>
        <v>420.18750000000006</v>
      </c>
      <c r="K464" s="169">
        <f>J464*I464</f>
        <v>2.8152562500000005</v>
      </c>
      <c r="L464" s="172">
        <f t="shared" si="63"/>
        <v>-0.24826904999999977</v>
      </c>
      <c r="M464" s="173">
        <f t="shared" si="65"/>
        <v>-8.1040313262632349E-2</v>
      </c>
    </row>
    <row r="465" spans="1:13" ht="25.5" x14ac:dyDescent="0.2">
      <c r="A465" s="140" t="str">
        <f t="shared" si="66"/>
        <v>Unmetered &amp; Scattered</v>
      </c>
      <c r="D465" s="194" t="s">
        <v>31</v>
      </c>
      <c r="E465" s="193" t="s">
        <v>2366</v>
      </c>
      <c r="F465" s="170">
        <v>5.3E-3</v>
      </c>
      <c r="G465" s="249">
        <f>IF($E431&gt;0, $E431, $E430*$E432)</f>
        <v>419.661</v>
      </c>
      <c r="H465" s="169">
        <f>G465*F465</f>
        <v>2.2242033000000001</v>
      </c>
      <c r="I465" s="170">
        <v>5.3E-3</v>
      </c>
      <c r="J465" s="249">
        <f>IF($E431&gt;0, $E431, $E430*$E433)</f>
        <v>420.18750000000006</v>
      </c>
      <c r="K465" s="169">
        <f>J465*I465</f>
        <v>2.2269937500000001</v>
      </c>
      <c r="L465" s="172">
        <f t="shared" si="63"/>
        <v>2.7904499999999999E-3</v>
      </c>
      <c r="M465" s="173">
        <f t="shared" si="65"/>
        <v>1.2545840571318277E-3</v>
      </c>
    </row>
    <row r="466" spans="1:13" ht="25.5" x14ac:dyDescent="0.2">
      <c r="A466" s="140" t="str">
        <f t="shared" si="66"/>
        <v>Unmetered &amp; Scattered</v>
      </c>
      <c r="B466" s="158" t="s">
        <v>1893</v>
      </c>
      <c r="D466" s="188" t="s">
        <v>561</v>
      </c>
      <c r="E466" s="176"/>
      <c r="F466" s="195"/>
      <c r="G466" s="178"/>
      <c r="H466" s="191">
        <f>SUM(H463:H465)</f>
        <v>22.389203139999999</v>
      </c>
      <c r="I466" s="196"/>
      <c r="J466" s="197"/>
      <c r="K466" s="191">
        <f>SUM(K463:K465)</f>
        <v>21.440001250000009</v>
      </c>
      <c r="L466" s="182">
        <f t="shared" si="63"/>
        <v>-0.94920188999999056</v>
      </c>
      <c r="M466" s="183">
        <f>IF((H466)=0,"",(L466/H466))</f>
        <v>-4.2395519128779077E-2</v>
      </c>
    </row>
    <row r="467" spans="1:13" ht="25.5" x14ac:dyDescent="0.2">
      <c r="A467" s="140" t="str">
        <f t="shared" si="66"/>
        <v>Unmetered &amp; Scattered</v>
      </c>
      <c r="D467" s="198" t="s">
        <v>32</v>
      </c>
      <c r="E467" s="166" t="s">
        <v>2366</v>
      </c>
      <c r="F467" s="199">
        <v>4.4000000000000003E-3</v>
      </c>
      <c r="G467" s="249">
        <f>E430*E432</f>
        <v>419.661</v>
      </c>
      <c r="H467" s="200">
        <f t="shared" ref="H467:H474" si="70">G467*F467</f>
        <v>1.8465084</v>
      </c>
      <c r="I467" s="201">
        <v>3.5999999999999999E-3</v>
      </c>
      <c r="J467" s="249">
        <f>E430*E433</f>
        <v>420.18750000000006</v>
      </c>
      <c r="K467" s="200">
        <f t="shared" ref="K467:K474" si="71">J467*I467</f>
        <v>1.5126750000000002</v>
      </c>
      <c r="L467" s="172">
        <f t="shared" si="63"/>
        <v>-0.33383339999999984</v>
      </c>
      <c r="M467" s="173">
        <f t="shared" si="65"/>
        <v>-0.18079170395325569</v>
      </c>
    </row>
    <row r="468" spans="1:13" ht="25.5" x14ac:dyDescent="0.2">
      <c r="A468" s="140" t="str">
        <f t="shared" si="66"/>
        <v>Unmetered &amp; Scattered</v>
      </c>
      <c r="D468" s="198" t="s">
        <v>33</v>
      </c>
      <c r="E468" s="166" t="s">
        <v>2366</v>
      </c>
      <c r="F468" s="199">
        <v>1.2999999999999999E-3</v>
      </c>
      <c r="G468" s="249">
        <f>E430*E432</f>
        <v>419.661</v>
      </c>
      <c r="H468" s="200">
        <f t="shared" si="70"/>
        <v>0.54555929999999997</v>
      </c>
      <c r="I468" s="201">
        <v>1.2999999999999999E-3</v>
      </c>
      <c r="J468" s="249">
        <f>E430*E433</f>
        <v>420.18750000000006</v>
      </c>
      <c r="K468" s="200">
        <f t="shared" si="71"/>
        <v>0.54624375000000003</v>
      </c>
      <c r="L468" s="172">
        <f t="shared" si="63"/>
        <v>6.8445000000005862E-4</v>
      </c>
      <c r="M468" s="173">
        <f t="shared" si="65"/>
        <v>1.2545840571319355E-3</v>
      </c>
    </row>
    <row r="469" spans="1:13" x14ac:dyDescent="0.2">
      <c r="A469" s="140" t="str">
        <f t="shared" si="66"/>
        <v>Unmetered &amp; Scattered</v>
      </c>
      <c r="D469" s="165" t="s">
        <v>34</v>
      </c>
      <c r="E469" s="166" t="s">
        <v>2365</v>
      </c>
      <c r="F469" s="199">
        <v>0.25</v>
      </c>
      <c r="G469" s="168">
        <v>1</v>
      </c>
      <c r="H469" s="200">
        <f t="shared" si="70"/>
        <v>0.25</v>
      </c>
      <c r="I469" s="201">
        <v>0.25</v>
      </c>
      <c r="J469" s="171">
        <v>1</v>
      </c>
      <c r="K469" s="200">
        <f t="shared" si="71"/>
        <v>0.25</v>
      </c>
      <c r="L469" s="172">
        <f t="shared" si="63"/>
        <v>0</v>
      </c>
      <c r="M469" s="173">
        <f t="shared" si="65"/>
        <v>0</v>
      </c>
    </row>
    <row r="470" spans="1:13" x14ac:dyDescent="0.2">
      <c r="A470" s="140" t="str">
        <f t="shared" si="66"/>
        <v>Unmetered &amp; Scattered</v>
      </c>
      <c r="D470" s="165" t="s">
        <v>35</v>
      </c>
      <c r="E470" s="166" t="s">
        <v>2366</v>
      </c>
      <c r="F470" s="199">
        <v>7.0000000000000001E-3</v>
      </c>
      <c r="G470" s="248">
        <f>E430</f>
        <v>405</v>
      </c>
      <c r="H470" s="200">
        <f t="shared" si="70"/>
        <v>2.835</v>
      </c>
      <c r="I470" s="199">
        <v>7.0000000000000001E-3</v>
      </c>
      <c r="J470" s="202">
        <f>+J456</f>
        <v>405</v>
      </c>
      <c r="K470" s="200">
        <f t="shared" si="71"/>
        <v>2.835</v>
      </c>
      <c r="L470" s="202"/>
      <c r="M470" s="173">
        <f t="shared" si="65"/>
        <v>0</v>
      </c>
    </row>
    <row r="471" spans="1:13" ht="25.5" x14ac:dyDescent="0.2">
      <c r="A471" s="140" t="str">
        <f t="shared" si="66"/>
        <v>Unmetered &amp; Scattered</v>
      </c>
      <c r="D471" s="198" t="s">
        <v>1939</v>
      </c>
      <c r="E471" s="166" t="s">
        <v>2366</v>
      </c>
      <c r="F471" s="202"/>
      <c r="G471" s="202"/>
      <c r="H471" s="202"/>
      <c r="I471" s="201">
        <v>1.1000000000000001E-3</v>
      </c>
      <c r="J471" s="249">
        <f>E430*E433</f>
        <v>420.18750000000006</v>
      </c>
      <c r="K471" s="200">
        <f t="shared" ref="K471" si="72">J471*I471</f>
        <v>0.4622062500000001</v>
      </c>
      <c r="L471" s="172">
        <f t="shared" si="63"/>
        <v>0.4622062500000001</v>
      </c>
      <c r="M471" s="173">
        <v>1</v>
      </c>
    </row>
    <row r="472" spans="1:13" x14ac:dyDescent="0.2">
      <c r="A472" s="140" t="str">
        <f>A470</f>
        <v>Unmetered &amp; Scattered</v>
      </c>
      <c r="B472" s="158" t="s">
        <v>1871</v>
      </c>
      <c r="D472" s="185" t="s">
        <v>582</v>
      </c>
      <c r="E472" s="166"/>
      <c r="F472" s="203">
        <v>0.08</v>
      </c>
      <c r="G472" s="250">
        <f>IF(AND(E430*12&gt;=150000),0.64*E430*E432,0.64*E430)</f>
        <v>259.2</v>
      </c>
      <c r="H472" s="200">
        <f t="shared" si="70"/>
        <v>20.736000000000001</v>
      </c>
      <c r="I472" s="203">
        <v>0.08</v>
      </c>
      <c r="J472" s="250">
        <f>IF(AND(E430*12&gt;=150000),0.64*E430*E433,0.64*E430)</f>
        <v>259.2</v>
      </c>
      <c r="K472" s="200">
        <f t="shared" si="71"/>
        <v>20.736000000000001</v>
      </c>
      <c r="L472" s="172">
        <f>K472-H472</f>
        <v>0</v>
      </c>
      <c r="M472" s="173">
        <f t="shared" si="65"/>
        <v>0</v>
      </c>
    </row>
    <row r="473" spans="1:13" x14ac:dyDescent="0.2">
      <c r="A473" s="140" t="str">
        <f t="shared" si="66"/>
        <v>Unmetered &amp; Scattered</v>
      </c>
      <c r="B473" s="158" t="s">
        <v>1871</v>
      </c>
      <c r="D473" s="185" t="s">
        <v>583</v>
      </c>
      <c r="E473" s="166"/>
      <c r="F473" s="203">
        <v>0.122</v>
      </c>
      <c r="G473" s="250">
        <f>IF(AND(E430*12&gt;=150000),0.18*E430*E432,0.18*E430)</f>
        <v>72.899999999999991</v>
      </c>
      <c r="H473" s="200">
        <f t="shared" si="70"/>
        <v>8.8937999999999988</v>
      </c>
      <c r="I473" s="203">
        <v>0.122</v>
      </c>
      <c r="J473" s="250">
        <f>IF(AND(E430*12&gt;=150000),0.18*E430*E433,0.18*E430)</f>
        <v>72.899999999999991</v>
      </c>
      <c r="K473" s="200">
        <f t="shared" si="71"/>
        <v>8.8937999999999988</v>
      </c>
      <c r="L473" s="172">
        <f>K473-H473</f>
        <v>0</v>
      </c>
      <c r="M473" s="173">
        <f t="shared" si="65"/>
        <v>0</v>
      </c>
    </row>
    <row r="474" spans="1:13" ht="13.5" thickBot="1" x14ac:dyDescent="0.25">
      <c r="A474" s="140" t="str">
        <f t="shared" si="66"/>
        <v>Unmetered &amp; Scattered</v>
      </c>
      <c r="B474" s="158" t="s">
        <v>1871</v>
      </c>
      <c r="D474" s="158" t="s">
        <v>584</v>
      </c>
      <c r="E474" s="166"/>
      <c r="F474" s="203">
        <v>0.161</v>
      </c>
      <c r="G474" s="250">
        <f>IF(AND(E430*12&gt;=150000),0.18*E430*E432,0.18*E430)</f>
        <v>72.899999999999991</v>
      </c>
      <c r="H474" s="200">
        <f t="shared" si="70"/>
        <v>11.736899999999999</v>
      </c>
      <c r="I474" s="203">
        <v>0.161</v>
      </c>
      <c r="J474" s="250">
        <f>IF(AND(E430*12&gt;=150000),0.18*E430*E433,0.18*E430)</f>
        <v>72.899999999999991</v>
      </c>
      <c r="K474" s="200">
        <f t="shared" si="71"/>
        <v>11.736899999999999</v>
      </c>
      <c r="L474" s="172">
        <f>K474-H474</f>
        <v>0</v>
      </c>
      <c r="M474" s="173">
        <f t="shared" si="65"/>
        <v>0</v>
      </c>
    </row>
    <row r="475" spans="1:13" hidden="1" x14ac:dyDescent="0.2">
      <c r="A475" s="140" t="str">
        <f t="shared" si="66"/>
        <v>Unmetered &amp; Scattered</v>
      </c>
      <c r="B475" s="140" t="s">
        <v>1872</v>
      </c>
      <c r="D475" s="185" t="s">
        <v>1894</v>
      </c>
      <c r="E475" s="166"/>
      <c r="F475" s="203">
        <v>8.5999999999999993E-2</v>
      </c>
      <c r="G475" s="250">
        <f>IF(AND(E430*12&gt;=150000),E430*E432,E430)</f>
        <v>405</v>
      </c>
      <c r="H475" s="200">
        <f>G475*F475</f>
        <v>34.83</v>
      </c>
      <c r="I475" s="203">
        <v>8.5999999999999993E-2</v>
      </c>
      <c r="J475" s="250">
        <f>IF(AND(E430*12&gt;=150000),E430*E433,E430)</f>
        <v>405</v>
      </c>
      <c r="K475" s="200">
        <f>J475*I475</f>
        <v>34.83</v>
      </c>
      <c r="L475" s="172">
        <f>K475-H475</f>
        <v>0</v>
      </c>
      <c r="M475" s="173">
        <f t="shared" si="65"/>
        <v>0</v>
      </c>
    </row>
    <row r="476" spans="1:13" ht="13.5" hidden="1" thickBot="1" x14ac:dyDescent="0.25">
      <c r="A476" s="140" t="str">
        <f t="shared" si="66"/>
        <v>Unmetered &amp; Scattered</v>
      </c>
      <c r="B476" s="140" t="s">
        <v>1873</v>
      </c>
      <c r="D476" s="185" t="s">
        <v>1895</v>
      </c>
      <c r="E476" s="166"/>
      <c r="F476" s="199">
        <f>0.0906</f>
        <v>9.06E-2</v>
      </c>
      <c r="G476" s="251">
        <f>IF(AND(E430*12&gt;=150000),E430*E432,E430)</f>
        <v>405</v>
      </c>
      <c r="H476" s="200">
        <f>G476*F476</f>
        <v>36.692999999999998</v>
      </c>
      <c r="I476" s="199">
        <f>0.0906</f>
        <v>9.06E-2</v>
      </c>
      <c r="J476" s="251">
        <f>IF(AND(E430*12&gt;=150000),E430*E433,E430)</f>
        <v>405</v>
      </c>
      <c r="K476" s="200">
        <f>J476*I476</f>
        <v>36.692999999999998</v>
      </c>
      <c r="L476" s="172">
        <f>K476-H476</f>
        <v>0</v>
      </c>
      <c r="M476" s="173">
        <f t="shared" si="65"/>
        <v>0</v>
      </c>
    </row>
    <row r="477" spans="1:13" ht="13.5" thickBot="1" x14ac:dyDescent="0.25">
      <c r="A477" s="140" t="str">
        <f t="shared" si="66"/>
        <v>Unmetered &amp; Scattered</v>
      </c>
      <c r="B477" s="158"/>
      <c r="D477" s="204"/>
      <c r="E477" s="205"/>
      <c r="F477" s="206"/>
      <c r="G477" s="207"/>
      <c r="H477" s="208"/>
      <c r="I477" s="206"/>
      <c r="J477" s="209"/>
      <c r="K477" s="208"/>
      <c r="L477" s="210"/>
      <c r="M477" s="211"/>
    </row>
    <row r="478" spans="1:13" x14ac:dyDescent="0.2">
      <c r="A478" s="140" t="str">
        <f t="shared" si="66"/>
        <v>Unmetered &amp; Scattered</v>
      </c>
      <c r="B478" s="158" t="s">
        <v>1871</v>
      </c>
      <c r="D478" s="212" t="s">
        <v>585</v>
      </c>
      <c r="E478" s="165"/>
      <c r="F478" s="213"/>
      <c r="G478" s="214"/>
      <c r="H478" s="215">
        <f>SUM(H467:H474,H466)</f>
        <v>69.232970839999993</v>
      </c>
      <c r="I478" s="216"/>
      <c r="J478" s="216"/>
      <c r="K478" s="215">
        <f>SUM(K467:K474,K466)</f>
        <v>68.412826250000009</v>
      </c>
      <c r="L478" s="217">
        <f>K478-H478</f>
        <v>-0.82014458999998396</v>
      </c>
      <c r="M478" s="218">
        <f>IF((H478)=0,"",(L478/H478))</f>
        <v>-1.1846156246788385E-2</v>
      </c>
    </row>
    <row r="479" spans="1:13" x14ac:dyDescent="0.2">
      <c r="A479" s="140" t="str">
        <f t="shared" si="66"/>
        <v>Unmetered &amp; Scattered</v>
      </c>
      <c r="B479" s="158" t="s">
        <v>1871</v>
      </c>
      <c r="D479" s="219" t="s">
        <v>36</v>
      </c>
      <c r="E479" s="165"/>
      <c r="F479" s="213">
        <v>0.13</v>
      </c>
      <c r="G479" s="220"/>
      <c r="H479" s="221">
        <f>H478*F479</f>
        <v>9.0002862091999987</v>
      </c>
      <c r="I479" s="222">
        <v>0.13</v>
      </c>
      <c r="J479" s="223"/>
      <c r="K479" s="221">
        <f>K478*I479</f>
        <v>8.893667412500001</v>
      </c>
      <c r="L479" s="224">
        <f>K479-H479</f>
        <v>-0.10661879669999763</v>
      </c>
      <c r="M479" s="225">
        <f>IF((H479)=0,"",(L479/H479))</f>
        <v>-1.1846156246788354E-2</v>
      </c>
    </row>
    <row r="480" spans="1:13" x14ac:dyDescent="0.2">
      <c r="A480" s="140" t="str">
        <f t="shared" si="66"/>
        <v>Unmetered &amp; Scattered</v>
      </c>
      <c r="B480" s="158" t="s">
        <v>1871</v>
      </c>
      <c r="D480" s="226" t="s">
        <v>586</v>
      </c>
      <c r="E480" s="165"/>
      <c r="F480" s="227"/>
      <c r="G480" s="220"/>
      <c r="H480" s="221">
        <f>H478+H479</f>
        <v>78.233257049199992</v>
      </c>
      <c r="I480" s="223"/>
      <c r="J480" s="223"/>
      <c r="K480" s="221">
        <f>K478+K479</f>
        <v>77.306493662500003</v>
      </c>
      <c r="L480" s="224">
        <f>K480-H480</f>
        <v>-0.9267633866999887</v>
      </c>
      <c r="M480" s="225">
        <f>IF((H480)=0,"",(L480/H480))</f>
        <v>-1.1846156246788472E-2</v>
      </c>
    </row>
    <row r="481" spans="1:13" x14ac:dyDescent="0.2">
      <c r="A481" s="140" t="str">
        <f t="shared" si="66"/>
        <v>Unmetered &amp; Scattered</v>
      </c>
      <c r="B481" s="158" t="s">
        <v>1871</v>
      </c>
      <c r="D481" s="2465" t="s">
        <v>264</v>
      </c>
      <c r="E481" s="2465"/>
      <c r="F481" s="227"/>
      <c r="G481" s="220"/>
      <c r="H481" s="228"/>
      <c r="I481" s="202"/>
      <c r="J481" s="202"/>
      <c r="K481" s="202"/>
      <c r="L481" s="202"/>
      <c r="M481" s="229"/>
    </row>
    <row r="482" spans="1:13" ht="13.5" thickBot="1" x14ac:dyDescent="0.25">
      <c r="A482" s="140" t="str">
        <f t="shared" si="66"/>
        <v>Unmetered &amp; Scattered</v>
      </c>
      <c r="B482" s="158" t="s">
        <v>1896</v>
      </c>
      <c r="D482" s="2466" t="s">
        <v>1897</v>
      </c>
      <c r="E482" s="2466"/>
      <c r="F482" s="230"/>
      <c r="G482" s="231"/>
      <c r="H482" s="232">
        <f>H480+H481</f>
        <v>78.233257049199992</v>
      </c>
      <c r="I482" s="233"/>
      <c r="J482" s="233"/>
      <c r="K482" s="232">
        <f>K480+K481</f>
        <v>77.306493662500003</v>
      </c>
      <c r="L482" s="234">
        <f>K482-H482</f>
        <v>-0.9267633866999887</v>
      </c>
      <c r="M482" s="235">
        <f>IF((H482)=0,"",(L482/H482))</f>
        <v>-1.1846156246788472E-2</v>
      </c>
    </row>
    <row r="483" spans="1:13" ht="13.5" thickBot="1" x14ac:dyDescent="0.25">
      <c r="A483" s="140" t="str">
        <f t="shared" si="66"/>
        <v>Unmetered &amp; Scattered</v>
      </c>
      <c r="B483" s="140" t="s">
        <v>1871</v>
      </c>
      <c r="D483" s="204"/>
      <c r="E483" s="205"/>
      <c r="F483" s="206"/>
      <c r="G483" s="207"/>
      <c r="H483" s="208"/>
      <c r="I483" s="206"/>
      <c r="J483" s="209"/>
      <c r="K483" s="208"/>
      <c r="L483" s="210"/>
      <c r="M483" s="211"/>
    </row>
    <row r="484" spans="1:13" hidden="1" x14ac:dyDescent="0.2">
      <c r="A484" s="140" t="str">
        <f t="shared" si="66"/>
        <v>Unmetered &amp; Scattered</v>
      </c>
      <c r="B484" s="140" t="s">
        <v>1872</v>
      </c>
      <c r="D484" s="212" t="s">
        <v>1898</v>
      </c>
      <c r="E484" s="165"/>
      <c r="F484" s="213"/>
      <c r="G484" s="214"/>
      <c r="H484" s="215">
        <f>SUM(H475,H466,H467:H472)</f>
        <v>83.432270840000001</v>
      </c>
      <c r="I484" s="216"/>
      <c r="J484" s="216"/>
      <c r="K484" s="215">
        <f>SUM(K475,K466,K467:K472)</f>
        <v>82.612126250000017</v>
      </c>
      <c r="L484" s="217">
        <f>K484-H484</f>
        <v>-0.82014458999998396</v>
      </c>
      <c r="M484" s="218">
        <f>IF((H484)=0,"",(L484/H484))</f>
        <v>-9.8300643353312796E-3</v>
      </c>
    </row>
    <row r="485" spans="1:13" hidden="1" x14ac:dyDescent="0.2">
      <c r="A485" s="140" t="str">
        <f t="shared" si="66"/>
        <v>Unmetered &amp; Scattered</v>
      </c>
      <c r="B485" s="140" t="s">
        <v>1872</v>
      </c>
      <c r="D485" s="219" t="s">
        <v>36</v>
      </c>
      <c r="E485" s="165"/>
      <c r="F485" s="213">
        <v>0.13</v>
      </c>
      <c r="G485" s="214"/>
      <c r="H485" s="221">
        <f>H484*F485</f>
        <v>10.846195209200001</v>
      </c>
      <c r="I485" s="236">
        <v>0.13</v>
      </c>
      <c r="J485" s="222"/>
      <c r="K485" s="221">
        <f>K484*I485</f>
        <v>10.739576412500002</v>
      </c>
      <c r="L485" s="224">
        <f>K485-H485</f>
        <v>-0.10661879669999941</v>
      </c>
      <c r="M485" s="225">
        <f>IF((H485)=0,"",(L485/H485))</f>
        <v>-9.8300643353314166E-3</v>
      </c>
    </row>
    <row r="486" spans="1:13" hidden="1" x14ac:dyDescent="0.2">
      <c r="A486" s="140" t="str">
        <f t="shared" si="66"/>
        <v>Unmetered &amp; Scattered</v>
      </c>
      <c r="B486" s="140" t="s">
        <v>1872</v>
      </c>
      <c r="D486" s="226" t="s">
        <v>586</v>
      </c>
      <c r="E486" s="165"/>
      <c r="F486" s="227"/>
      <c r="G486" s="220"/>
      <c r="H486" s="221">
        <f>H484+H485</f>
        <v>94.278466049200006</v>
      </c>
      <c r="I486" s="223"/>
      <c r="J486" s="223"/>
      <c r="K486" s="221">
        <f>K484+K485</f>
        <v>93.351702662500017</v>
      </c>
      <c r="L486" s="224">
        <f>K486-H486</f>
        <v>-0.9267633866999887</v>
      </c>
      <c r="M486" s="225">
        <f>IF((H486)=0,"",(L486/H486))</f>
        <v>-9.8300643353313524E-3</v>
      </c>
    </row>
    <row r="487" spans="1:13" hidden="1" x14ac:dyDescent="0.2">
      <c r="A487" s="140" t="str">
        <f t="shared" si="66"/>
        <v>Unmetered &amp; Scattered</v>
      </c>
      <c r="B487" s="140" t="s">
        <v>1872</v>
      </c>
      <c r="D487" s="2465" t="s">
        <v>264</v>
      </c>
      <c r="E487" s="2465"/>
      <c r="F487" s="227"/>
      <c r="G487" s="220"/>
      <c r="H487" s="228">
        <f>ROUND(-H486*10%,2)</f>
        <v>-9.43</v>
      </c>
      <c r="I487" s="202"/>
      <c r="J487" s="202"/>
      <c r="K487" s="202"/>
      <c r="L487" s="202"/>
      <c r="M487" s="229"/>
    </row>
    <row r="488" spans="1:13" ht="13.5" hidden="1" thickBot="1" x14ac:dyDescent="0.25">
      <c r="A488" s="140" t="str">
        <f t="shared" si="66"/>
        <v>Unmetered &amp; Scattered</v>
      </c>
      <c r="B488" s="140" t="s">
        <v>1899</v>
      </c>
      <c r="D488" s="2466" t="s">
        <v>1898</v>
      </c>
      <c r="E488" s="2466"/>
      <c r="F488" s="237"/>
      <c r="G488" s="238"/>
      <c r="H488" s="239">
        <f>SUM(H486:H487)</f>
        <v>84.848466049199999</v>
      </c>
      <c r="I488" s="240"/>
      <c r="J488" s="240"/>
      <c r="K488" s="239">
        <f>SUM(K486:K487)</f>
        <v>93.351702662500017</v>
      </c>
      <c r="L488" s="241">
        <f>K488-H488</f>
        <v>8.5032366133000181</v>
      </c>
      <c r="M488" s="242">
        <f>IF((H488)=0,"",(L488/H488))</f>
        <v>0.10021673943250023</v>
      </c>
    </row>
    <row r="489" spans="1:13" ht="13.5" hidden="1" thickBot="1" x14ac:dyDescent="0.25">
      <c r="A489" s="140" t="str">
        <f t="shared" si="66"/>
        <v>Unmetered &amp; Scattered</v>
      </c>
      <c r="B489" s="140" t="s">
        <v>1872</v>
      </c>
      <c r="D489" s="204"/>
      <c r="E489" s="205"/>
      <c r="F489" s="243"/>
      <c r="G489" s="244"/>
      <c r="H489" s="245"/>
      <c r="I489" s="243"/>
      <c r="J489" s="207"/>
      <c r="K489" s="245"/>
      <c r="L489" s="246"/>
      <c r="M489" s="211"/>
    </row>
    <row r="490" spans="1:13" hidden="1" x14ac:dyDescent="0.2">
      <c r="A490" s="140" t="str">
        <f t="shared" si="66"/>
        <v>Unmetered &amp; Scattered</v>
      </c>
      <c r="B490" s="140" t="s">
        <v>1873</v>
      </c>
      <c r="D490" s="212" t="s">
        <v>1900</v>
      </c>
      <c r="E490" s="165"/>
      <c r="F490" s="213"/>
      <c r="G490" s="214"/>
      <c r="H490" s="215">
        <f>SUM(H476,H466:H470)</f>
        <v>64.559270839999996</v>
      </c>
      <c r="I490" s="216"/>
      <c r="J490" s="216"/>
      <c r="K490" s="215">
        <f>SUM(K476,K466:K470)</f>
        <v>63.276920000000011</v>
      </c>
      <c r="L490" s="217">
        <f>K490-H490</f>
        <v>-1.2823508399999852</v>
      </c>
      <c r="M490" s="218">
        <f>IF((H490)=0,"",(L490/H490))</f>
        <v>-1.9863155567201033E-2</v>
      </c>
    </row>
    <row r="491" spans="1:13" hidden="1" x14ac:dyDescent="0.2">
      <c r="A491" s="140" t="str">
        <f t="shared" si="66"/>
        <v>Unmetered &amp; Scattered</v>
      </c>
      <c r="B491" s="140" t="s">
        <v>1873</v>
      </c>
      <c r="D491" s="219" t="s">
        <v>36</v>
      </c>
      <c r="E491" s="165"/>
      <c r="F491" s="213">
        <v>0.13</v>
      </c>
      <c r="G491" s="214"/>
      <c r="H491" s="221">
        <f>H490*F491</f>
        <v>8.392705209199999</v>
      </c>
      <c r="I491" s="236">
        <v>0.13</v>
      </c>
      <c r="J491" s="222"/>
      <c r="K491" s="221">
        <f>K490*I491</f>
        <v>8.2259996000000015</v>
      </c>
      <c r="L491" s="224">
        <f>K491-H491</f>
        <v>-0.16670560919999744</v>
      </c>
      <c r="M491" s="225">
        <f>IF((H491)=0,"",(L491/H491))</f>
        <v>-1.9863155567200957E-2</v>
      </c>
    </row>
    <row r="492" spans="1:13" hidden="1" x14ac:dyDescent="0.2">
      <c r="A492" s="140" t="str">
        <f t="shared" si="66"/>
        <v>Unmetered &amp; Scattered</v>
      </c>
      <c r="B492" s="140" t="s">
        <v>1873</v>
      </c>
      <c r="D492" s="226" t="s">
        <v>586</v>
      </c>
      <c r="E492" s="165"/>
      <c r="F492" s="227"/>
      <c r="G492" s="220"/>
      <c r="H492" s="221">
        <f>H490+H491</f>
        <v>72.951976049199999</v>
      </c>
      <c r="I492" s="223"/>
      <c r="J492" s="223"/>
      <c r="K492" s="221">
        <f>K490+K491</f>
        <v>71.502919600000013</v>
      </c>
      <c r="L492" s="224">
        <f>K492-H492</f>
        <v>-1.4490564491999862</v>
      </c>
      <c r="M492" s="225">
        <f>IF((H492)=0,"",(L492/H492))</f>
        <v>-1.9863155567201071E-2</v>
      </c>
    </row>
    <row r="493" spans="1:13" hidden="1" x14ac:dyDescent="0.2">
      <c r="A493" s="140" t="str">
        <f t="shared" si="66"/>
        <v>Unmetered &amp; Scattered</v>
      </c>
      <c r="B493" s="140" t="s">
        <v>1873</v>
      </c>
      <c r="D493" s="2465" t="s">
        <v>264</v>
      </c>
      <c r="E493" s="2465"/>
      <c r="F493" s="227"/>
      <c r="G493" s="220"/>
      <c r="H493" s="228">
        <f>IF(E434="Yes", ROUND(-H492*10%,2), 0)</f>
        <v>0</v>
      </c>
      <c r="I493" s="202"/>
      <c r="J493" s="202"/>
      <c r="K493" s="202"/>
      <c r="L493" s="202"/>
      <c r="M493" s="229"/>
    </row>
    <row r="494" spans="1:13" ht="13.5" hidden="1" thickBot="1" x14ac:dyDescent="0.25">
      <c r="A494" s="140" t="str">
        <f t="shared" si="66"/>
        <v>Unmetered &amp; Scattered</v>
      </c>
      <c r="B494" s="140" t="s">
        <v>1901</v>
      </c>
      <c r="D494" s="2466" t="s">
        <v>1900</v>
      </c>
      <c r="E494" s="2466"/>
      <c r="F494" s="237"/>
      <c r="G494" s="238"/>
      <c r="H494" s="239">
        <f>SUM(H492:H493)</f>
        <v>72.951976049199999</v>
      </c>
      <c r="I494" s="240"/>
      <c r="J494" s="240"/>
      <c r="K494" s="239">
        <f>SUM(K492:K493)</f>
        <v>71.502919600000013</v>
      </c>
      <c r="L494" s="241">
        <f>K494-H494</f>
        <v>-1.4490564491999862</v>
      </c>
      <c r="M494" s="242">
        <f>IF((H494)=0,"",(L494/H494))</f>
        <v>-1.9863155567201071E-2</v>
      </c>
    </row>
    <row r="495" spans="1:13" ht="13.5" hidden="1" thickBot="1" x14ac:dyDescent="0.25">
      <c r="A495" s="140" t="str">
        <f t="shared" si="66"/>
        <v>Unmetered &amp; Scattered</v>
      </c>
      <c r="B495" s="140" t="s">
        <v>1873</v>
      </c>
      <c r="D495" s="204"/>
      <c r="E495" s="205"/>
      <c r="F495" s="243"/>
      <c r="G495" s="244"/>
      <c r="H495" s="245"/>
      <c r="I495" s="243"/>
      <c r="J495" s="207"/>
      <c r="K495" s="245"/>
      <c r="L495" s="246"/>
      <c r="M495" s="211"/>
    </row>
    <row r="498" spans="1:20" x14ac:dyDescent="0.2">
      <c r="D498" s="1315" t="s">
        <v>37</v>
      </c>
      <c r="E498" s="2467" t="str">
        <f>D36</f>
        <v>Sentinel</v>
      </c>
      <c r="F498" s="2467"/>
      <c r="G498" s="2467"/>
      <c r="H498" s="1316"/>
      <c r="I498" s="1316"/>
      <c r="T498" s="140" t="s">
        <v>2364</v>
      </c>
    </row>
    <row r="499" spans="1:20" x14ac:dyDescent="0.2">
      <c r="D499" s="1315" t="s">
        <v>1887</v>
      </c>
      <c r="E499" s="2467" t="str">
        <f>H36</f>
        <v>RPP</v>
      </c>
      <c r="F499" s="2467"/>
      <c r="G499" s="2467"/>
      <c r="H499" s="1316"/>
      <c r="I499" s="1316"/>
    </row>
    <row r="500" spans="1:20" ht="15.75" x14ac:dyDescent="0.2">
      <c r="D500" s="1315" t="s">
        <v>14</v>
      </c>
      <c r="E500" s="1802">
        <v>50</v>
      </c>
      <c r="F500" s="334" t="s">
        <v>110</v>
      </c>
      <c r="G500" s="158"/>
      <c r="J500" s="1318"/>
      <c r="K500" s="1318"/>
      <c r="L500" s="1318"/>
      <c r="M500" s="1318"/>
    </row>
    <row r="501" spans="1:20" ht="15.75" x14ac:dyDescent="0.25">
      <c r="D501" s="1315" t="s">
        <v>1888</v>
      </c>
      <c r="E501" s="1802">
        <v>1</v>
      </c>
      <c r="F501" s="757" t="s">
        <v>111</v>
      </c>
      <c r="G501" s="498"/>
      <c r="H501" s="435"/>
      <c r="I501" s="435"/>
      <c r="J501" s="435"/>
    </row>
    <row r="502" spans="1:20" x14ac:dyDescent="0.2">
      <c r="D502" s="1315" t="s">
        <v>1889</v>
      </c>
      <c r="E502" s="1319">
        <f>J36</f>
        <v>1.0362</v>
      </c>
    </row>
    <row r="503" spans="1:20" x14ac:dyDescent="0.2">
      <c r="D503" s="1315" t="s">
        <v>1890</v>
      </c>
      <c r="E503" s="1319">
        <f>K36</f>
        <v>1.0375000000000001</v>
      </c>
    </row>
    <row r="504" spans="1:20" x14ac:dyDescent="0.2">
      <c r="D504" s="334" t="s">
        <v>1976</v>
      </c>
      <c r="E504" s="1521" t="str">
        <f>I36</f>
        <v>No</v>
      </c>
    </row>
    <row r="505" spans="1:20" x14ac:dyDescent="0.2">
      <c r="D505" s="158"/>
    </row>
    <row r="506" spans="1:20" x14ac:dyDescent="0.2">
      <c r="D506" s="158"/>
      <c r="E506" s="159"/>
      <c r="F506" s="2468" t="s">
        <v>15</v>
      </c>
      <c r="G506" s="2469"/>
      <c r="H506" s="2470"/>
      <c r="I506" s="2468" t="s">
        <v>16</v>
      </c>
      <c r="J506" s="2469"/>
      <c r="K506" s="2470"/>
      <c r="L506" s="2468" t="s">
        <v>17</v>
      </c>
      <c r="M506" s="2470"/>
    </row>
    <row r="507" spans="1:20" x14ac:dyDescent="0.2">
      <c r="D507" s="158"/>
      <c r="E507" s="2459" t="s">
        <v>18</v>
      </c>
      <c r="F507" s="160" t="s">
        <v>19</v>
      </c>
      <c r="G507" s="160" t="s">
        <v>20</v>
      </c>
      <c r="H507" s="161" t="s">
        <v>21</v>
      </c>
      <c r="I507" s="160" t="s">
        <v>19</v>
      </c>
      <c r="J507" s="162" t="s">
        <v>20</v>
      </c>
      <c r="K507" s="161" t="s">
        <v>21</v>
      </c>
      <c r="L507" s="2461" t="s">
        <v>22</v>
      </c>
      <c r="M507" s="2463" t="s">
        <v>23</v>
      </c>
    </row>
    <row r="508" spans="1:20" x14ac:dyDescent="0.2">
      <c r="D508" s="158"/>
      <c r="E508" s="2460"/>
      <c r="F508" s="163" t="s">
        <v>402</v>
      </c>
      <c r="G508" s="163"/>
      <c r="H508" s="164" t="s">
        <v>402</v>
      </c>
      <c r="I508" s="163" t="s">
        <v>402</v>
      </c>
      <c r="J508" s="164"/>
      <c r="K508" s="164" t="s">
        <v>402</v>
      </c>
      <c r="L508" s="2462"/>
      <c r="M508" s="2464"/>
    </row>
    <row r="509" spans="1:20" x14ac:dyDescent="0.2">
      <c r="A509" s="140" t="str">
        <f>$E498</f>
        <v>Sentinel</v>
      </c>
      <c r="D509" s="165" t="s">
        <v>24</v>
      </c>
      <c r="E509" s="166" t="s">
        <v>2365</v>
      </c>
      <c r="F509" s="167">
        <v>2.4300000000000002</v>
      </c>
      <c r="G509" s="168">
        <v>1</v>
      </c>
      <c r="H509" s="169">
        <f>G509*F509</f>
        <v>2.4300000000000002</v>
      </c>
      <c r="I509" s="170">
        <v>5.31</v>
      </c>
      <c r="J509" s="171">
        <v>1</v>
      </c>
      <c r="K509" s="169">
        <f>J509*I509</f>
        <v>5.31</v>
      </c>
      <c r="L509" s="172">
        <f t="shared" ref="L509:L541" si="73">K509-H509</f>
        <v>2.8799999999999994</v>
      </c>
      <c r="M509" s="173">
        <f>IF(ISERROR(L509/H509), "", L509/H509)</f>
        <v>1.1851851851851849</v>
      </c>
    </row>
    <row r="510" spans="1:20" x14ac:dyDescent="0.2">
      <c r="A510" s="140" t="str">
        <f>A509</f>
        <v>Sentinel</v>
      </c>
      <c r="D510" s="165" t="s">
        <v>25</v>
      </c>
      <c r="E510" s="166"/>
      <c r="F510" s="167"/>
      <c r="G510" s="168">
        <v>1</v>
      </c>
      <c r="H510" s="169">
        <f t="shared" ref="H510:H524" si="74">G510*F510</f>
        <v>0</v>
      </c>
      <c r="I510" s="170"/>
      <c r="J510" s="171">
        <v>1</v>
      </c>
      <c r="K510" s="169">
        <f>J510*I510</f>
        <v>0</v>
      </c>
      <c r="L510" s="172">
        <f t="shared" si="73"/>
        <v>0</v>
      </c>
      <c r="M510" s="173" t="str">
        <f t="shared" ref="M510:M546" si="75">IF(ISERROR(L510/H510), "", L510/H510)</f>
        <v/>
      </c>
    </row>
    <row r="511" spans="1:20" x14ac:dyDescent="0.2">
      <c r="A511" s="140" t="str">
        <f t="shared" ref="A511:A565" si="76">A510</f>
        <v>Sentinel</v>
      </c>
      <c r="D511" s="174" t="s">
        <v>2375</v>
      </c>
      <c r="E511" s="166" t="s">
        <v>2365</v>
      </c>
      <c r="F511" s="167">
        <v>0.15</v>
      </c>
      <c r="G511" s="168">
        <v>1</v>
      </c>
      <c r="H511" s="169">
        <f t="shared" si="74"/>
        <v>0.15</v>
      </c>
      <c r="I511" s="170"/>
      <c r="J511" s="171">
        <v>1</v>
      </c>
      <c r="K511" s="169">
        <f t="shared" ref="K511:K524" si="77">J511*I511</f>
        <v>0</v>
      </c>
      <c r="L511" s="172">
        <f t="shared" si="73"/>
        <v>-0.15</v>
      </c>
      <c r="M511" s="173">
        <f t="shared" si="75"/>
        <v>-1</v>
      </c>
    </row>
    <row r="512" spans="1:20" x14ac:dyDescent="0.2">
      <c r="A512" s="140" t="str">
        <f t="shared" si="76"/>
        <v>Sentinel</v>
      </c>
      <c r="D512" s="174"/>
      <c r="E512" s="166"/>
      <c r="F512" s="167"/>
      <c r="G512" s="168">
        <v>1</v>
      </c>
      <c r="H512" s="169">
        <f t="shared" si="74"/>
        <v>0</v>
      </c>
      <c r="I512" s="170"/>
      <c r="J512" s="171">
        <v>1</v>
      </c>
      <c r="K512" s="169">
        <f t="shared" si="77"/>
        <v>0</v>
      </c>
      <c r="L512" s="172">
        <f t="shared" si="73"/>
        <v>0</v>
      </c>
      <c r="M512" s="173" t="str">
        <f t="shared" si="75"/>
        <v/>
      </c>
    </row>
    <row r="513" spans="1:13" x14ac:dyDescent="0.2">
      <c r="A513" s="140" t="str">
        <f t="shared" si="76"/>
        <v>Sentinel</v>
      </c>
      <c r="D513" s="174"/>
      <c r="E513" s="166"/>
      <c r="F513" s="167"/>
      <c r="G513" s="168">
        <v>1</v>
      </c>
      <c r="H513" s="169">
        <f t="shared" si="74"/>
        <v>0</v>
      </c>
      <c r="I513" s="170"/>
      <c r="J513" s="171">
        <v>1</v>
      </c>
      <c r="K513" s="169">
        <f t="shared" si="77"/>
        <v>0</v>
      </c>
      <c r="L513" s="172">
        <f t="shared" si="73"/>
        <v>0</v>
      </c>
      <c r="M513" s="173" t="str">
        <f t="shared" si="75"/>
        <v/>
      </c>
    </row>
    <row r="514" spans="1:13" x14ac:dyDescent="0.2">
      <c r="A514" s="140" t="str">
        <f t="shared" si="76"/>
        <v>Sentinel</v>
      </c>
      <c r="D514" s="174"/>
      <c r="E514" s="166"/>
      <c r="F514" s="167"/>
      <c r="G514" s="168">
        <v>1</v>
      </c>
      <c r="H514" s="169">
        <f t="shared" si="74"/>
        <v>0</v>
      </c>
      <c r="I514" s="170"/>
      <c r="J514" s="171">
        <v>1</v>
      </c>
      <c r="K514" s="169">
        <f t="shared" si="77"/>
        <v>0</v>
      </c>
      <c r="L514" s="172">
        <f t="shared" si="73"/>
        <v>0</v>
      </c>
      <c r="M514" s="173" t="str">
        <f t="shared" si="75"/>
        <v/>
      </c>
    </row>
    <row r="515" spans="1:13" x14ac:dyDescent="0.2">
      <c r="A515" s="140" t="str">
        <f t="shared" si="76"/>
        <v>Sentinel</v>
      </c>
      <c r="D515" s="165" t="s">
        <v>26</v>
      </c>
      <c r="E515" s="166" t="s">
        <v>2372</v>
      </c>
      <c r="F515" s="167">
        <v>18.465599999999998</v>
      </c>
      <c r="G515" s="248">
        <f>IF($E501&gt;0, $E501, $E500)</f>
        <v>1</v>
      </c>
      <c r="H515" s="169">
        <f t="shared" si="74"/>
        <v>18.465599999999998</v>
      </c>
      <c r="I515" s="170">
        <v>40.366799999999998</v>
      </c>
      <c r="J515" s="248">
        <f>IF($E501&gt;0, $E501, $E500)</f>
        <v>1</v>
      </c>
      <c r="K515" s="169">
        <f t="shared" si="77"/>
        <v>40.366799999999998</v>
      </c>
      <c r="L515" s="172">
        <f t="shared" si="73"/>
        <v>21.901199999999999</v>
      </c>
      <c r="M515" s="173">
        <f t="shared" si="75"/>
        <v>1.1860540681050169</v>
      </c>
    </row>
    <row r="516" spans="1:13" x14ac:dyDescent="0.2">
      <c r="A516" s="140" t="str">
        <f t="shared" si="76"/>
        <v>Sentinel</v>
      </c>
      <c r="D516" s="165" t="s">
        <v>27</v>
      </c>
      <c r="E516" s="166"/>
      <c r="F516" s="167"/>
      <c r="G516" s="248">
        <f>IF($E501&gt;0, $E501, $E500)</f>
        <v>1</v>
      </c>
      <c r="H516" s="169">
        <f t="shared" si="74"/>
        <v>0</v>
      </c>
      <c r="I516" s="170"/>
      <c r="J516" s="248">
        <f>IF($E501&gt;0, $E501, $E500)</f>
        <v>1</v>
      </c>
      <c r="K516" s="169">
        <f t="shared" si="77"/>
        <v>0</v>
      </c>
      <c r="L516" s="172">
        <f t="shared" si="73"/>
        <v>0</v>
      </c>
      <c r="M516" s="173" t="str">
        <f t="shared" si="75"/>
        <v/>
      </c>
    </row>
    <row r="517" spans="1:13" x14ac:dyDescent="0.2">
      <c r="A517" s="140" t="str">
        <f t="shared" si="76"/>
        <v>Sentinel</v>
      </c>
      <c r="D517" s="165" t="s">
        <v>28</v>
      </c>
      <c r="E517" s="166" t="s">
        <v>2372</v>
      </c>
      <c r="F517" s="167"/>
      <c r="G517" s="248">
        <f>IF($E501&gt;0, $E501, $E500)</f>
        <v>1</v>
      </c>
      <c r="H517" s="169">
        <f t="shared" si="74"/>
        <v>0</v>
      </c>
      <c r="I517" s="170">
        <v>0</v>
      </c>
      <c r="J517" s="248">
        <f>IF($E501&gt;0, $E501, $E500)</f>
        <v>1</v>
      </c>
      <c r="K517" s="169">
        <f t="shared" si="77"/>
        <v>0</v>
      </c>
      <c r="L517" s="172">
        <f t="shared" si="73"/>
        <v>0</v>
      </c>
      <c r="M517" s="173" t="str">
        <f t="shared" si="75"/>
        <v/>
      </c>
    </row>
    <row r="518" spans="1:13" x14ac:dyDescent="0.2">
      <c r="A518" s="140" t="str">
        <f t="shared" si="76"/>
        <v>Sentinel</v>
      </c>
      <c r="D518" s="174"/>
      <c r="E518" s="166"/>
      <c r="F518" s="167"/>
      <c r="G518" s="248">
        <f>IF($E501&gt;0, $E501, $E500)</f>
        <v>1</v>
      </c>
      <c r="H518" s="169">
        <f t="shared" si="74"/>
        <v>0</v>
      </c>
      <c r="I518" s="170"/>
      <c r="J518" s="248">
        <f>IF($E501&gt;0, $E501, $E500)</f>
        <v>1</v>
      </c>
      <c r="K518" s="169">
        <f t="shared" si="77"/>
        <v>0</v>
      </c>
      <c r="L518" s="172">
        <f t="shared" si="73"/>
        <v>0</v>
      </c>
      <c r="M518" s="173" t="str">
        <f t="shared" si="75"/>
        <v/>
      </c>
    </row>
    <row r="519" spans="1:13" x14ac:dyDescent="0.2">
      <c r="A519" s="140" t="str">
        <f t="shared" si="76"/>
        <v>Sentinel</v>
      </c>
      <c r="D519" s="174"/>
      <c r="E519" s="166"/>
      <c r="F519" s="167"/>
      <c r="G519" s="248">
        <f>IF($E501&gt;0, $E501, $E500)</f>
        <v>1</v>
      </c>
      <c r="H519" s="169">
        <f t="shared" si="74"/>
        <v>0</v>
      </c>
      <c r="I519" s="170"/>
      <c r="J519" s="248">
        <f>IF($E501&gt;0, $E501, $E500)</f>
        <v>1</v>
      </c>
      <c r="K519" s="169">
        <f t="shared" si="77"/>
        <v>0</v>
      </c>
      <c r="L519" s="172">
        <f t="shared" si="73"/>
        <v>0</v>
      </c>
      <c r="M519" s="173" t="str">
        <f t="shared" si="75"/>
        <v/>
      </c>
    </row>
    <row r="520" spans="1:13" x14ac:dyDescent="0.2">
      <c r="A520" s="140" t="str">
        <f t="shared" si="76"/>
        <v>Sentinel</v>
      </c>
      <c r="D520" s="174"/>
      <c r="E520" s="166"/>
      <c r="F520" s="167"/>
      <c r="G520" s="248">
        <f>IF($E501&gt;0, $E501, $E500)</f>
        <v>1</v>
      </c>
      <c r="H520" s="169">
        <f t="shared" si="74"/>
        <v>0</v>
      </c>
      <c r="I520" s="170"/>
      <c r="J520" s="248">
        <f>IF($E501&gt;0, $E501, $E500)</f>
        <v>1</v>
      </c>
      <c r="K520" s="169">
        <f t="shared" si="77"/>
        <v>0</v>
      </c>
      <c r="L520" s="172">
        <f t="shared" si="73"/>
        <v>0</v>
      </c>
      <c r="M520" s="173" t="str">
        <f t="shared" si="75"/>
        <v/>
      </c>
    </row>
    <row r="521" spans="1:13" x14ac:dyDescent="0.2">
      <c r="A521" s="140" t="str">
        <f t="shared" si="76"/>
        <v>Sentinel</v>
      </c>
      <c r="D521" s="174"/>
      <c r="E521" s="166"/>
      <c r="F521" s="167"/>
      <c r="G521" s="248">
        <f>IF($E501&gt;0, $E501, $E500)</f>
        <v>1</v>
      </c>
      <c r="H521" s="169">
        <f t="shared" si="74"/>
        <v>0</v>
      </c>
      <c r="I521" s="170"/>
      <c r="J521" s="248">
        <f>IF($E501&gt;0, $E501, $E500)</f>
        <v>1</v>
      </c>
      <c r="K521" s="169">
        <f t="shared" si="77"/>
        <v>0</v>
      </c>
      <c r="L521" s="172">
        <f t="shared" si="73"/>
        <v>0</v>
      </c>
      <c r="M521" s="173" t="str">
        <f t="shared" si="75"/>
        <v/>
      </c>
    </row>
    <row r="522" spans="1:13" x14ac:dyDescent="0.2">
      <c r="A522" s="140" t="str">
        <f t="shared" si="76"/>
        <v>Sentinel</v>
      </c>
      <c r="D522" s="174"/>
      <c r="E522" s="166"/>
      <c r="F522" s="167"/>
      <c r="G522" s="248">
        <f>IF($E501&gt;0, $E501, $E500)</f>
        <v>1</v>
      </c>
      <c r="H522" s="169">
        <f t="shared" si="74"/>
        <v>0</v>
      </c>
      <c r="I522" s="170"/>
      <c r="J522" s="248">
        <f>IF($E501&gt;0, $E501, $E500)</f>
        <v>1</v>
      </c>
      <c r="K522" s="169">
        <f t="shared" si="77"/>
        <v>0</v>
      </c>
      <c r="L522" s="172">
        <f t="shared" si="73"/>
        <v>0</v>
      </c>
      <c r="M522" s="173" t="str">
        <f t="shared" si="75"/>
        <v/>
      </c>
    </row>
    <row r="523" spans="1:13" x14ac:dyDescent="0.2">
      <c r="A523" s="140" t="str">
        <f t="shared" si="76"/>
        <v>Sentinel</v>
      </c>
      <c r="D523" s="174" t="s">
        <v>2373</v>
      </c>
      <c r="E523" s="166" t="s">
        <v>2372</v>
      </c>
      <c r="F523" s="167"/>
      <c r="G523" s="248">
        <f>IF($E501&gt;0, $E501, $E500)</f>
        <v>1</v>
      </c>
      <c r="H523" s="169">
        <f t="shared" si="74"/>
        <v>0</v>
      </c>
      <c r="I523" s="170">
        <v>1.2278</v>
      </c>
      <c r="J523" s="248">
        <f>IF($E501&gt;0, $E501, $E500)</f>
        <v>1</v>
      </c>
      <c r="K523" s="169">
        <f t="shared" si="77"/>
        <v>1.2278</v>
      </c>
      <c r="L523" s="172">
        <f t="shared" si="73"/>
        <v>1.2278</v>
      </c>
      <c r="M523" s="173" t="str">
        <f t="shared" si="75"/>
        <v/>
      </c>
    </row>
    <row r="524" spans="1:13" x14ac:dyDescent="0.2">
      <c r="A524" s="140" t="str">
        <f t="shared" si="76"/>
        <v>Sentinel</v>
      </c>
      <c r="D524" s="174"/>
      <c r="E524" s="166"/>
      <c r="F524" s="167"/>
      <c r="G524" s="248">
        <f>IF($E501&gt;0, $E501, $E500)</f>
        <v>1</v>
      </c>
      <c r="H524" s="169">
        <f t="shared" si="74"/>
        <v>0</v>
      </c>
      <c r="I524" s="170"/>
      <c r="J524" s="248">
        <f>IF($E501&gt;0, $E501, $E500)</f>
        <v>1</v>
      </c>
      <c r="K524" s="169">
        <f t="shared" si="77"/>
        <v>0</v>
      </c>
      <c r="L524" s="172">
        <f t="shared" si="73"/>
        <v>0</v>
      </c>
      <c r="M524" s="173" t="str">
        <f t="shared" si="75"/>
        <v/>
      </c>
    </row>
    <row r="525" spans="1:13" x14ac:dyDescent="0.2">
      <c r="A525" s="140" t="str">
        <f t="shared" si="76"/>
        <v>Sentinel</v>
      </c>
      <c r="B525" s="338" t="s">
        <v>1891</v>
      </c>
      <c r="C525" s="337"/>
      <c r="D525" s="175" t="s">
        <v>617</v>
      </c>
      <c r="E525" s="176"/>
      <c r="F525" s="177"/>
      <c r="G525" s="178"/>
      <c r="H525" s="179">
        <f>SUM(H509:H524)</f>
        <v>21.0456</v>
      </c>
      <c r="I525" s="180"/>
      <c r="J525" s="181"/>
      <c r="K525" s="179">
        <f>SUM(K509:K524)</f>
        <v>46.904600000000002</v>
      </c>
      <c r="L525" s="182">
        <f t="shared" si="73"/>
        <v>25.859000000000002</v>
      </c>
      <c r="M525" s="183">
        <f>IF((H525)=0,"",(L525/H525))</f>
        <v>1.2287128901052953</v>
      </c>
    </row>
    <row r="526" spans="1:13" ht="25.5" x14ac:dyDescent="0.2">
      <c r="A526" s="140" t="str">
        <f t="shared" si="76"/>
        <v>Sentinel</v>
      </c>
      <c r="D526" s="184" t="s">
        <v>2376</v>
      </c>
      <c r="E526" s="166" t="s">
        <v>2366</v>
      </c>
      <c r="F526" s="167"/>
      <c r="G526" s="248">
        <f>IF($E501&gt;0, $E501, $E500)</f>
        <v>1</v>
      </c>
      <c r="H526" s="169">
        <f>G526*F526</f>
        <v>0</v>
      </c>
      <c r="I526" s="170">
        <v>-3.2000000000000002E-3</v>
      </c>
      <c r="J526" s="248">
        <v>50</v>
      </c>
      <c r="K526" s="169">
        <f>J526*I526</f>
        <v>-0.16</v>
      </c>
      <c r="L526" s="172">
        <f t="shared" si="73"/>
        <v>-0.16</v>
      </c>
      <c r="M526" s="173">
        <v>-1</v>
      </c>
    </row>
    <row r="527" spans="1:13" x14ac:dyDescent="0.2">
      <c r="A527" s="140" t="str">
        <f t="shared" si="76"/>
        <v>Sentinel</v>
      </c>
      <c r="D527" s="184" t="s">
        <v>2367</v>
      </c>
      <c r="E527" s="166" t="s">
        <v>2372</v>
      </c>
      <c r="F527" s="167"/>
      <c r="G527" s="248">
        <f>IF($E501&gt;0, $E501, $E500)</f>
        <v>1</v>
      </c>
      <c r="H527" s="169">
        <f t="shared" ref="H527:H531" si="78">G527*F527</f>
        <v>0</v>
      </c>
      <c r="I527" s="170">
        <v>6.9665999999999997</v>
      </c>
      <c r="J527" s="248">
        <f>IF($E501&gt;0, $E501, $E500)</f>
        <v>1</v>
      </c>
      <c r="K527" s="169">
        <f t="shared" ref="K527:K529" si="79">J527*I527</f>
        <v>6.9665999999999997</v>
      </c>
      <c r="L527" s="172">
        <f t="shared" si="73"/>
        <v>6.9665999999999997</v>
      </c>
      <c r="M527" s="173">
        <v>1</v>
      </c>
    </row>
    <row r="528" spans="1:13" x14ac:dyDescent="0.2">
      <c r="A528" s="140" t="str">
        <f t="shared" si="76"/>
        <v>Sentinel</v>
      </c>
      <c r="D528" s="184" t="s">
        <v>2368</v>
      </c>
      <c r="E528" s="166" t="s">
        <v>2372</v>
      </c>
      <c r="F528" s="167"/>
      <c r="G528" s="248">
        <f>IF($E501&gt;0, $E501, $E500)</f>
        <v>1</v>
      </c>
      <c r="H528" s="169">
        <f t="shared" si="78"/>
        <v>0</v>
      </c>
      <c r="I528" s="170">
        <v>-0.68769999999999998</v>
      </c>
      <c r="J528" s="248">
        <f>IF($E501&gt;0, $E501, $E500)</f>
        <v>1</v>
      </c>
      <c r="K528" s="169">
        <f t="shared" si="79"/>
        <v>-0.68769999999999998</v>
      </c>
      <c r="L528" s="172">
        <f t="shared" si="73"/>
        <v>-0.68769999999999998</v>
      </c>
      <c r="M528" s="173">
        <v>-1</v>
      </c>
    </row>
    <row r="529" spans="1:13" x14ac:dyDescent="0.2">
      <c r="A529" s="140" t="str">
        <f t="shared" si="76"/>
        <v>Sentinel</v>
      </c>
      <c r="D529" s="184"/>
      <c r="E529" s="166"/>
      <c r="F529" s="167"/>
      <c r="G529" s="248">
        <f>IF($E501&gt;0, $E501, $E500)</f>
        <v>1</v>
      </c>
      <c r="H529" s="169">
        <f t="shared" si="78"/>
        <v>0</v>
      </c>
      <c r="I529" s="170"/>
      <c r="J529" s="248">
        <f>IF($E501&gt;0, $E501, $E500)</f>
        <v>1</v>
      </c>
      <c r="K529" s="169">
        <f t="shared" si="79"/>
        <v>0</v>
      </c>
      <c r="L529" s="172">
        <f t="shared" si="73"/>
        <v>0</v>
      </c>
      <c r="M529" s="173" t="str">
        <f t="shared" si="75"/>
        <v/>
      </c>
    </row>
    <row r="530" spans="1:13" x14ac:dyDescent="0.2">
      <c r="A530" s="140" t="str">
        <f t="shared" si="76"/>
        <v>Sentinel</v>
      </c>
      <c r="D530" s="185" t="s">
        <v>605</v>
      </c>
      <c r="E530" s="166" t="s">
        <v>2372</v>
      </c>
      <c r="F530" s="167">
        <v>5.4399999999999997E-2</v>
      </c>
      <c r="G530" s="248">
        <f>IF($E501&gt;0, $E501, $E500)</f>
        <v>1</v>
      </c>
      <c r="H530" s="169">
        <f>G530*F530</f>
        <v>5.4399999999999997E-2</v>
      </c>
      <c r="I530" s="170">
        <v>0.18</v>
      </c>
      <c r="J530" s="248">
        <f>IF($E501&gt;0, $E501, $E500)</f>
        <v>1</v>
      </c>
      <c r="K530" s="169">
        <f>J530*I530</f>
        <v>0.18</v>
      </c>
      <c r="L530" s="172">
        <f t="shared" si="73"/>
        <v>0.12559999999999999</v>
      </c>
      <c r="M530" s="173">
        <f t="shared" si="75"/>
        <v>2.3088235294117645</v>
      </c>
    </row>
    <row r="531" spans="1:13" x14ac:dyDescent="0.2">
      <c r="A531" s="140" t="str">
        <f t="shared" si="76"/>
        <v>Sentinel</v>
      </c>
      <c r="D531" s="185" t="s">
        <v>928</v>
      </c>
      <c r="E531" s="166"/>
      <c r="F531" s="186">
        <f>IF((E500*12&gt;=150000), 0, IF(E499="RPP",(F542*0.64+F543*0.18+F544*0.18),IF(E499="Non-RPP (Retailer)",F545,F546)))</f>
        <v>0.10214000000000001</v>
      </c>
      <c r="G531" s="249">
        <f>IF(F531=0, 0, $E500*E502-E500)</f>
        <v>1.8100000000000023</v>
      </c>
      <c r="H531" s="169">
        <f t="shared" si="78"/>
        <v>0.18487340000000024</v>
      </c>
      <c r="I531" s="187">
        <f>IF((E500*12&gt;=150000), 0, IF(E499="RPP",(I542*0.64+I543*0.18+I544*0.18),IF(E499="Non-RPP (Retailer)",I545,I546)))</f>
        <v>0.10214000000000001</v>
      </c>
      <c r="J531" s="249">
        <f>IF(I531=0, 0, E500*E503-E500)</f>
        <v>1.8750000000000071</v>
      </c>
      <c r="K531" s="169">
        <f>J531*I531</f>
        <v>0.19151250000000075</v>
      </c>
      <c r="L531" s="172">
        <f t="shared" si="73"/>
        <v>6.6391000000005085E-3</v>
      </c>
      <c r="M531" s="173">
        <f t="shared" si="75"/>
        <v>3.5911602209947456E-2</v>
      </c>
    </row>
    <row r="532" spans="1:13" x14ac:dyDescent="0.2">
      <c r="A532" s="140" t="str">
        <f t="shared" si="76"/>
        <v>Sentinel</v>
      </c>
      <c r="D532" s="185" t="s">
        <v>562</v>
      </c>
      <c r="E532" s="166"/>
      <c r="F532" s="186"/>
      <c r="G532" s="168">
        <v>1</v>
      </c>
      <c r="H532" s="169">
        <f>G532*F532</f>
        <v>0</v>
      </c>
      <c r="I532" s="186"/>
      <c r="J532" s="168">
        <v>1</v>
      </c>
      <c r="K532" s="169">
        <f>J532*I532</f>
        <v>0</v>
      </c>
      <c r="L532" s="172">
        <f t="shared" si="73"/>
        <v>0</v>
      </c>
      <c r="M532" s="173" t="str">
        <f t="shared" si="75"/>
        <v/>
      </c>
    </row>
    <row r="533" spans="1:13" ht="25.5" x14ac:dyDescent="0.2">
      <c r="A533" s="140" t="str">
        <f t="shared" si="76"/>
        <v>Sentinel</v>
      </c>
      <c r="B533" s="158" t="s">
        <v>1892</v>
      </c>
      <c r="D533" s="188" t="s">
        <v>560</v>
      </c>
      <c r="E533" s="189"/>
      <c r="F533" s="190"/>
      <c r="G533" s="178"/>
      <c r="H533" s="191">
        <f>SUM(H526:H532)+H525</f>
        <v>21.284873400000002</v>
      </c>
      <c r="I533" s="178"/>
      <c r="J533" s="181"/>
      <c r="K533" s="191">
        <f>SUM(K526:K532)+K525</f>
        <v>53.3950125</v>
      </c>
      <c r="L533" s="182">
        <f t="shared" si="73"/>
        <v>32.110139099999998</v>
      </c>
      <c r="M533" s="183">
        <f>IF((H533)=0,"",(L533/H533))</f>
        <v>1.5085896212095862</v>
      </c>
    </row>
    <row r="534" spans="1:13" x14ac:dyDescent="0.2">
      <c r="A534" s="140" t="str">
        <f t="shared" si="76"/>
        <v>Sentinel</v>
      </c>
      <c r="D534" s="192" t="s">
        <v>30</v>
      </c>
      <c r="E534" s="193" t="s">
        <v>2372</v>
      </c>
      <c r="F534" s="170">
        <v>2.2286999999999999</v>
      </c>
      <c r="G534" s="249">
        <f>IF($E501&gt;0, $E501, $E500*$E502)</f>
        <v>1</v>
      </c>
      <c r="H534" s="169">
        <f>G534*F534</f>
        <v>2.2286999999999999</v>
      </c>
      <c r="I534" s="170">
        <v>2.0606</v>
      </c>
      <c r="J534" s="249">
        <f>IF($E501&gt;0, $E501, $E500*$E503)</f>
        <v>1</v>
      </c>
      <c r="K534" s="169">
        <f>J534*I534</f>
        <v>2.0606</v>
      </c>
      <c r="L534" s="172">
        <f t="shared" si="73"/>
        <v>-0.16809999999999992</v>
      </c>
      <c r="M534" s="173">
        <f t="shared" si="75"/>
        <v>-7.5425135729348919E-2</v>
      </c>
    </row>
    <row r="535" spans="1:13" ht="25.5" x14ac:dyDescent="0.2">
      <c r="A535" s="140" t="str">
        <f t="shared" si="76"/>
        <v>Sentinel</v>
      </c>
      <c r="D535" s="194" t="s">
        <v>31</v>
      </c>
      <c r="E535" s="193" t="s">
        <v>2372</v>
      </c>
      <c r="F535" s="170">
        <v>1.6914</v>
      </c>
      <c r="G535" s="249">
        <f>IF($E501&gt;0, $E501, $E500*$E502)</f>
        <v>1</v>
      </c>
      <c r="H535" s="169">
        <f>G535*F535</f>
        <v>1.6914</v>
      </c>
      <c r="I535" s="170">
        <v>1.6867000000000001</v>
      </c>
      <c r="J535" s="249">
        <f>IF($E501&gt;0, $E501, $E500*$E503)</f>
        <v>1</v>
      </c>
      <c r="K535" s="169">
        <f>J535*I535</f>
        <v>1.6867000000000001</v>
      </c>
      <c r="L535" s="172">
        <f t="shared" si="73"/>
        <v>-4.6999999999999265E-3</v>
      </c>
      <c r="M535" s="173">
        <f t="shared" si="75"/>
        <v>-2.7787631547829764E-3</v>
      </c>
    </row>
    <row r="536" spans="1:13" ht="25.5" x14ac:dyDescent="0.2">
      <c r="A536" s="140" t="str">
        <f t="shared" si="76"/>
        <v>Sentinel</v>
      </c>
      <c r="B536" s="158" t="s">
        <v>1893</v>
      </c>
      <c r="D536" s="188" t="s">
        <v>561</v>
      </c>
      <c r="E536" s="176"/>
      <c r="F536" s="195"/>
      <c r="G536" s="178"/>
      <c r="H536" s="191">
        <f>SUM(H533:H535)</f>
        <v>25.204973400000004</v>
      </c>
      <c r="I536" s="196"/>
      <c r="J536" s="197"/>
      <c r="K536" s="191">
        <f>SUM(K533:K535)</f>
        <v>57.142312500000003</v>
      </c>
      <c r="L536" s="182">
        <f t="shared" si="73"/>
        <v>31.937339099999999</v>
      </c>
      <c r="M536" s="183">
        <f>IF((H536)=0,"",(L536/H536))</f>
        <v>1.2671046540362545</v>
      </c>
    </row>
    <row r="537" spans="1:13" ht="25.5" x14ac:dyDescent="0.2">
      <c r="A537" s="140" t="str">
        <f t="shared" si="76"/>
        <v>Sentinel</v>
      </c>
      <c r="D537" s="198" t="s">
        <v>32</v>
      </c>
      <c r="E537" s="166" t="s">
        <v>2366</v>
      </c>
      <c r="F537" s="199">
        <v>4.4000000000000003E-3</v>
      </c>
      <c r="G537" s="249">
        <f>E500*E502</f>
        <v>51.81</v>
      </c>
      <c r="H537" s="200">
        <f t="shared" ref="H537:H544" si="80">G537*F537</f>
        <v>0.22796400000000003</v>
      </c>
      <c r="I537" s="201">
        <v>3.5999999999999999E-3</v>
      </c>
      <c r="J537" s="249">
        <f>E500*E503</f>
        <v>51.875000000000007</v>
      </c>
      <c r="K537" s="200">
        <f>J537*I537</f>
        <v>0.18675000000000003</v>
      </c>
      <c r="L537" s="172">
        <f t="shared" si="73"/>
        <v>-4.1214000000000001E-2</v>
      </c>
      <c r="M537" s="173">
        <f t="shared" si="75"/>
        <v>-0.18079170395325575</v>
      </c>
    </row>
    <row r="538" spans="1:13" ht="25.5" x14ac:dyDescent="0.2">
      <c r="A538" s="140" t="str">
        <f t="shared" si="76"/>
        <v>Sentinel</v>
      </c>
      <c r="D538" s="198" t="s">
        <v>33</v>
      </c>
      <c r="E538" s="166" t="s">
        <v>2366</v>
      </c>
      <c r="F538" s="199">
        <v>1.2999999999999999E-3</v>
      </c>
      <c r="G538" s="249">
        <f>E500*E502</f>
        <v>51.81</v>
      </c>
      <c r="H538" s="200">
        <f t="shared" si="80"/>
        <v>6.7352999999999996E-2</v>
      </c>
      <c r="I538" s="201">
        <v>1.2999999999999999E-3</v>
      </c>
      <c r="J538" s="249">
        <f>E500*E503</f>
        <v>51.875000000000007</v>
      </c>
      <c r="K538" s="200">
        <f t="shared" ref="K538:K544" si="81">J538*I538</f>
        <v>6.7437500000000011E-2</v>
      </c>
      <c r="L538" s="172">
        <f t="shared" si="73"/>
        <v>8.4500000000015119E-5</v>
      </c>
      <c r="M538" s="173">
        <f t="shared" si="75"/>
        <v>1.2545840571320523E-3</v>
      </c>
    </row>
    <row r="539" spans="1:13" x14ac:dyDescent="0.2">
      <c r="A539" s="140" t="str">
        <f t="shared" si="76"/>
        <v>Sentinel</v>
      </c>
      <c r="D539" s="165" t="s">
        <v>34</v>
      </c>
      <c r="E539" s="166" t="s">
        <v>2365</v>
      </c>
      <c r="F539" s="199">
        <v>0.25</v>
      </c>
      <c r="G539" s="168">
        <v>1</v>
      </c>
      <c r="H539" s="200">
        <f t="shared" si="80"/>
        <v>0.25</v>
      </c>
      <c r="I539" s="201">
        <v>0.25</v>
      </c>
      <c r="J539" s="171">
        <v>1</v>
      </c>
      <c r="K539" s="200">
        <f t="shared" si="81"/>
        <v>0.25</v>
      </c>
      <c r="L539" s="172">
        <f t="shared" si="73"/>
        <v>0</v>
      </c>
      <c r="M539" s="173">
        <f t="shared" si="75"/>
        <v>0</v>
      </c>
    </row>
    <row r="540" spans="1:13" x14ac:dyDescent="0.2">
      <c r="A540" s="140" t="str">
        <f t="shared" si="76"/>
        <v>Sentinel</v>
      </c>
      <c r="D540" s="165" t="s">
        <v>35</v>
      </c>
      <c r="E540" s="166" t="s">
        <v>2366</v>
      </c>
      <c r="F540" s="199">
        <v>7.0000000000000001E-3</v>
      </c>
      <c r="G540" s="248">
        <f>E500</f>
        <v>50</v>
      </c>
      <c r="H540" s="200">
        <f t="shared" si="80"/>
        <v>0.35000000000000003</v>
      </c>
      <c r="I540" s="199">
        <v>7.0000000000000001E-3</v>
      </c>
      <c r="J540" s="202">
        <v>50</v>
      </c>
      <c r="K540" s="200">
        <f t="shared" si="81"/>
        <v>0.35000000000000003</v>
      </c>
      <c r="L540" s="172">
        <f t="shared" si="73"/>
        <v>0</v>
      </c>
      <c r="M540" s="173">
        <f t="shared" si="75"/>
        <v>0</v>
      </c>
    </row>
    <row r="541" spans="1:13" ht="25.5" x14ac:dyDescent="0.2">
      <c r="A541" s="140" t="str">
        <f t="shared" si="76"/>
        <v>Sentinel</v>
      </c>
      <c r="D541" s="198" t="s">
        <v>1939</v>
      </c>
      <c r="E541" s="166" t="s">
        <v>2366</v>
      </c>
      <c r="F541" s="202"/>
      <c r="G541" s="202"/>
      <c r="H541" s="202"/>
      <c r="I541" s="201">
        <v>1.1000000000000001E-3</v>
      </c>
      <c r="J541" s="249">
        <f>E500*E503</f>
        <v>51.875000000000007</v>
      </c>
      <c r="K541" s="200">
        <f t="shared" ref="K541" si="82">J541*I541</f>
        <v>5.7062500000000009E-2</v>
      </c>
      <c r="L541" s="172">
        <f t="shared" si="73"/>
        <v>5.7062500000000009E-2</v>
      </c>
      <c r="M541" s="173">
        <v>1</v>
      </c>
    </row>
    <row r="542" spans="1:13" x14ac:dyDescent="0.2">
      <c r="A542" s="140" t="str">
        <f>A540</f>
        <v>Sentinel</v>
      </c>
      <c r="B542" s="158" t="s">
        <v>1871</v>
      </c>
      <c r="D542" s="185" t="s">
        <v>582</v>
      </c>
      <c r="E542" s="166"/>
      <c r="F542" s="203">
        <v>0.08</v>
      </c>
      <c r="G542" s="250">
        <f>IF(AND(E500*12&gt;=150000),0.64*E500*E502,0.64*E500)</f>
        <v>32</v>
      </c>
      <c r="H542" s="200">
        <f t="shared" si="80"/>
        <v>2.56</v>
      </c>
      <c r="I542" s="203">
        <v>0.08</v>
      </c>
      <c r="J542" s="250">
        <f>IF(AND(E500*12&gt;=150000),0.64*E500*E503,0.64*E500)</f>
        <v>32</v>
      </c>
      <c r="K542" s="200">
        <f t="shared" si="81"/>
        <v>2.56</v>
      </c>
      <c r="L542" s="172">
        <f>K542-H542</f>
        <v>0</v>
      </c>
      <c r="M542" s="173">
        <f t="shared" si="75"/>
        <v>0</v>
      </c>
    </row>
    <row r="543" spans="1:13" x14ac:dyDescent="0.2">
      <c r="A543" s="140" t="str">
        <f t="shared" si="76"/>
        <v>Sentinel</v>
      </c>
      <c r="B543" s="158" t="s">
        <v>1871</v>
      </c>
      <c r="D543" s="185" t="s">
        <v>583</v>
      </c>
      <c r="E543" s="166"/>
      <c r="F543" s="203">
        <v>0.122</v>
      </c>
      <c r="G543" s="250">
        <f>IF(AND(E500*12&gt;=150000),0.18*E500*E502,0.18*E500)</f>
        <v>9</v>
      </c>
      <c r="H543" s="200">
        <f t="shared" si="80"/>
        <v>1.0979999999999999</v>
      </c>
      <c r="I543" s="203">
        <v>0.122</v>
      </c>
      <c r="J543" s="250">
        <f>IF(AND(E500*12&gt;=150000),0.18*E500*E503,0.18*E500)</f>
        <v>9</v>
      </c>
      <c r="K543" s="200">
        <f t="shared" si="81"/>
        <v>1.0979999999999999</v>
      </c>
      <c r="L543" s="172">
        <f>K543-H543</f>
        <v>0</v>
      </c>
      <c r="M543" s="173">
        <f t="shared" si="75"/>
        <v>0</v>
      </c>
    </row>
    <row r="544" spans="1:13" ht="13.5" thickBot="1" x14ac:dyDescent="0.25">
      <c r="A544" s="140" t="str">
        <f t="shared" si="76"/>
        <v>Sentinel</v>
      </c>
      <c r="B544" s="158" t="s">
        <v>1871</v>
      </c>
      <c r="D544" s="158" t="s">
        <v>584</v>
      </c>
      <c r="E544" s="166"/>
      <c r="F544" s="203">
        <v>0.161</v>
      </c>
      <c r="G544" s="250">
        <f>IF(AND(E500*12&gt;=150000),0.18*E500*E502,0.18*E500)</f>
        <v>9</v>
      </c>
      <c r="H544" s="200">
        <f t="shared" si="80"/>
        <v>1.4490000000000001</v>
      </c>
      <c r="I544" s="203">
        <v>0.161</v>
      </c>
      <c r="J544" s="250">
        <f>IF(AND(E500*12&gt;=150000),0.18*E500*E503,0.18*E500)</f>
        <v>9</v>
      </c>
      <c r="K544" s="200">
        <f t="shared" si="81"/>
        <v>1.4490000000000001</v>
      </c>
      <c r="L544" s="172">
        <f>K544-H544</f>
        <v>0</v>
      </c>
      <c r="M544" s="173">
        <f t="shared" si="75"/>
        <v>0</v>
      </c>
    </row>
    <row r="545" spans="1:13" hidden="1" x14ac:dyDescent="0.2">
      <c r="A545" s="140" t="str">
        <f t="shared" si="76"/>
        <v>Sentinel</v>
      </c>
      <c r="B545" s="140" t="s">
        <v>1872</v>
      </c>
      <c r="D545" s="185" t="s">
        <v>1894</v>
      </c>
      <c r="E545" s="166"/>
      <c r="F545" s="203">
        <v>8.5999999999999993E-2</v>
      </c>
      <c r="G545" s="250">
        <f>IF(AND(E500*12&gt;=150000),E500*E502,E500)</f>
        <v>50</v>
      </c>
      <c r="H545" s="200">
        <f>G545*F545</f>
        <v>4.3</v>
      </c>
      <c r="I545" s="203">
        <v>8.5999999999999993E-2</v>
      </c>
      <c r="J545" s="250">
        <f>IF(AND(E500*12&gt;=150000),E500*E503,E500)</f>
        <v>50</v>
      </c>
      <c r="K545" s="200">
        <f>J545*I545</f>
        <v>4.3</v>
      </c>
      <c r="L545" s="172">
        <f>K545-H545</f>
        <v>0</v>
      </c>
      <c r="M545" s="173">
        <f t="shared" si="75"/>
        <v>0</v>
      </c>
    </row>
    <row r="546" spans="1:13" ht="13.5" hidden="1" thickBot="1" x14ac:dyDescent="0.25">
      <c r="A546" s="140" t="str">
        <f t="shared" si="76"/>
        <v>Sentinel</v>
      </c>
      <c r="B546" s="140" t="s">
        <v>1873</v>
      </c>
      <c r="D546" s="185" t="s">
        <v>1895</v>
      </c>
      <c r="E546" s="166"/>
      <c r="F546" s="199">
        <f>0.0906</f>
        <v>9.06E-2</v>
      </c>
      <c r="G546" s="251">
        <f>IF(AND(E500*12&gt;=150000),E500*E502,E500)</f>
        <v>50</v>
      </c>
      <c r="H546" s="200">
        <f>G546*F546</f>
        <v>4.53</v>
      </c>
      <c r="I546" s="199">
        <f>0.0906</f>
        <v>9.06E-2</v>
      </c>
      <c r="J546" s="251">
        <f>IF(AND(E500*12&gt;=150000),E500*E503,E500)</f>
        <v>50</v>
      </c>
      <c r="K546" s="200">
        <f>J546*I546</f>
        <v>4.53</v>
      </c>
      <c r="L546" s="172">
        <f>K546-H546</f>
        <v>0</v>
      </c>
      <c r="M546" s="173">
        <f t="shared" si="75"/>
        <v>0</v>
      </c>
    </row>
    <row r="547" spans="1:13" ht="13.5" thickBot="1" x14ac:dyDescent="0.25">
      <c r="A547" s="140" t="str">
        <f t="shared" si="76"/>
        <v>Sentinel</v>
      </c>
      <c r="B547" s="158"/>
      <c r="D547" s="204"/>
      <c r="E547" s="205"/>
      <c r="F547" s="206"/>
      <c r="G547" s="207"/>
      <c r="H547" s="208"/>
      <c r="I547" s="206"/>
      <c r="J547" s="209"/>
      <c r="K547" s="208"/>
      <c r="L547" s="210"/>
      <c r="M547" s="211"/>
    </row>
    <row r="548" spans="1:13" x14ac:dyDescent="0.2">
      <c r="A548" s="140" t="str">
        <f t="shared" si="76"/>
        <v>Sentinel</v>
      </c>
      <c r="B548" s="158" t="s">
        <v>1871</v>
      </c>
      <c r="D548" s="212" t="s">
        <v>585</v>
      </c>
      <c r="E548" s="165"/>
      <c r="F548" s="213"/>
      <c r="G548" s="214"/>
      <c r="H548" s="215">
        <f>SUM(H537:H544,H536)</f>
        <v>31.207290400000005</v>
      </c>
      <c r="I548" s="216"/>
      <c r="J548" s="216"/>
      <c r="K548" s="215">
        <f>SUM(K537:K544,K536)</f>
        <v>63.160562500000005</v>
      </c>
      <c r="L548" s="217">
        <f>K548-H548</f>
        <v>31.9532721</v>
      </c>
      <c r="M548" s="218">
        <f>IF((H548)=0,"",(L548/H548))</f>
        <v>1.0239040842841003</v>
      </c>
    </row>
    <row r="549" spans="1:13" x14ac:dyDescent="0.2">
      <c r="A549" s="140" t="str">
        <f t="shared" si="76"/>
        <v>Sentinel</v>
      </c>
      <c r="B549" s="158" t="s">
        <v>1871</v>
      </c>
      <c r="D549" s="219" t="s">
        <v>36</v>
      </c>
      <c r="E549" s="165"/>
      <c r="F549" s="213">
        <v>0.13</v>
      </c>
      <c r="G549" s="220"/>
      <c r="H549" s="221">
        <f>H548*F549</f>
        <v>4.056947752000001</v>
      </c>
      <c r="I549" s="222">
        <v>0.13</v>
      </c>
      <c r="J549" s="223"/>
      <c r="K549" s="221">
        <f>K548*I549</f>
        <v>8.2108731250000009</v>
      </c>
      <c r="L549" s="224">
        <f>K549-H549</f>
        <v>4.1539253729999999</v>
      </c>
      <c r="M549" s="225">
        <f>IF((H549)=0,"",(L549/H549))</f>
        <v>1.0239040842841003</v>
      </c>
    </row>
    <row r="550" spans="1:13" x14ac:dyDescent="0.2">
      <c r="A550" s="140" t="str">
        <f t="shared" si="76"/>
        <v>Sentinel</v>
      </c>
      <c r="B550" s="158" t="s">
        <v>1871</v>
      </c>
      <c r="D550" s="226" t="s">
        <v>586</v>
      </c>
      <c r="E550" s="165"/>
      <c r="F550" s="227"/>
      <c r="G550" s="220"/>
      <c r="H550" s="221">
        <f>H548+H549</f>
        <v>35.264238152000004</v>
      </c>
      <c r="I550" s="223"/>
      <c r="J550" s="223"/>
      <c r="K550" s="221">
        <f>K548+K549</f>
        <v>71.371435625000004</v>
      </c>
      <c r="L550" s="224">
        <f>K550-H550</f>
        <v>36.107197472999999</v>
      </c>
      <c r="M550" s="225">
        <f>IF((H550)=0,"",(L550/H550))</f>
        <v>1.0239040842841003</v>
      </c>
    </row>
    <row r="551" spans="1:13" x14ac:dyDescent="0.2">
      <c r="A551" s="140" t="str">
        <f t="shared" si="76"/>
        <v>Sentinel</v>
      </c>
      <c r="B551" s="158" t="s">
        <v>1871</v>
      </c>
      <c r="D551" s="2465" t="s">
        <v>264</v>
      </c>
      <c r="E551" s="2465"/>
      <c r="F551" s="227"/>
      <c r="G551" s="220"/>
      <c r="H551" s="228"/>
      <c r="I551" s="202"/>
      <c r="J551" s="202"/>
      <c r="K551" s="202"/>
      <c r="L551" s="202"/>
      <c r="M551" s="229"/>
    </row>
    <row r="552" spans="1:13" ht="13.5" thickBot="1" x14ac:dyDescent="0.25">
      <c r="A552" s="140" t="str">
        <f t="shared" si="76"/>
        <v>Sentinel</v>
      </c>
      <c r="B552" s="158" t="s">
        <v>1896</v>
      </c>
      <c r="D552" s="2466" t="s">
        <v>1897</v>
      </c>
      <c r="E552" s="2466"/>
      <c r="F552" s="230"/>
      <c r="G552" s="231"/>
      <c r="H552" s="232">
        <f>H550+H551</f>
        <v>35.264238152000004</v>
      </c>
      <c r="I552" s="233"/>
      <c r="J552" s="233"/>
      <c r="K552" s="232">
        <f>K550+K551</f>
        <v>71.371435625000004</v>
      </c>
      <c r="L552" s="234">
        <f>K552-H552</f>
        <v>36.107197472999999</v>
      </c>
      <c r="M552" s="235">
        <f>IF((H552)=0,"",(L552/H552))</f>
        <v>1.0239040842841003</v>
      </c>
    </row>
    <row r="553" spans="1:13" ht="13.5" thickBot="1" x14ac:dyDescent="0.25">
      <c r="A553" s="140" t="str">
        <f t="shared" si="76"/>
        <v>Sentinel</v>
      </c>
      <c r="B553" s="140" t="s">
        <v>1871</v>
      </c>
      <c r="D553" s="204"/>
      <c r="E553" s="205"/>
      <c r="F553" s="206"/>
      <c r="G553" s="207"/>
      <c r="H553" s="208"/>
      <c r="I553" s="206"/>
      <c r="J553" s="209"/>
      <c r="K553" s="208"/>
      <c r="L553" s="210"/>
      <c r="M553" s="211"/>
    </row>
    <row r="554" spans="1:13" hidden="1" x14ac:dyDescent="0.2">
      <c r="A554" s="140" t="str">
        <f t="shared" si="76"/>
        <v>Sentinel</v>
      </c>
      <c r="B554" s="140" t="s">
        <v>1872</v>
      </c>
      <c r="D554" s="212" t="s">
        <v>1898</v>
      </c>
      <c r="E554" s="165"/>
      <c r="F554" s="213"/>
      <c r="G554" s="214"/>
      <c r="H554" s="215">
        <f>SUM(H545,H536,H537:H542)</f>
        <v>32.960290400000005</v>
      </c>
      <c r="I554" s="216"/>
      <c r="J554" s="216"/>
      <c r="K554" s="215">
        <f>SUM(K545,K536,K537:K542)</f>
        <v>64.913562499999998</v>
      </c>
      <c r="L554" s="217">
        <f>K554-H554</f>
        <v>31.953272099999992</v>
      </c>
      <c r="M554" s="218">
        <f>IF((H554)=0,"",(L554/H554))</f>
        <v>0.9694475295035625</v>
      </c>
    </row>
    <row r="555" spans="1:13" hidden="1" x14ac:dyDescent="0.2">
      <c r="A555" s="140" t="str">
        <f t="shared" si="76"/>
        <v>Sentinel</v>
      </c>
      <c r="B555" s="140" t="s">
        <v>1872</v>
      </c>
      <c r="D555" s="219" t="s">
        <v>36</v>
      </c>
      <c r="E555" s="165"/>
      <c r="F555" s="213">
        <v>0.13</v>
      </c>
      <c r="G555" s="214"/>
      <c r="H555" s="221">
        <f>H554*F555</f>
        <v>4.2848377520000005</v>
      </c>
      <c r="I555" s="236">
        <v>0.13</v>
      </c>
      <c r="J555" s="222"/>
      <c r="K555" s="221">
        <f>K554*I555</f>
        <v>8.4387631249999995</v>
      </c>
      <c r="L555" s="224">
        <f>K555-H555</f>
        <v>4.153925372999999</v>
      </c>
      <c r="M555" s="225">
        <f>IF((H555)=0,"",(L555/H555))</f>
        <v>0.9694475295035625</v>
      </c>
    </row>
    <row r="556" spans="1:13" hidden="1" x14ac:dyDescent="0.2">
      <c r="A556" s="140" t="str">
        <f t="shared" si="76"/>
        <v>Sentinel</v>
      </c>
      <c r="B556" s="140" t="s">
        <v>1872</v>
      </c>
      <c r="D556" s="226" t="s">
        <v>586</v>
      </c>
      <c r="E556" s="165"/>
      <c r="F556" s="227"/>
      <c r="G556" s="220"/>
      <c r="H556" s="221">
        <f>H554+H555</f>
        <v>37.245128152000007</v>
      </c>
      <c r="I556" s="223"/>
      <c r="J556" s="223"/>
      <c r="K556" s="221">
        <f>K554+K555</f>
        <v>73.352325624999992</v>
      </c>
      <c r="L556" s="224">
        <f>K556-H556</f>
        <v>36.107197472999985</v>
      </c>
      <c r="M556" s="225">
        <f>IF((H556)=0,"",(L556/H556))</f>
        <v>0.96944752950356228</v>
      </c>
    </row>
    <row r="557" spans="1:13" hidden="1" x14ac:dyDescent="0.2">
      <c r="A557" s="140" t="str">
        <f t="shared" si="76"/>
        <v>Sentinel</v>
      </c>
      <c r="B557" s="140" t="s">
        <v>1872</v>
      </c>
      <c r="D557" s="2465" t="s">
        <v>264</v>
      </c>
      <c r="E557" s="2465"/>
      <c r="F557" s="227"/>
      <c r="G557" s="220"/>
      <c r="H557" s="228">
        <f>ROUND(-H556*10%,2)</f>
        <v>-3.72</v>
      </c>
      <c r="I557" s="202"/>
      <c r="J557" s="202"/>
      <c r="K557" s="202"/>
      <c r="L557" s="202"/>
      <c r="M557" s="229"/>
    </row>
    <row r="558" spans="1:13" ht="13.5" hidden="1" thickBot="1" x14ac:dyDescent="0.25">
      <c r="A558" s="140" t="str">
        <f t="shared" si="76"/>
        <v>Sentinel</v>
      </c>
      <c r="B558" s="140" t="s">
        <v>1899</v>
      </c>
      <c r="D558" s="2466" t="s">
        <v>1898</v>
      </c>
      <c r="E558" s="2466"/>
      <c r="F558" s="237"/>
      <c r="G558" s="238"/>
      <c r="H558" s="239">
        <f>SUM(H556:H557)</f>
        <v>33.525128152000008</v>
      </c>
      <c r="I558" s="240"/>
      <c r="J558" s="240"/>
      <c r="K558" s="239">
        <f>SUM(K556:K557)</f>
        <v>73.352325624999992</v>
      </c>
      <c r="L558" s="241">
        <f>K558-H558</f>
        <v>39.827197472999984</v>
      </c>
      <c r="M558" s="242">
        <f>IF((H558)=0,"",(L558/H558))</f>
        <v>1.1879804692297355</v>
      </c>
    </row>
    <row r="559" spans="1:13" ht="13.5" hidden="1" thickBot="1" x14ac:dyDescent="0.25">
      <c r="A559" s="140" t="str">
        <f t="shared" si="76"/>
        <v>Sentinel</v>
      </c>
      <c r="B559" s="140" t="s">
        <v>1872</v>
      </c>
      <c r="D559" s="204"/>
      <c r="E559" s="205"/>
      <c r="F559" s="243"/>
      <c r="G559" s="244"/>
      <c r="H559" s="245"/>
      <c r="I559" s="243"/>
      <c r="J559" s="207"/>
      <c r="K559" s="245"/>
      <c r="L559" s="246"/>
      <c r="M559" s="211"/>
    </row>
    <row r="560" spans="1:13" hidden="1" x14ac:dyDescent="0.2">
      <c r="A560" s="140" t="str">
        <f t="shared" si="76"/>
        <v>Sentinel</v>
      </c>
      <c r="B560" s="140" t="s">
        <v>1873</v>
      </c>
      <c r="D560" s="212" t="s">
        <v>1900</v>
      </c>
      <c r="E560" s="165"/>
      <c r="F560" s="213"/>
      <c r="G560" s="214"/>
      <c r="H560" s="215">
        <f>SUM(H546,H536:H540)</f>
        <v>30.630290400000007</v>
      </c>
      <c r="I560" s="216"/>
      <c r="J560" s="216"/>
      <c r="K560" s="215">
        <f>SUM(K546,K536:K540)</f>
        <v>62.526500000000006</v>
      </c>
      <c r="L560" s="217">
        <f>K560-H560</f>
        <v>31.896209599999999</v>
      </c>
      <c r="M560" s="218">
        <f>IF((H560)=0,"",(L560/H560))</f>
        <v>1.0413289976512921</v>
      </c>
    </row>
    <row r="561" spans="1:20" hidden="1" x14ac:dyDescent="0.2">
      <c r="A561" s="140" t="str">
        <f t="shared" si="76"/>
        <v>Sentinel</v>
      </c>
      <c r="B561" s="140" t="s">
        <v>1873</v>
      </c>
      <c r="D561" s="219" t="s">
        <v>36</v>
      </c>
      <c r="E561" s="165"/>
      <c r="F561" s="213">
        <v>0.13</v>
      </c>
      <c r="G561" s="214"/>
      <c r="H561" s="221">
        <f>H560*F561</f>
        <v>3.9819377520000012</v>
      </c>
      <c r="I561" s="236">
        <v>0.13</v>
      </c>
      <c r="J561" s="222"/>
      <c r="K561" s="221">
        <f>K560*I561</f>
        <v>8.128445000000001</v>
      </c>
      <c r="L561" s="224">
        <f>K561-H561</f>
        <v>4.1465072479999998</v>
      </c>
      <c r="M561" s="225">
        <f>IF((H561)=0,"",(L561/H561))</f>
        <v>1.0413289976512918</v>
      </c>
    </row>
    <row r="562" spans="1:20" hidden="1" x14ac:dyDescent="0.2">
      <c r="A562" s="140" t="str">
        <f t="shared" si="76"/>
        <v>Sentinel</v>
      </c>
      <c r="B562" s="140" t="s">
        <v>1873</v>
      </c>
      <c r="D562" s="226" t="s">
        <v>586</v>
      </c>
      <c r="E562" s="165"/>
      <c r="F562" s="227"/>
      <c r="G562" s="220"/>
      <c r="H562" s="221">
        <f>H560+H561</f>
        <v>34.612228152000007</v>
      </c>
      <c r="I562" s="223"/>
      <c r="J562" s="223"/>
      <c r="K562" s="221">
        <f>K560+K561</f>
        <v>70.654945000000012</v>
      </c>
      <c r="L562" s="224">
        <f>K562-H562</f>
        <v>36.042716848000005</v>
      </c>
      <c r="M562" s="225">
        <f>IF((H562)=0,"",(L562/H562))</f>
        <v>1.0413289976512923</v>
      </c>
    </row>
    <row r="563" spans="1:20" hidden="1" x14ac:dyDescent="0.2">
      <c r="A563" s="140" t="str">
        <f t="shared" si="76"/>
        <v>Sentinel</v>
      </c>
      <c r="B563" s="140" t="s">
        <v>1873</v>
      </c>
      <c r="D563" s="2465" t="s">
        <v>264</v>
      </c>
      <c r="E563" s="2465"/>
      <c r="F563" s="227"/>
      <c r="G563" s="220"/>
      <c r="H563" s="228">
        <f>IF(E504="Yes", ROUND(-H562*10%,2), 0)</f>
        <v>0</v>
      </c>
      <c r="I563" s="202"/>
      <c r="J563" s="202"/>
      <c r="K563" s="202"/>
      <c r="L563" s="202"/>
      <c r="M563" s="229"/>
    </row>
    <row r="564" spans="1:20" ht="13.5" hidden="1" thickBot="1" x14ac:dyDescent="0.25">
      <c r="A564" s="140" t="str">
        <f t="shared" si="76"/>
        <v>Sentinel</v>
      </c>
      <c r="B564" s="140" t="s">
        <v>1901</v>
      </c>
      <c r="D564" s="2466" t="s">
        <v>1900</v>
      </c>
      <c r="E564" s="2466"/>
      <c r="F564" s="237"/>
      <c r="G564" s="238"/>
      <c r="H564" s="239">
        <f>SUM(H562:H563)</f>
        <v>34.612228152000007</v>
      </c>
      <c r="I564" s="240"/>
      <c r="J564" s="240"/>
      <c r="K564" s="239">
        <f>SUM(K562:K563)</f>
        <v>70.654945000000012</v>
      </c>
      <c r="L564" s="241">
        <f>K564-H564</f>
        <v>36.042716848000005</v>
      </c>
      <c r="M564" s="242">
        <f>IF((H564)=0,"",(L564/H564))</f>
        <v>1.0413289976512923</v>
      </c>
    </row>
    <row r="565" spans="1:20" ht="13.5" hidden="1" thickBot="1" x14ac:dyDescent="0.25">
      <c r="A565" s="140" t="str">
        <f t="shared" si="76"/>
        <v>Sentinel</v>
      </c>
      <c r="B565" s="140" t="s">
        <v>1873</v>
      </c>
      <c r="D565" s="204"/>
      <c r="E565" s="205"/>
      <c r="F565" s="243"/>
      <c r="G565" s="244"/>
      <c r="H565" s="245"/>
      <c r="I565" s="243"/>
      <c r="J565" s="207"/>
      <c r="K565" s="245"/>
      <c r="L565" s="246"/>
      <c r="M565" s="211"/>
    </row>
    <row r="568" spans="1:20" x14ac:dyDescent="0.2">
      <c r="D568" s="1315" t="s">
        <v>37</v>
      </c>
      <c r="E568" s="2467" t="str">
        <f>D37</f>
        <v>Streetlighting</v>
      </c>
      <c r="F568" s="2467"/>
      <c r="G568" s="2467"/>
      <c r="H568" s="1316"/>
      <c r="I568" s="1316"/>
      <c r="T568" s="140" t="s">
        <v>2364</v>
      </c>
    </row>
    <row r="569" spans="1:20" x14ac:dyDescent="0.2">
      <c r="D569" s="1315" t="s">
        <v>1887</v>
      </c>
      <c r="E569" s="2467" t="str">
        <f>H37</f>
        <v>Non-RPP (Other)</v>
      </c>
      <c r="F569" s="2467"/>
      <c r="G569" s="2467"/>
      <c r="H569" s="1316"/>
      <c r="I569" s="1316"/>
    </row>
    <row r="570" spans="1:20" ht="15.75" x14ac:dyDescent="0.2">
      <c r="D570" s="1315" t="s">
        <v>14</v>
      </c>
      <c r="E570" s="1802">
        <v>469398</v>
      </c>
      <c r="F570" s="334" t="s">
        <v>110</v>
      </c>
      <c r="G570" s="158"/>
      <c r="J570" s="1318"/>
      <c r="K570" s="1318"/>
      <c r="L570" s="1318"/>
      <c r="M570" s="1318"/>
    </row>
    <row r="571" spans="1:20" ht="15.75" x14ac:dyDescent="0.25">
      <c r="D571" s="1315" t="s">
        <v>1888</v>
      </c>
      <c r="E571" s="1802">
        <v>1317</v>
      </c>
      <c r="F571" s="757" t="s">
        <v>111</v>
      </c>
      <c r="G571" s="498"/>
      <c r="H571" s="435"/>
      <c r="I571" s="435"/>
      <c r="J571" s="435"/>
    </row>
    <row r="572" spans="1:20" x14ac:dyDescent="0.2">
      <c r="D572" s="1315" t="s">
        <v>1889</v>
      </c>
      <c r="E572" s="1319">
        <f>J37</f>
        <v>1.0362</v>
      </c>
    </row>
    <row r="573" spans="1:20" x14ac:dyDescent="0.2">
      <c r="D573" s="1315" t="s">
        <v>1890</v>
      </c>
      <c r="E573" s="1319">
        <f>K37</f>
        <v>1.0375000000000001</v>
      </c>
    </row>
    <row r="574" spans="1:20" x14ac:dyDescent="0.2">
      <c r="D574" s="334" t="s">
        <v>1976</v>
      </c>
      <c r="E574" s="1521" t="str">
        <f>I37</f>
        <v>No</v>
      </c>
    </row>
    <row r="575" spans="1:20" x14ac:dyDescent="0.2">
      <c r="D575" s="158"/>
    </row>
    <row r="576" spans="1:20" x14ac:dyDescent="0.2">
      <c r="D576" s="158"/>
      <c r="E576" s="159"/>
      <c r="F576" s="2468" t="s">
        <v>15</v>
      </c>
      <c r="G576" s="2469"/>
      <c r="H576" s="2470"/>
      <c r="I576" s="2468" t="s">
        <v>16</v>
      </c>
      <c r="J576" s="2469"/>
      <c r="K576" s="2470"/>
      <c r="L576" s="2468" t="s">
        <v>17</v>
      </c>
      <c r="M576" s="2470"/>
    </row>
    <row r="577" spans="1:13" x14ac:dyDescent="0.2">
      <c r="D577" s="158"/>
      <c r="E577" s="2459" t="s">
        <v>18</v>
      </c>
      <c r="F577" s="160" t="s">
        <v>19</v>
      </c>
      <c r="G577" s="160" t="s">
        <v>20</v>
      </c>
      <c r="H577" s="161" t="s">
        <v>21</v>
      </c>
      <c r="I577" s="160" t="s">
        <v>19</v>
      </c>
      <c r="J577" s="162" t="s">
        <v>20</v>
      </c>
      <c r="K577" s="161" t="s">
        <v>21</v>
      </c>
      <c r="L577" s="2461" t="s">
        <v>22</v>
      </c>
      <c r="M577" s="2463" t="s">
        <v>23</v>
      </c>
    </row>
    <row r="578" spans="1:13" x14ac:dyDescent="0.2">
      <c r="D578" s="158"/>
      <c r="E578" s="2460"/>
      <c r="F578" s="163" t="s">
        <v>402</v>
      </c>
      <c r="G578" s="163"/>
      <c r="H578" s="164" t="s">
        <v>402</v>
      </c>
      <c r="I578" s="163" t="s">
        <v>402</v>
      </c>
      <c r="J578" s="164"/>
      <c r="K578" s="164" t="s">
        <v>402</v>
      </c>
      <c r="L578" s="2462"/>
      <c r="M578" s="2464"/>
    </row>
    <row r="579" spans="1:13" x14ac:dyDescent="0.2">
      <c r="A579" s="140" t="str">
        <f>$E568</f>
        <v>Streetlighting</v>
      </c>
      <c r="D579" s="165" t="s">
        <v>24</v>
      </c>
      <c r="E579" s="166" t="s">
        <v>2365</v>
      </c>
      <c r="F579" s="167">
        <v>2.04</v>
      </c>
      <c r="G579" s="168">
        <v>1</v>
      </c>
      <c r="H579" s="169">
        <f>G579*F579</f>
        <v>2.04</v>
      </c>
      <c r="I579" s="170">
        <v>2</v>
      </c>
      <c r="J579" s="171">
        <v>1</v>
      </c>
      <c r="K579" s="169">
        <f>J579*I579</f>
        <v>2</v>
      </c>
      <c r="L579" s="172">
        <f t="shared" ref="L579:L611" si="83">K579-H579</f>
        <v>-4.0000000000000036E-2</v>
      </c>
      <c r="M579" s="173">
        <f>IF(ISERROR(L579/H579), "", L579/H579)</f>
        <v>-1.9607843137254919E-2</v>
      </c>
    </row>
    <row r="580" spans="1:13" x14ac:dyDescent="0.2">
      <c r="A580" s="140" t="str">
        <f>A579</f>
        <v>Streetlighting</v>
      </c>
      <c r="D580" s="165" t="s">
        <v>25</v>
      </c>
      <c r="E580" s="166"/>
      <c r="F580" s="167"/>
      <c r="G580" s="168">
        <v>1</v>
      </c>
      <c r="H580" s="169">
        <f t="shared" ref="H580:H594" si="84">G580*F580</f>
        <v>0</v>
      </c>
      <c r="I580" s="170"/>
      <c r="J580" s="171">
        <v>1</v>
      </c>
      <c r="K580" s="169">
        <f>J580*I580</f>
        <v>0</v>
      </c>
      <c r="L580" s="172">
        <f t="shared" si="83"/>
        <v>0</v>
      </c>
      <c r="M580" s="173" t="str">
        <f t="shared" ref="M580:M616" si="85">IF(ISERROR(L580/H580), "", L580/H580)</f>
        <v/>
      </c>
    </row>
    <row r="581" spans="1:13" x14ac:dyDescent="0.2">
      <c r="A581" s="140" t="str">
        <f t="shared" ref="A581:A635" si="86">A580</f>
        <v>Streetlighting</v>
      </c>
      <c r="D581" s="174" t="s">
        <v>2375</v>
      </c>
      <c r="E581" s="166" t="s">
        <v>2365</v>
      </c>
      <c r="F581" s="167">
        <v>0.16</v>
      </c>
      <c r="G581" s="168">
        <v>1</v>
      </c>
      <c r="H581" s="169">
        <f t="shared" si="84"/>
        <v>0.16</v>
      </c>
      <c r="I581" s="170"/>
      <c r="J581" s="171">
        <v>1</v>
      </c>
      <c r="K581" s="169">
        <f t="shared" ref="K581:K594" si="87">J581*I581</f>
        <v>0</v>
      </c>
      <c r="L581" s="172">
        <f t="shared" si="83"/>
        <v>-0.16</v>
      </c>
      <c r="M581" s="173">
        <f t="shared" si="85"/>
        <v>-1</v>
      </c>
    </row>
    <row r="582" spans="1:13" x14ac:dyDescent="0.2">
      <c r="A582" s="140" t="str">
        <f t="shared" si="86"/>
        <v>Streetlighting</v>
      </c>
      <c r="D582" s="174"/>
      <c r="E582" s="166"/>
      <c r="F582" s="167"/>
      <c r="G582" s="168">
        <v>1</v>
      </c>
      <c r="H582" s="169">
        <f t="shared" si="84"/>
        <v>0</v>
      </c>
      <c r="I582" s="170"/>
      <c r="J582" s="171">
        <v>1</v>
      </c>
      <c r="K582" s="169">
        <f t="shared" si="87"/>
        <v>0</v>
      </c>
      <c r="L582" s="172">
        <f t="shared" si="83"/>
        <v>0</v>
      </c>
      <c r="M582" s="173" t="str">
        <f t="shared" si="85"/>
        <v/>
      </c>
    </row>
    <row r="583" spans="1:13" x14ac:dyDescent="0.2">
      <c r="A583" s="140" t="str">
        <f t="shared" si="86"/>
        <v>Streetlighting</v>
      </c>
      <c r="D583" s="174"/>
      <c r="E583" s="166"/>
      <c r="F583" s="167"/>
      <c r="G583" s="168">
        <v>1</v>
      </c>
      <c r="H583" s="169">
        <f t="shared" si="84"/>
        <v>0</v>
      </c>
      <c r="I583" s="170"/>
      <c r="J583" s="171">
        <v>1</v>
      </c>
      <c r="K583" s="169">
        <f t="shared" si="87"/>
        <v>0</v>
      </c>
      <c r="L583" s="172">
        <f t="shared" si="83"/>
        <v>0</v>
      </c>
      <c r="M583" s="173" t="str">
        <f t="shared" si="85"/>
        <v/>
      </c>
    </row>
    <row r="584" spans="1:13" x14ac:dyDescent="0.2">
      <c r="A584" s="140" t="str">
        <f t="shared" si="86"/>
        <v>Streetlighting</v>
      </c>
      <c r="D584" s="174"/>
      <c r="E584" s="166"/>
      <c r="F584" s="167"/>
      <c r="G584" s="168">
        <v>1</v>
      </c>
      <c r="H584" s="169">
        <f t="shared" si="84"/>
        <v>0</v>
      </c>
      <c r="I584" s="170"/>
      <c r="J584" s="171">
        <v>1</v>
      </c>
      <c r="K584" s="169">
        <f t="shared" si="87"/>
        <v>0</v>
      </c>
      <c r="L584" s="172">
        <f t="shared" si="83"/>
        <v>0</v>
      </c>
      <c r="M584" s="173" t="str">
        <f t="shared" si="85"/>
        <v/>
      </c>
    </row>
    <row r="585" spans="1:13" x14ac:dyDescent="0.2">
      <c r="A585" s="140" t="str">
        <f t="shared" si="86"/>
        <v>Streetlighting</v>
      </c>
      <c r="D585" s="165" t="s">
        <v>26</v>
      </c>
      <c r="E585" s="166" t="s">
        <v>2372</v>
      </c>
      <c r="F585" s="167">
        <v>8.9309999999999992</v>
      </c>
      <c r="G585" s="248">
        <f>IF($E571&gt;0, $E571, $E570)</f>
        <v>1317</v>
      </c>
      <c r="H585" s="169">
        <f t="shared" si="84"/>
        <v>11762.126999999999</v>
      </c>
      <c r="I585" s="170">
        <v>8.7425999999999995</v>
      </c>
      <c r="J585" s="248">
        <f>IF($E571&gt;0, $E571, $E570)</f>
        <v>1317</v>
      </c>
      <c r="K585" s="169">
        <f t="shared" si="87"/>
        <v>11514.004199999999</v>
      </c>
      <c r="L585" s="172">
        <f t="shared" si="83"/>
        <v>-248.12279999999919</v>
      </c>
      <c r="M585" s="173">
        <f t="shared" si="85"/>
        <v>-2.1095062143097011E-2</v>
      </c>
    </row>
    <row r="586" spans="1:13" x14ac:dyDescent="0.2">
      <c r="A586" s="140" t="str">
        <f t="shared" si="86"/>
        <v>Streetlighting</v>
      </c>
      <c r="D586" s="165" t="s">
        <v>27</v>
      </c>
      <c r="E586" s="166"/>
      <c r="F586" s="167"/>
      <c r="G586" s="248">
        <f>IF($E571&gt;0, $E571, $E570)</f>
        <v>1317</v>
      </c>
      <c r="H586" s="169">
        <f t="shared" si="84"/>
        <v>0</v>
      </c>
      <c r="I586" s="170"/>
      <c r="J586" s="248">
        <f>IF($E571&gt;0, $E571, $E570)</f>
        <v>1317</v>
      </c>
      <c r="K586" s="169">
        <f t="shared" si="87"/>
        <v>0</v>
      </c>
      <c r="L586" s="172">
        <f t="shared" si="83"/>
        <v>0</v>
      </c>
      <c r="M586" s="173" t="str">
        <f t="shared" si="85"/>
        <v/>
      </c>
    </row>
    <row r="587" spans="1:13" x14ac:dyDescent="0.2">
      <c r="A587" s="140" t="str">
        <f t="shared" si="86"/>
        <v>Streetlighting</v>
      </c>
      <c r="D587" s="165" t="s">
        <v>28</v>
      </c>
      <c r="E587" s="166"/>
      <c r="F587" s="167"/>
      <c r="G587" s="248">
        <f>IF($E571&gt;0, $E571, $E570)</f>
        <v>1317</v>
      </c>
      <c r="H587" s="169">
        <f t="shared" si="84"/>
        <v>0</v>
      </c>
      <c r="I587" s="170"/>
      <c r="J587" s="248">
        <f>IF($E571&gt;0, $E571, $E570)</f>
        <v>1317</v>
      </c>
      <c r="K587" s="169">
        <f t="shared" si="87"/>
        <v>0</v>
      </c>
      <c r="L587" s="172">
        <f t="shared" si="83"/>
        <v>0</v>
      </c>
      <c r="M587" s="173" t="str">
        <f t="shared" si="85"/>
        <v/>
      </c>
    </row>
    <row r="588" spans="1:13" x14ac:dyDescent="0.2">
      <c r="A588" s="140" t="str">
        <f t="shared" si="86"/>
        <v>Streetlighting</v>
      </c>
      <c r="D588" s="174"/>
      <c r="E588" s="166"/>
      <c r="F588" s="167"/>
      <c r="G588" s="248">
        <f>IF($E571&gt;0, $E571, $E570)</f>
        <v>1317</v>
      </c>
      <c r="H588" s="169">
        <f t="shared" si="84"/>
        <v>0</v>
      </c>
      <c r="I588" s="170"/>
      <c r="J588" s="248">
        <f>IF($E571&gt;0, $E571, $E570)</f>
        <v>1317</v>
      </c>
      <c r="K588" s="169">
        <f t="shared" si="87"/>
        <v>0</v>
      </c>
      <c r="L588" s="172">
        <f t="shared" si="83"/>
        <v>0</v>
      </c>
      <c r="M588" s="173" t="str">
        <f t="shared" si="85"/>
        <v/>
      </c>
    </row>
    <row r="589" spans="1:13" x14ac:dyDescent="0.2">
      <c r="A589" s="140" t="str">
        <f t="shared" si="86"/>
        <v>Streetlighting</v>
      </c>
      <c r="D589" s="174"/>
      <c r="E589" s="166"/>
      <c r="F589" s="167"/>
      <c r="G589" s="248">
        <f>IF($E571&gt;0, $E571, $E570)</f>
        <v>1317</v>
      </c>
      <c r="H589" s="169">
        <f t="shared" si="84"/>
        <v>0</v>
      </c>
      <c r="I589" s="170"/>
      <c r="J589" s="248">
        <f>IF($E571&gt;0, $E571, $E570)</f>
        <v>1317</v>
      </c>
      <c r="K589" s="169">
        <f t="shared" si="87"/>
        <v>0</v>
      </c>
      <c r="L589" s="172">
        <f t="shared" si="83"/>
        <v>0</v>
      </c>
      <c r="M589" s="173" t="str">
        <f t="shared" si="85"/>
        <v/>
      </c>
    </row>
    <row r="590" spans="1:13" x14ac:dyDescent="0.2">
      <c r="A590" s="140" t="str">
        <f t="shared" si="86"/>
        <v>Streetlighting</v>
      </c>
      <c r="D590" s="174"/>
      <c r="E590" s="166"/>
      <c r="F590" s="167"/>
      <c r="G590" s="248">
        <f>IF($E571&gt;0, $E571, $E570)</f>
        <v>1317</v>
      </c>
      <c r="H590" s="169">
        <f t="shared" si="84"/>
        <v>0</v>
      </c>
      <c r="I590" s="170"/>
      <c r="J590" s="248">
        <f>IF($E571&gt;0, $E571, $E570)</f>
        <v>1317</v>
      </c>
      <c r="K590" s="169">
        <f t="shared" si="87"/>
        <v>0</v>
      </c>
      <c r="L590" s="172">
        <f t="shared" si="83"/>
        <v>0</v>
      </c>
      <c r="M590" s="173" t="str">
        <f t="shared" si="85"/>
        <v/>
      </c>
    </row>
    <row r="591" spans="1:13" x14ac:dyDescent="0.2">
      <c r="A591" s="140" t="str">
        <f t="shared" si="86"/>
        <v>Streetlighting</v>
      </c>
      <c r="D591" s="174"/>
      <c r="E591" s="166"/>
      <c r="F591" s="167"/>
      <c r="G591" s="248">
        <f>IF($E571&gt;0, $E571, $E570)</f>
        <v>1317</v>
      </c>
      <c r="H591" s="169">
        <f t="shared" si="84"/>
        <v>0</v>
      </c>
      <c r="I591" s="170"/>
      <c r="J591" s="248">
        <f>IF($E571&gt;0, $E571, $E570)</f>
        <v>1317</v>
      </c>
      <c r="K591" s="169">
        <f t="shared" si="87"/>
        <v>0</v>
      </c>
      <c r="L591" s="172">
        <f t="shared" si="83"/>
        <v>0</v>
      </c>
      <c r="M591" s="173" t="str">
        <f t="shared" si="85"/>
        <v/>
      </c>
    </row>
    <row r="592" spans="1:13" x14ac:dyDescent="0.2">
      <c r="A592" s="140" t="str">
        <f t="shared" si="86"/>
        <v>Streetlighting</v>
      </c>
      <c r="D592" s="174"/>
      <c r="E592" s="166"/>
      <c r="F592" s="167"/>
      <c r="G592" s="248">
        <f>IF($E571&gt;0, $E571, $E570)</f>
        <v>1317</v>
      </c>
      <c r="H592" s="169">
        <f t="shared" si="84"/>
        <v>0</v>
      </c>
      <c r="I592" s="170"/>
      <c r="J592" s="248">
        <f>IF($E571&gt;0, $E571, $E570)</f>
        <v>1317</v>
      </c>
      <c r="K592" s="169">
        <f t="shared" si="87"/>
        <v>0</v>
      </c>
      <c r="L592" s="172">
        <f t="shared" si="83"/>
        <v>0</v>
      </c>
      <c r="M592" s="173" t="str">
        <f t="shared" si="85"/>
        <v/>
      </c>
    </row>
    <row r="593" spans="1:13" x14ac:dyDescent="0.2">
      <c r="A593" s="140" t="str">
        <f t="shared" si="86"/>
        <v>Streetlighting</v>
      </c>
      <c r="D593" s="174" t="s">
        <v>2373</v>
      </c>
      <c r="E593" s="166" t="s">
        <v>2372</v>
      </c>
      <c r="F593" s="167"/>
      <c r="G593" s="248">
        <f>IF($E571&gt;0, $E571, $E570)</f>
        <v>1317</v>
      </c>
      <c r="H593" s="169">
        <f t="shared" si="84"/>
        <v>0</v>
      </c>
      <c r="I593" s="170">
        <v>1.3160000000000001</v>
      </c>
      <c r="J593" s="248">
        <f>IF($E571&gt;0, $E571, $E570)</f>
        <v>1317</v>
      </c>
      <c r="K593" s="169">
        <f t="shared" si="87"/>
        <v>1733.172</v>
      </c>
      <c r="L593" s="172">
        <f t="shared" si="83"/>
        <v>1733.172</v>
      </c>
      <c r="M593" s="173" t="str">
        <f t="shared" si="85"/>
        <v/>
      </c>
    </row>
    <row r="594" spans="1:13" x14ac:dyDescent="0.2">
      <c r="A594" s="140" t="str">
        <f t="shared" si="86"/>
        <v>Streetlighting</v>
      </c>
      <c r="D594" s="174"/>
      <c r="E594" s="166"/>
      <c r="F594" s="167"/>
      <c r="G594" s="248">
        <f>IF($E571&gt;0, $E571, $E570)</f>
        <v>1317</v>
      </c>
      <c r="H594" s="169">
        <f t="shared" si="84"/>
        <v>0</v>
      </c>
      <c r="I594" s="170"/>
      <c r="J594" s="248">
        <f>IF($E571&gt;0, $E571, $E570)</f>
        <v>1317</v>
      </c>
      <c r="K594" s="169">
        <f t="shared" si="87"/>
        <v>0</v>
      </c>
      <c r="L594" s="172">
        <f t="shared" si="83"/>
        <v>0</v>
      </c>
      <c r="M594" s="173" t="str">
        <f t="shared" si="85"/>
        <v/>
      </c>
    </row>
    <row r="595" spans="1:13" x14ac:dyDescent="0.2">
      <c r="A595" s="140" t="str">
        <f t="shared" si="86"/>
        <v>Streetlighting</v>
      </c>
      <c r="B595" s="338" t="s">
        <v>1891</v>
      </c>
      <c r="C595" s="337"/>
      <c r="D595" s="175" t="s">
        <v>617</v>
      </c>
      <c r="E595" s="176"/>
      <c r="F595" s="177"/>
      <c r="G595" s="178"/>
      <c r="H595" s="179">
        <f>SUM(H579:H594)</f>
        <v>11764.326999999999</v>
      </c>
      <c r="I595" s="180"/>
      <c r="J595" s="181"/>
      <c r="K595" s="179">
        <f>SUM(K579:K594)</f>
        <v>13249.1762</v>
      </c>
      <c r="L595" s="182">
        <f t="shared" si="83"/>
        <v>1484.8492000000006</v>
      </c>
      <c r="M595" s="183">
        <f>IF((H595)=0,"",(L595/H595))</f>
        <v>0.12621624679422808</v>
      </c>
    </row>
    <row r="596" spans="1:13" ht="25.5" x14ac:dyDescent="0.2">
      <c r="A596" s="140" t="str">
        <f t="shared" si="86"/>
        <v>Streetlighting</v>
      </c>
      <c r="D596" s="184" t="s">
        <v>29</v>
      </c>
      <c r="E596" s="166" t="s">
        <v>2366</v>
      </c>
      <c r="F596" s="167"/>
      <c r="G596" s="248">
        <f>IF($E571&gt;0, $E571, $E570)</f>
        <v>1317</v>
      </c>
      <c r="H596" s="169">
        <f>G596*F596</f>
        <v>0</v>
      </c>
      <c r="I596" s="170">
        <v>-3.2000000000000002E-3</v>
      </c>
      <c r="J596" s="248">
        <f>+E570</f>
        <v>469398</v>
      </c>
      <c r="K596" s="169">
        <f>J596*I596</f>
        <v>-1502.0736000000002</v>
      </c>
      <c r="L596" s="172">
        <f t="shared" si="83"/>
        <v>-1502.0736000000002</v>
      </c>
      <c r="M596" s="173" t="str">
        <f t="shared" si="85"/>
        <v/>
      </c>
    </row>
    <row r="597" spans="1:13" x14ac:dyDescent="0.2">
      <c r="A597" s="140" t="str">
        <f t="shared" si="86"/>
        <v>Streetlighting</v>
      </c>
      <c r="D597" s="184" t="s">
        <v>2367</v>
      </c>
      <c r="E597" s="166" t="s">
        <v>2372</v>
      </c>
      <c r="F597" s="167"/>
      <c r="G597" s="248">
        <f>IF($E571&gt;0, $E571, $E570)</f>
        <v>1317</v>
      </c>
      <c r="H597" s="169">
        <f t="shared" ref="H597:H601" si="88">G597*F597</f>
        <v>0</v>
      </c>
      <c r="I597" s="170">
        <v>1.6149</v>
      </c>
      <c r="J597" s="248">
        <f>IF($E571&gt;0, $E571, $E570)</f>
        <v>1317</v>
      </c>
      <c r="K597" s="169">
        <f t="shared" ref="K597:K601" si="89">J597*I597</f>
        <v>2126.8233</v>
      </c>
      <c r="L597" s="172">
        <f t="shared" si="83"/>
        <v>2126.8233</v>
      </c>
      <c r="M597" s="173" t="str">
        <f t="shared" si="85"/>
        <v/>
      </c>
    </row>
    <row r="598" spans="1:13" x14ac:dyDescent="0.2">
      <c r="A598" s="140" t="str">
        <f t="shared" si="86"/>
        <v>Streetlighting</v>
      </c>
      <c r="D598" s="184" t="s">
        <v>2368</v>
      </c>
      <c r="E598" s="166" t="s">
        <v>2372</v>
      </c>
      <c r="F598" s="167"/>
      <c r="G598" s="248">
        <f>IF($E571&gt;0, $E571, $E570)</f>
        <v>1317</v>
      </c>
      <c r="H598" s="169">
        <f t="shared" si="88"/>
        <v>0</v>
      </c>
      <c r="I598" s="170">
        <v>-0.6794</v>
      </c>
      <c r="J598" s="248">
        <f>IF($E571&gt;0, $E571, $E570)</f>
        <v>1317</v>
      </c>
      <c r="K598" s="169">
        <f t="shared" si="89"/>
        <v>-894.76980000000003</v>
      </c>
      <c r="L598" s="172">
        <f t="shared" si="83"/>
        <v>-894.76980000000003</v>
      </c>
      <c r="M598" s="173" t="str">
        <f t="shared" si="85"/>
        <v/>
      </c>
    </row>
    <row r="599" spans="1:13" x14ac:dyDescent="0.2">
      <c r="A599" s="140" t="str">
        <f t="shared" si="86"/>
        <v>Streetlighting</v>
      </c>
      <c r="D599" s="184" t="s">
        <v>2371</v>
      </c>
      <c r="E599" s="166" t="s">
        <v>2366</v>
      </c>
      <c r="F599" s="167"/>
      <c r="G599" s="248">
        <f>IF($E571&gt;0, $E571, $E570)</f>
        <v>1317</v>
      </c>
      <c r="H599" s="169">
        <f t="shared" si="88"/>
        <v>0</v>
      </c>
      <c r="I599" s="170">
        <v>7.0000000000000001E-3</v>
      </c>
      <c r="J599" s="248">
        <f>+E570</f>
        <v>469398</v>
      </c>
      <c r="K599" s="169">
        <f t="shared" si="89"/>
        <v>3285.7860000000001</v>
      </c>
      <c r="L599" s="172">
        <f t="shared" si="83"/>
        <v>3285.7860000000001</v>
      </c>
      <c r="M599" s="173" t="str">
        <f t="shared" si="85"/>
        <v/>
      </c>
    </row>
    <row r="600" spans="1:13" x14ac:dyDescent="0.2">
      <c r="A600" s="140" t="str">
        <f t="shared" si="86"/>
        <v>Streetlighting</v>
      </c>
      <c r="D600" s="185" t="s">
        <v>605</v>
      </c>
      <c r="E600" s="166" t="s">
        <v>2372</v>
      </c>
      <c r="F600" s="167">
        <v>5.3199999999999997E-2</v>
      </c>
      <c r="G600" s="248">
        <f>IF($E571&gt;0, $E571, $E570)</f>
        <v>1317</v>
      </c>
      <c r="H600" s="169">
        <f>G600*F600</f>
        <v>70.064399999999992</v>
      </c>
      <c r="I600" s="170">
        <v>0.17630000000000001</v>
      </c>
      <c r="J600" s="248">
        <f>IF($E571&gt;0, $E571, $E570)</f>
        <v>1317</v>
      </c>
      <c r="K600" s="169">
        <f>J600*I600</f>
        <v>232.18710000000002</v>
      </c>
      <c r="L600" s="172">
        <f t="shared" si="83"/>
        <v>162.12270000000001</v>
      </c>
      <c r="M600" s="173">
        <f t="shared" si="85"/>
        <v>2.3139097744360906</v>
      </c>
    </row>
    <row r="601" spans="1:13" x14ac:dyDescent="0.2">
      <c r="A601" s="140" t="str">
        <f t="shared" si="86"/>
        <v>Streetlighting</v>
      </c>
      <c r="D601" s="185" t="s">
        <v>928</v>
      </c>
      <c r="E601" s="166"/>
      <c r="F601" s="186">
        <f>IF((E570*12&gt;=150000), 0, IF(E569="RPP",(F612*0.64+F613*0.18+F614*0.18),IF(E569="Non-RPP (Retailer)",F615,F616)))</f>
        <v>0</v>
      </c>
      <c r="G601" s="249">
        <f>IF(F601=0, 0, $E570*E572-E570)</f>
        <v>0</v>
      </c>
      <c r="H601" s="169">
        <f t="shared" si="88"/>
        <v>0</v>
      </c>
      <c r="I601" s="187">
        <f>IF((E570*12&gt;=150000), 0, IF(E569="RPP",(I612*0.64+I613*0.18+I614*0.18),IF(E569="Non-RPP (Retailer)",I615,I616)))</f>
        <v>0</v>
      </c>
      <c r="J601" s="249">
        <f>IF(I601=0, 0, E570*E573-E570)</f>
        <v>0</v>
      </c>
      <c r="K601" s="169">
        <f t="shared" si="89"/>
        <v>0</v>
      </c>
      <c r="L601" s="172">
        <f t="shared" si="83"/>
        <v>0</v>
      </c>
      <c r="M601" s="173" t="str">
        <f t="shared" si="85"/>
        <v/>
      </c>
    </row>
    <row r="602" spans="1:13" x14ac:dyDescent="0.2">
      <c r="A602" s="140" t="str">
        <f t="shared" si="86"/>
        <v>Streetlighting</v>
      </c>
      <c r="D602" s="185" t="s">
        <v>562</v>
      </c>
      <c r="E602" s="166"/>
      <c r="F602" s="186"/>
      <c r="G602" s="168"/>
      <c r="H602" s="169"/>
      <c r="I602" s="186"/>
      <c r="J602" s="168"/>
      <c r="K602" s="169">
        <f>J602*I602</f>
        <v>0</v>
      </c>
      <c r="L602" s="172">
        <f t="shared" si="83"/>
        <v>0</v>
      </c>
      <c r="M602" s="173" t="str">
        <f t="shared" si="85"/>
        <v/>
      </c>
    </row>
    <row r="603" spans="1:13" ht="25.5" x14ac:dyDescent="0.2">
      <c r="A603" s="140" t="str">
        <f t="shared" si="86"/>
        <v>Streetlighting</v>
      </c>
      <c r="B603" s="158" t="s">
        <v>1892</v>
      </c>
      <c r="D603" s="188" t="s">
        <v>560</v>
      </c>
      <c r="E603" s="189"/>
      <c r="F603" s="190"/>
      <c r="G603" s="178"/>
      <c r="H603" s="191">
        <f>SUM(H596:H602)+H595</f>
        <v>11834.391399999999</v>
      </c>
      <c r="I603" s="178"/>
      <c r="J603" s="181"/>
      <c r="K603" s="191">
        <f>SUM(K596:K602)+K595</f>
        <v>16497.129199999999</v>
      </c>
      <c r="L603" s="182">
        <f t="shared" si="83"/>
        <v>4662.7378000000008</v>
      </c>
      <c r="M603" s="183">
        <f>IF((H603)=0,"",(L603/H603))</f>
        <v>0.39399895122616962</v>
      </c>
    </row>
    <row r="604" spans="1:13" x14ac:dyDescent="0.2">
      <c r="A604" s="140" t="str">
        <f t="shared" si="86"/>
        <v>Streetlighting</v>
      </c>
      <c r="D604" s="192" t="s">
        <v>30</v>
      </c>
      <c r="E604" s="193" t="s">
        <v>2372</v>
      </c>
      <c r="F604" s="170">
        <v>2.2172999999999998</v>
      </c>
      <c r="G604" s="249">
        <f>IF($E571&gt;0, $E571, $E570*$E572)</f>
        <v>1317</v>
      </c>
      <c r="H604" s="169">
        <f>G604*F604</f>
        <v>2920.1840999999999</v>
      </c>
      <c r="I604" s="170">
        <v>2.0501</v>
      </c>
      <c r="J604" s="249">
        <f>IF($E571&gt;0, $E571, $E570*$E573)</f>
        <v>1317</v>
      </c>
      <c r="K604" s="169">
        <f>J604*I604</f>
        <v>2699.9816999999998</v>
      </c>
      <c r="L604" s="172">
        <f t="shared" si="83"/>
        <v>-220.20240000000013</v>
      </c>
      <c r="M604" s="173">
        <f t="shared" si="85"/>
        <v>-7.540702656383895E-2</v>
      </c>
    </row>
    <row r="605" spans="1:13" ht="25.5" x14ac:dyDescent="0.2">
      <c r="A605" s="140" t="str">
        <f t="shared" si="86"/>
        <v>Streetlighting</v>
      </c>
      <c r="D605" s="194" t="s">
        <v>31</v>
      </c>
      <c r="E605" s="193" t="s">
        <v>2372</v>
      </c>
      <c r="F605" s="170">
        <v>1.6566000000000001</v>
      </c>
      <c r="G605" s="249">
        <f>IF($E571&gt;0, $E571, $E570*$E572)</f>
        <v>1317</v>
      </c>
      <c r="H605" s="169">
        <f>G605*F605</f>
        <v>2181.7422000000001</v>
      </c>
      <c r="I605" s="170">
        <v>1.6519999999999999</v>
      </c>
      <c r="J605" s="249">
        <f>IF($E571&gt;0, $E571, $E570*$E573)</f>
        <v>1317</v>
      </c>
      <c r="K605" s="169">
        <f>J605*I605</f>
        <v>2175.6839999999997</v>
      </c>
      <c r="L605" s="172">
        <f t="shared" si="83"/>
        <v>-6.0582000000003973</v>
      </c>
      <c r="M605" s="173">
        <f t="shared" si="85"/>
        <v>-2.7767717010746718E-3</v>
      </c>
    </row>
    <row r="606" spans="1:13" ht="25.5" x14ac:dyDescent="0.2">
      <c r="A606" s="140" t="str">
        <f t="shared" si="86"/>
        <v>Streetlighting</v>
      </c>
      <c r="B606" s="158" t="s">
        <v>1893</v>
      </c>
      <c r="D606" s="188" t="s">
        <v>561</v>
      </c>
      <c r="E606" s="176"/>
      <c r="F606" s="195"/>
      <c r="G606" s="178"/>
      <c r="H606" s="191">
        <f>SUM(H603:H605)</f>
        <v>16936.3177</v>
      </c>
      <c r="I606" s="196"/>
      <c r="J606" s="197"/>
      <c r="K606" s="191">
        <f>SUM(K603:K605)</f>
        <v>21372.794900000001</v>
      </c>
      <c r="L606" s="182">
        <f t="shared" si="83"/>
        <v>4436.4772000000012</v>
      </c>
      <c r="M606" s="183">
        <f>IF((H606)=0,"",(L606/H606))</f>
        <v>0.26195051832311822</v>
      </c>
    </row>
    <row r="607" spans="1:13" ht="25.5" x14ac:dyDescent="0.2">
      <c r="A607" s="140" t="str">
        <f t="shared" si="86"/>
        <v>Streetlighting</v>
      </c>
      <c r="D607" s="198" t="s">
        <v>32</v>
      </c>
      <c r="E607" s="166" t="s">
        <v>2366</v>
      </c>
      <c r="F607" s="199">
        <v>4.4000000000000003E-3</v>
      </c>
      <c r="G607" s="249">
        <f>E570*E572</f>
        <v>486390.20760000002</v>
      </c>
      <c r="H607" s="200">
        <f t="shared" ref="H607:H614" si="90">G607*F607</f>
        <v>2140.1169134400002</v>
      </c>
      <c r="I607" s="201">
        <v>3.5999999999999999E-3</v>
      </c>
      <c r="J607" s="249">
        <f>E570*E573</f>
        <v>487000.42500000005</v>
      </c>
      <c r="K607" s="200">
        <f t="shared" ref="K607:K614" si="91">J607*I607</f>
        <v>1753.20153</v>
      </c>
      <c r="L607" s="172">
        <f t="shared" si="83"/>
        <v>-386.91538344000014</v>
      </c>
      <c r="M607" s="173">
        <f t="shared" si="85"/>
        <v>-0.18079170395325583</v>
      </c>
    </row>
    <row r="608" spans="1:13" ht="25.5" x14ac:dyDescent="0.2">
      <c r="A608" s="140" t="str">
        <f t="shared" si="86"/>
        <v>Streetlighting</v>
      </c>
      <c r="D608" s="198" t="s">
        <v>33</v>
      </c>
      <c r="E608" s="166" t="s">
        <v>2366</v>
      </c>
      <c r="F608" s="199">
        <v>1.2999999999999999E-3</v>
      </c>
      <c r="G608" s="249">
        <f>E570*E572</f>
        <v>486390.20760000002</v>
      </c>
      <c r="H608" s="200">
        <f t="shared" si="90"/>
        <v>632.30726988000004</v>
      </c>
      <c r="I608" s="201">
        <v>1.2999999999999999E-3</v>
      </c>
      <c r="J608" s="249">
        <f>E570*E573</f>
        <v>487000.42500000005</v>
      </c>
      <c r="K608" s="200">
        <f t="shared" si="91"/>
        <v>633.10055250000005</v>
      </c>
      <c r="L608" s="172">
        <f t="shared" si="83"/>
        <v>0.79328262000001359</v>
      </c>
      <c r="M608" s="173">
        <f t="shared" si="85"/>
        <v>1.2545840571318492E-3</v>
      </c>
    </row>
    <row r="609" spans="1:13" x14ac:dyDescent="0.2">
      <c r="A609" s="140" t="str">
        <f t="shared" si="86"/>
        <v>Streetlighting</v>
      </c>
      <c r="D609" s="165" t="s">
        <v>34</v>
      </c>
      <c r="E609" s="166" t="s">
        <v>2365</v>
      </c>
      <c r="F609" s="199">
        <v>0.25</v>
      </c>
      <c r="G609" s="168">
        <v>1</v>
      </c>
      <c r="H609" s="200">
        <f t="shared" si="90"/>
        <v>0.25</v>
      </c>
      <c r="I609" s="201">
        <v>0.25</v>
      </c>
      <c r="J609" s="171">
        <v>1</v>
      </c>
      <c r="K609" s="200">
        <f t="shared" si="91"/>
        <v>0.25</v>
      </c>
      <c r="L609" s="172">
        <f t="shared" si="83"/>
        <v>0</v>
      </c>
      <c r="M609" s="173">
        <f t="shared" si="85"/>
        <v>0</v>
      </c>
    </row>
    <row r="610" spans="1:13" x14ac:dyDescent="0.2">
      <c r="A610" s="140" t="str">
        <f t="shared" si="86"/>
        <v>Streetlighting</v>
      </c>
      <c r="D610" s="165" t="s">
        <v>35</v>
      </c>
      <c r="E610" s="166" t="s">
        <v>2366</v>
      </c>
      <c r="F610" s="199">
        <v>7.0000000000000001E-3</v>
      </c>
      <c r="G610" s="248">
        <f>E570</f>
        <v>469398</v>
      </c>
      <c r="H610" s="200">
        <f t="shared" si="90"/>
        <v>3285.7860000000001</v>
      </c>
      <c r="I610" s="199">
        <v>7.0000000000000001E-3</v>
      </c>
      <c r="J610" s="202">
        <f>+J596</f>
        <v>469398</v>
      </c>
      <c r="K610" s="200">
        <f t="shared" si="91"/>
        <v>3285.7860000000001</v>
      </c>
      <c r="L610" s="172">
        <f t="shared" si="83"/>
        <v>0</v>
      </c>
      <c r="M610" s="173">
        <f t="shared" si="85"/>
        <v>0</v>
      </c>
    </row>
    <row r="611" spans="1:13" ht="25.5" x14ac:dyDescent="0.2">
      <c r="A611" s="140" t="str">
        <f t="shared" si="86"/>
        <v>Streetlighting</v>
      </c>
      <c r="D611" s="198" t="s">
        <v>1939</v>
      </c>
      <c r="E611" s="166" t="s">
        <v>2366</v>
      </c>
      <c r="F611" s="202"/>
      <c r="G611" s="202"/>
      <c r="H611" s="202"/>
      <c r="I611" s="201">
        <v>1.1000000000000001E-3</v>
      </c>
      <c r="J611" s="249">
        <f>+J607</f>
        <v>487000.42500000005</v>
      </c>
      <c r="K611" s="200">
        <f t="shared" ref="K611" si="92">J611*I611</f>
        <v>535.70046750000006</v>
      </c>
      <c r="L611" s="172">
        <f t="shared" si="83"/>
        <v>535.70046750000006</v>
      </c>
      <c r="M611" s="173">
        <v>1</v>
      </c>
    </row>
    <row r="612" spans="1:13" hidden="1" x14ac:dyDescent="0.2">
      <c r="A612" s="140" t="str">
        <f>A610</f>
        <v>Streetlighting</v>
      </c>
      <c r="B612" s="158" t="s">
        <v>1871</v>
      </c>
      <c r="D612" s="185" t="s">
        <v>582</v>
      </c>
      <c r="E612" s="166"/>
      <c r="F612" s="203">
        <v>0.08</v>
      </c>
      <c r="G612" s="250">
        <f>IF(AND(E570*12&gt;=150000),0.64*E570*E572,0.64*E570)</f>
        <v>311289.73286400002</v>
      </c>
      <c r="H612" s="200">
        <f t="shared" si="90"/>
        <v>24903.178629120001</v>
      </c>
      <c r="I612" s="203">
        <v>0.08</v>
      </c>
      <c r="J612" s="250">
        <f>IF(AND(E570*12&gt;=150000),0.64*E570*E573,0.64*E570)</f>
        <v>311680.27200000006</v>
      </c>
      <c r="K612" s="200">
        <f t="shared" si="91"/>
        <v>24934.421760000005</v>
      </c>
      <c r="L612" s="172">
        <f>K612-H612</f>
        <v>31.243130880004173</v>
      </c>
      <c r="M612" s="173">
        <f t="shared" si="85"/>
        <v>1.2545840571319953E-3</v>
      </c>
    </row>
    <row r="613" spans="1:13" hidden="1" x14ac:dyDescent="0.2">
      <c r="A613" s="140" t="str">
        <f t="shared" si="86"/>
        <v>Streetlighting</v>
      </c>
      <c r="B613" s="158" t="s">
        <v>1871</v>
      </c>
      <c r="D613" s="185" t="s">
        <v>583</v>
      </c>
      <c r="E613" s="166"/>
      <c r="F613" s="203">
        <v>0.122</v>
      </c>
      <c r="G613" s="250">
        <f>IF(AND(E570*12&gt;=150000),0.18*E570*E572,0.18*E570)</f>
        <v>87550.237368000002</v>
      </c>
      <c r="H613" s="200">
        <f t="shared" si="90"/>
        <v>10681.128958896001</v>
      </c>
      <c r="I613" s="203">
        <v>0.122</v>
      </c>
      <c r="J613" s="250">
        <f>IF(AND(E570*12&gt;=150000),0.18*E570*E573,0.18*E570)</f>
        <v>87660.07650000001</v>
      </c>
      <c r="K613" s="200">
        <f t="shared" si="91"/>
        <v>10694.529333</v>
      </c>
      <c r="L613" s="172">
        <f>K613-H613</f>
        <v>13.400374103999638</v>
      </c>
      <c r="M613" s="173">
        <f t="shared" si="85"/>
        <v>1.2545840571317939E-3</v>
      </c>
    </row>
    <row r="614" spans="1:13" hidden="1" x14ac:dyDescent="0.2">
      <c r="A614" s="140" t="str">
        <f t="shared" si="86"/>
        <v>Streetlighting</v>
      </c>
      <c r="B614" s="158" t="s">
        <v>1871</v>
      </c>
      <c r="D614" s="158" t="s">
        <v>584</v>
      </c>
      <c r="E614" s="166"/>
      <c r="F614" s="203">
        <v>0.161</v>
      </c>
      <c r="G614" s="250">
        <f>IF(AND(E570*12&gt;=150000),0.18*E570*E572,0.18*E570)</f>
        <v>87550.237368000002</v>
      </c>
      <c r="H614" s="200">
        <f t="shared" si="90"/>
        <v>14095.588216248001</v>
      </c>
      <c r="I614" s="203">
        <v>0.161</v>
      </c>
      <c r="J614" s="250">
        <f>IF(AND(E570*12&gt;=150000),0.18*E570*E573,0.18*E570)</f>
        <v>87660.07650000001</v>
      </c>
      <c r="K614" s="200">
        <f t="shared" si="91"/>
        <v>14113.272316500002</v>
      </c>
      <c r="L614" s="172">
        <f>K614-H614</f>
        <v>17.684100252001372</v>
      </c>
      <c r="M614" s="173">
        <f t="shared" si="85"/>
        <v>1.2545840571319251E-3</v>
      </c>
    </row>
    <row r="615" spans="1:13" hidden="1" x14ac:dyDescent="0.2">
      <c r="A615" s="140" t="str">
        <f t="shared" si="86"/>
        <v>Streetlighting</v>
      </c>
      <c r="B615" s="140" t="s">
        <v>1872</v>
      </c>
      <c r="D615" s="185" t="s">
        <v>1894</v>
      </c>
      <c r="E615" s="166"/>
      <c r="F615" s="203">
        <v>8.5999999999999993E-2</v>
      </c>
      <c r="G615" s="250">
        <f>IF(AND(E570*12&gt;=150000),E570*E572,E570)</f>
        <v>486390.20760000002</v>
      </c>
      <c r="H615" s="200">
        <f>G615*F615</f>
        <v>41829.557853599996</v>
      </c>
      <c r="I615" s="203">
        <v>8.5999999999999993E-2</v>
      </c>
      <c r="J615" s="250">
        <f>IF(AND(E570*12&gt;=150000),E570*E573,E570)</f>
        <v>487000.42500000005</v>
      </c>
      <c r="K615" s="200">
        <f>J615*I615</f>
        <v>41882.036549999997</v>
      </c>
      <c r="L615" s="172">
        <f>K615-H615</f>
        <v>52.478696400001354</v>
      </c>
      <c r="M615" s="173">
        <f t="shared" si="85"/>
        <v>1.2545840571318604E-3</v>
      </c>
    </row>
    <row r="616" spans="1:13" ht="13.5" thickBot="1" x14ac:dyDescent="0.25">
      <c r="A616" s="140" t="str">
        <f t="shared" si="86"/>
        <v>Streetlighting</v>
      </c>
      <c r="B616" s="140" t="s">
        <v>1873</v>
      </c>
      <c r="D616" s="185" t="s">
        <v>1895</v>
      </c>
      <c r="E616" s="166"/>
      <c r="F616" s="199">
        <f>0.0906</f>
        <v>9.06E-2</v>
      </c>
      <c r="G616" s="251">
        <f>IF(AND(E570*12&gt;=150000),E570*E572,E570)</f>
        <v>486390.20760000002</v>
      </c>
      <c r="H616" s="200">
        <f>G616*F616</f>
        <v>44066.952808560003</v>
      </c>
      <c r="I616" s="199">
        <f>0.0906</f>
        <v>9.06E-2</v>
      </c>
      <c r="J616" s="251">
        <f>IF(AND(E570*12&gt;=150000),E570*E573,E570)</f>
        <v>487000.42500000005</v>
      </c>
      <c r="K616" s="200">
        <f>J616*I616</f>
        <v>44122.238505000001</v>
      </c>
      <c r="L616" s="172">
        <f>K616-H616</f>
        <v>55.285696439997992</v>
      </c>
      <c r="M616" s="173">
        <f t="shared" si="85"/>
        <v>1.2545840571317822E-3</v>
      </c>
    </row>
    <row r="617" spans="1:13" ht="13.5" thickBot="1" x14ac:dyDescent="0.25">
      <c r="A617" s="140" t="str">
        <f t="shared" si="86"/>
        <v>Streetlighting</v>
      </c>
      <c r="B617" s="158"/>
      <c r="D617" s="204"/>
      <c r="E617" s="205"/>
      <c r="F617" s="206"/>
      <c r="G617" s="207"/>
      <c r="H617" s="208"/>
      <c r="I617" s="206"/>
      <c r="J617" s="209"/>
      <c r="K617" s="208"/>
      <c r="L617" s="210"/>
      <c r="M617" s="211"/>
    </row>
    <row r="618" spans="1:13" hidden="1" x14ac:dyDescent="0.2">
      <c r="A618" s="140" t="str">
        <f t="shared" si="86"/>
        <v>Streetlighting</v>
      </c>
      <c r="B618" s="158" t="s">
        <v>1871</v>
      </c>
      <c r="D618" s="212" t="s">
        <v>585</v>
      </c>
      <c r="E618" s="165"/>
      <c r="F618" s="213"/>
      <c r="G618" s="214"/>
      <c r="H618" s="215">
        <f>SUM(H607:H614,H606)</f>
        <v>72674.673687584</v>
      </c>
      <c r="I618" s="216"/>
      <c r="J618" s="216"/>
      <c r="K618" s="215">
        <f>SUM(K607:K614,K606)</f>
        <v>77323.056859500008</v>
      </c>
      <c r="L618" s="217">
        <f>K618-H618</f>
        <v>4648.383171916008</v>
      </c>
      <c r="M618" s="218">
        <f>IF((H618)=0,"",(L618/H618))</f>
        <v>6.3961527944364951E-2</v>
      </c>
    </row>
    <row r="619" spans="1:13" hidden="1" x14ac:dyDescent="0.2">
      <c r="A619" s="140" t="str">
        <f t="shared" si="86"/>
        <v>Streetlighting</v>
      </c>
      <c r="B619" s="158" t="s">
        <v>1871</v>
      </c>
      <c r="D619" s="219" t="s">
        <v>36</v>
      </c>
      <c r="E619" s="165"/>
      <c r="F619" s="213">
        <v>0.13</v>
      </c>
      <c r="G619" s="220"/>
      <c r="H619" s="221">
        <f>H618*F619</f>
        <v>9447.7075793859203</v>
      </c>
      <c r="I619" s="222">
        <v>0.13</v>
      </c>
      <c r="J619" s="223"/>
      <c r="K619" s="221">
        <f>K618*I619</f>
        <v>10051.997391735002</v>
      </c>
      <c r="L619" s="224">
        <f>K619-H619</f>
        <v>604.28981234908133</v>
      </c>
      <c r="M619" s="225">
        <f>IF((H619)=0,"",(L619/H619))</f>
        <v>6.3961527944364979E-2</v>
      </c>
    </row>
    <row r="620" spans="1:13" hidden="1" x14ac:dyDescent="0.2">
      <c r="A620" s="140" t="str">
        <f t="shared" si="86"/>
        <v>Streetlighting</v>
      </c>
      <c r="B620" s="158" t="s">
        <v>1871</v>
      </c>
      <c r="D620" s="226" t="s">
        <v>586</v>
      </c>
      <c r="E620" s="165"/>
      <c r="F620" s="227"/>
      <c r="G620" s="220"/>
      <c r="H620" s="221">
        <f>H618+H619</f>
        <v>82122.381266969925</v>
      </c>
      <c r="I620" s="223"/>
      <c r="J620" s="223"/>
      <c r="K620" s="221">
        <f>K618+K619</f>
        <v>87375.054251235008</v>
      </c>
      <c r="L620" s="224">
        <f>K620-H620</f>
        <v>5252.6729842650821</v>
      </c>
      <c r="M620" s="225">
        <f>IF((H620)=0,"",(L620/H620))</f>
        <v>6.3961527944364854E-2</v>
      </c>
    </row>
    <row r="621" spans="1:13" hidden="1" x14ac:dyDescent="0.2">
      <c r="A621" s="140" t="str">
        <f t="shared" si="86"/>
        <v>Streetlighting</v>
      </c>
      <c r="B621" s="158" t="s">
        <v>1871</v>
      </c>
      <c r="D621" s="2465" t="s">
        <v>264</v>
      </c>
      <c r="E621" s="2465"/>
      <c r="F621" s="227"/>
      <c r="G621" s="220"/>
      <c r="H621" s="228">
        <f>ROUND(-H620*10%,2)</f>
        <v>-8212.24</v>
      </c>
      <c r="I621" s="202"/>
      <c r="J621" s="202"/>
      <c r="K621" s="202"/>
      <c r="L621" s="202"/>
      <c r="M621" s="229"/>
    </row>
    <row r="622" spans="1:13" ht="13.5" hidden="1" thickBot="1" x14ac:dyDescent="0.25">
      <c r="A622" s="140" t="str">
        <f t="shared" si="86"/>
        <v>Streetlighting</v>
      </c>
      <c r="B622" s="158" t="s">
        <v>1896</v>
      </c>
      <c r="D622" s="2466" t="s">
        <v>1897</v>
      </c>
      <c r="E622" s="2466"/>
      <c r="F622" s="230"/>
      <c r="G622" s="231"/>
      <c r="H622" s="232">
        <f>H620+H621</f>
        <v>73910.14126696992</v>
      </c>
      <c r="I622" s="233"/>
      <c r="J622" s="233"/>
      <c r="K622" s="232">
        <f>K620+K621</f>
        <v>87375.054251235008</v>
      </c>
      <c r="L622" s="234">
        <f>K622-H622</f>
        <v>13464.912984265087</v>
      </c>
      <c r="M622" s="235">
        <f>IF((H622)=0,"",(L622/H622))</f>
        <v>0.18217950545688499</v>
      </c>
    </row>
    <row r="623" spans="1:13" ht="13.5" hidden="1" thickBot="1" x14ac:dyDescent="0.25">
      <c r="A623" s="140" t="str">
        <f t="shared" si="86"/>
        <v>Streetlighting</v>
      </c>
      <c r="B623" s="140" t="s">
        <v>1871</v>
      </c>
      <c r="D623" s="204"/>
      <c r="E623" s="205"/>
      <c r="F623" s="206"/>
      <c r="G623" s="207"/>
      <c r="H623" s="208"/>
      <c r="I623" s="206"/>
      <c r="J623" s="209"/>
      <c r="K623" s="208"/>
      <c r="L623" s="210"/>
      <c r="M623" s="211"/>
    </row>
    <row r="624" spans="1:13" hidden="1" x14ac:dyDescent="0.2">
      <c r="A624" s="140" t="str">
        <f t="shared" si="86"/>
        <v>Streetlighting</v>
      </c>
      <c r="B624" s="140" t="s">
        <v>1872</v>
      </c>
      <c r="D624" s="212" t="s">
        <v>1898</v>
      </c>
      <c r="E624" s="165"/>
      <c r="F624" s="213"/>
      <c r="G624" s="214"/>
      <c r="H624" s="215">
        <f>SUM(H615,H606,H607:H612)</f>
        <v>89727.514366039992</v>
      </c>
      <c r="I624" s="216"/>
      <c r="J624" s="216"/>
      <c r="K624" s="215">
        <f>SUM(K615,K606,K607:K612)</f>
        <v>94397.291760000022</v>
      </c>
      <c r="L624" s="217">
        <f>K624-H624</f>
        <v>4669.7773939600302</v>
      </c>
      <c r="M624" s="218">
        <f>IF((H624)=0,"",(L624/H624))</f>
        <v>5.2043984801694719E-2</v>
      </c>
    </row>
    <row r="625" spans="1:13" hidden="1" x14ac:dyDescent="0.2">
      <c r="A625" s="140" t="str">
        <f t="shared" si="86"/>
        <v>Streetlighting</v>
      </c>
      <c r="B625" s="140" t="s">
        <v>1872</v>
      </c>
      <c r="D625" s="219" t="s">
        <v>36</v>
      </c>
      <c r="E625" s="165"/>
      <c r="F625" s="213">
        <v>0.13</v>
      </c>
      <c r="G625" s="214"/>
      <c r="H625" s="221">
        <f>H624*F625</f>
        <v>11664.5768675852</v>
      </c>
      <c r="I625" s="236">
        <v>0.13</v>
      </c>
      <c r="J625" s="222"/>
      <c r="K625" s="221">
        <f>K624*I625</f>
        <v>12271.647928800003</v>
      </c>
      <c r="L625" s="224">
        <f>K625-H625</f>
        <v>607.07106121480319</v>
      </c>
      <c r="M625" s="225">
        <f>IF((H625)=0,"",(L625/H625))</f>
        <v>5.2043984801694657E-2</v>
      </c>
    </row>
    <row r="626" spans="1:13" hidden="1" x14ac:dyDescent="0.2">
      <c r="A626" s="140" t="str">
        <f t="shared" si="86"/>
        <v>Streetlighting</v>
      </c>
      <c r="B626" s="140" t="s">
        <v>1872</v>
      </c>
      <c r="D626" s="226" t="s">
        <v>586</v>
      </c>
      <c r="E626" s="165"/>
      <c r="F626" s="227"/>
      <c r="G626" s="220"/>
      <c r="H626" s="221">
        <f>H624+H625</f>
        <v>101392.09123362519</v>
      </c>
      <c r="I626" s="223"/>
      <c r="J626" s="223"/>
      <c r="K626" s="221">
        <f>K624+K625</f>
        <v>106668.93968880002</v>
      </c>
      <c r="L626" s="224">
        <f>K626-H626</f>
        <v>5276.8484551748261</v>
      </c>
      <c r="M626" s="225">
        <f>IF((H626)=0,"",(L626/H626))</f>
        <v>5.2043984801694643E-2</v>
      </c>
    </row>
    <row r="627" spans="1:13" hidden="1" x14ac:dyDescent="0.2">
      <c r="A627" s="140" t="str">
        <f t="shared" si="86"/>
        <v>Streetlighting</v>
      </c>
      <c r="B627" s="140" t="s">
        <v>1872</v>
      </c>
      <c r="D627" s="2465" t="s">
        <v>264</v>
      </c>
      <c r="E627" s="2465"/>
      <c r="F627" s="227"/>
      <c r="G627" s="220"/>
      <c r="H627" s="228">
        <f>ROUND(-H626*10%,2)</f>
        <v>-10139.209999999999</v>
      </c>
      <c r="I627" s="202"/>
      <c r="J627" s="202"/>
      <c r="K627" s="202"/>
      <c r="L627" s="202"/>
      <c r="M627" s="229"/>
    </row>
    <row r="628" spans="1:13" ht="13.5" hidden="1" thickBot="1" x14ac:dyDescent="0.25">
      <c r="A628" s="140" t="str">
        <f t="shared" si="86"/>
        <v>Streetlighting</v>
      </c>
      <c r="B628" s="140" t="s">
        <v>1899</v>
      </c>
      <c r="D628" s="2466" t="s">
        <v>1898</v>
      </c>
      <c r="E628" s="2466"/>
      <c r="F628" s="237"/>
      <c r="G628" s="238"/>
      <c r="H628" s="239">
        <f>SUM(H626:H627)</f>
        <v>91252.881233625201</v>
      </c>
      <c r="I628" s="240"/>
      <c r="J628" s="240"/>
      <c r="K628" s="239">
        <f>SUM(K626:K627)</f>
        <v>106668.93968880002</v>
      </c>
      <c r="L628" s="241">
        <f>K628-H628</f>
        <v>15416.058455174818</v>
      </c>
      <c r="M628" s="242">
        <f>IF((H628)=0,"",(L628/H628))</f>
        <v>0.16893777212038597</v>
      </c>
    </row>
    <row r="629" spans="1:13" ht="13.5" hidden="1" thickBot="1" x14ac:dyDescent="0.25">
      <c r="A629" s="140" t="str">
        <f t="shared" si="86"/>
        <v>Streetlighting</v>
      </c>
      <c r="B629" s="140" t="s">
        <v>1872</v>
      </c>
      <c r="D629" s="204"/>
      <c r="E629" s="205"/>
      <c r="F629" s="243"/>
      <c r="G629" s="244"/>
      <c r="H629" s="245"/>
      <c r="I629" s="243"/>
      <c r="J629" s="207"/>
      <c r="K629" s="245"/>
      <c r="L629" s="246"/>
      <c r="M629" s="211"/>
    </row>
    <row r="630" spans="1:13" x14ac:dyDescent="0.2">
      <c r="A630" s="140" t="str">
        <f t="shared" si="86"/>
        <v>Streetlighting</v>
      </c>
      <c r="B630" s="140" t="s">
        <v>1873</v>
      </c>
      <c r="D630" s="212" t="s">
        <v>1900</v>
      </c>
      <c r="E630" s="165"/>
      <c r="F630" s="213"/>
      <c r="G630" s="214"/>
      <c r="H630" s="215">
        <f>SUM(H616,H606:H610)</f>
        <v>67061.730691880002</v>
      </c>
      <c r="I630" s="216"/>
      <c r="J630" s="216"/>
      <c r="K630" s="215">
        <f>SUM(K616,K606:K611)</f>
        <v>71703.071955000007</v>
      </c>
      <c r="L630" s="217">
        <f>K630-H630</f>
        <v>4641.3412631200044</v>
      </c>
      <c r="M630" s="218">
        <f>IF((H630)=0,"",(L630/H630))</f>
        <v>6.9209983327823493E-2</v>
      </c>
    </row>
    <row r="631" spans="1:13" x14ac:dyDescent="0.2">
      <c r="A631" s="140" t="str">
        <f t="shared" si="86"/>
        <v>Streetlighting</v>
      </c>
      <c r="B631" s="140" t="s">
        <v>1873</v>
      </c>
      <c r="D631" s="219" t="s">
        <v>36</v>
      </c>
      <c r="E631" s="165"/>
      <c r="F631" s="213">
        <v>0.13</v>
      </c>
      <c r="G631" s="214"/>
      <c r="H631" s="221">
        <f>H630*F631</f>
        <v>8718.0249899444007</v>
      </c>
      <c r="I631" s="236">
        <v>0.13</v>
      </c>
      <c r="J631" s="222"/>
      <c r="K631" s="221">
        <f>K630*I631</f>
        <v>9321.3993541500004</v>
      </c>
      <c r="L631" s="224">
        <f>K631-H631</f>
        <v>603.3743642055997</v>
      </c>
      <c r="M631" s="225">
        <f>IF((H631)=0,"",(L631/H631))</f>
        <v>6.9209983327823396E-2</v>
      </c>
    </row>
    <row r="632" spans="1:13" x14ac:dyDescent="0.2">
      <c r="A632" s="140" t="str">
        <f t="shared" si="86"/>
        <v>Streetlighting</v>
      </c>
      <c r="B632" s="140" t="s">
        <v>1873</v>
      </c>
      <c r="D632" s="226" t="s">
        <v>586</v>
      </c>
      <c r="E632" s="165"/>
      <c r="F632" s="227"/>
      <c r="G632" s="220"/>
      <c r="H632" s="221">
        <f>H630+H631</f>
        <v>75779.755681824405</v>
      </c>
      <c r="I632" s="223"/>
      <c r="J632" s="223"/>
      <c r="K632" s="221">
        <f>K630+K631</f>
        <v>81024.471309150002</v>
      </c>
      <c r="L632" s="224">
        <f>K632-H632</f>
        <v>5244.7156273255969</v>
      </c>
      <c r="M632" s="225">
        <f>IF((H632)=0,"",(L632/H632))</f>
        <v>6.9209983327823396E-2</v>
      </c>
    </row>
    <row r="633" spans="1:13" x14ac:dyDescent="0.2">
      <c r="A633" s="140" t="str">
        <f t="shared" si="86"/>
        <v>Streetlighting</v>
      </c>
      <c r="B633" s="140" t="s">
        <v>1873</v>
      </c>
      <c r="D633" s="2465" t="s">
        <v>264</v>
      </c>
      <c r="E633" s="2465"/>
      <c r="F633" s="227"/>
      <c r="G633" s="220"/>
      <c r="H633" s="228">
        <f>IF(E574="Yes", ROUND(-H632*10%,2), 0)</f>
        <v>0</v>
      </c>
      <c r="I633" s="202"/>
      <c r="J633" s="202"/>
      <c r="K633" s="202"/>
      <c r="L633" s="202"/>
      <c r="M633" s="229"/>
    </row>
    <row r="634" spans="1:13" ht="13.5" thickBot="1" x14ac:dyDescent="0.25">
      <c r="A634" s="140" t="str">
        <f t="shared" si="86"/>
        <v>Streetlighting</v>
      </c>
      <c r="B634" s="140" t="s">
        <v>1901</v>
      </c>
      <c r="D634" s="2466" t="s">
        <v>1900</v>
      </c>
      <c r="E634" s="2466"/>
      <c r="F634" s="237"/>
      <c r="G634" s="238"/>
      <c r="H634" s="239">
        <f>SUM(H632:H633)</f>
        <v>75779.755681824405</v>
      </c>
      <c r="I634" s="240"/>
      <c r="J634" s="240"/>
      <c r="K634" s="239">
        <f>SUM(K632:K633)</f>
        <v>81024.471309150002</v>
      </c>
      <c r="L634" s="241">
        <f>K634-H634</f>
        <v>5244.7156273255969</v>
      </c>
      <c r="M634" s="242">
        <f>IF((H634)=0,"",(L634/H634))</f>
        <v>6.9209983327823396E-2</v>
      </c>
    </row>
    <row r="635" spans="1:13" ht="13.5" thickBot="1" x14ac:dyDescent="0.25">
      <c r="A635" s="140" t="str">
        <f t="shared" si="86"/>
        <v>Streetlighting</v>
      </c>
      <c r="B635" s="140" t="s">
        <v>1873</v>
      </c>
      <c r="D635" s="204"/>
      <c r="E635" s="205"/>
      <c r="F635" s="243"/>
      <c r="G635" s="244"/>
      <c r="H635" s="245"/>
      <c r="I635" s="243"/>
      <c r="J635" s="207"/>
      <c r="K635" s="245"/>
      <c r="L635" s="246"/>
      <c r="M635" s="211"/>
    </row>
  </sheetData>
  <sheetProtection password="F8BD" sheet="1" objects="1" scenarios="1" selectLockedCells="1"/>
  <mergeCells count="166">
    <mergeCell ref="D634:E634"/>
    <mergeCell ref="D621:E621"/>
    <mergeCell ref="D622:E622"/>
    <mergeCell ref="D627:E627"/>
    <mergeCell ref="D628:E628"/>
    <mergeCell ref="D633:E633"/>
    <mergeCell ref="E569:G569"/>
    <mergeCell ref="F576:H576"/>
    <mergeCell ref="I576:K576"/>
    <mergeCell ref="L576:M576"/>
    <mergeCell ref="E577:E578"/>
    <mergeCell ref="L577:L578"/>
    <mergeCell ref="M577:M578"/>
    <mergeCell ref="D557:E557"/>
    <mergeCell ref="D558:E558"/>
    <mergeCell ref="D563:E563"/>
    <mergeCell ref="D564:E564"/>
    <mergeCell ref="E568:G568"/>
    <mergeCell ref="E507:E508"/>
    <mergeCell ref="L507:L508"/>
    <mergeCell ref="M507:M508"/>
    <mergeCell ref="D551:E551"/>
    <mergeCell ref="D552:E552"/>
    <mergeCell ref="E498:G498"/>
    <mergeCell ref="E499:G499"/>
    <mergeCell ref="F506:H506"/>
    <mergeCell ref="I506:K506"/>
    <mergeCell ref="L506:M506"/>
    <mergeCell ref="D482:E482"/>
    <mergeCell ref="D487:E487"/>
    <mergeCell ref="D488:E488"/>
    <mergeCell ref="D493:E493"/>
    <mergeCell ref="D494:E494"/>
    <mergeCell ref="L436:M436"/>
    <mergeCell ref="E437:E438"/>
    <mergeCell ref="L437:L438"/>
    <mergeCell ref="M437:M438"/>
    <mergeCell ref="D481:E481"/>
    <mergeCell ref="D424:E424"/>
    <mergeCell ref="E428:G428"/>
    <mergeCell ref="E429:G429"/>
    <mergeCell ref="F436:H436"/>
    <mergeCell ref="I436:K436"/>
    <mergeCell ref="D411:E411"/>
    <mergeCell ref="D412:E412"/>
    <mergeCell ref="D417:E417"/>
    <mergeCell ref="D418:E418"/>
    <mergeCell ref="D423:E423"/>
    <mergeCell ref="E359:G359"/>
    <mergeCell ref="F366:H366"/>
    <mergeCell ref="I366:K366"/>
    <mergeCell ref="L366:M366"/>
    <mergeCell ref="E367:E368"/>
    <mergeCell ref="L367:L368"/>
    <mergeCell ref="M367:M368"/>
    <mergeCell ref="D347:E347"/>
    <mergeCell ref="D348:E348"/>
    <mergeCell ref="D353:E353"/>
    <mergeCell ref="D354:E354"/>
    <mergeCell ref="E358:G358"/>
    <mergeCell ref="E297:E298"/>
    <mergeCell ref="L297:L298"/>
    <mergeCell ref="M297:M298"/>
    <mergeCell ref="D341:E341"/>
    <mergeCell ref="D342:E342"/>
    <mergeCell ref="E288:G288"/>
    <mergeCell ref="E289:G289"/>
    <mergeCell ref="F296:H296"/>
    <mergeCell ref="I296:K296"/>
    <mergeCell ref="L296:M296"/>
    <mergeCell ref="D272:E272"/>
    <mergeCell ref="D277:E277"/>
    <mergeCell ref="D278:E278"/>
    <mergeCell ref="D283:E283"/>
    <mergeCell ref="D284:E284"/>
    <mergeCell ref="L226:M226"/>
    <mergeCell ref="E227:E228"/>
    <mergeCell ref="L227:L228"/>
    <mergeCell ref="M227:M228"/>
    <mergeCell ref="D271:E271"/>
    <mergeCell ref="D214:E214"/>
    <mergeCell ref="E218:G218"/>
    <mergeCell ref="E219:G219"/>
    <mergeCell ref="F226:H226"/>
    <mergeCell ref="I226:K226"/>
    <mergeCell ref="D201:E201"/>
    <mergeCell ref="D202:E202"/>
    <mergeCell ref="D207:E207"/>
    <mergeCell ref="D208:E208"/>
    <mergeCell ref="D213:E213"/>
    <mergeCell ref="E149:G149"/>
    <mergeCell ref="F156:H156"/>
    <mergeCell ref="I156:K156"/>
    <mergeCell ref="L156:M156"/>
    <mergeCell ref="E157:E158"/>
    <mergeCell ref="L157:L158"/>
    <mergeCell ref="M157:M158"/>
    <mergeCell ref="D137:E137"/>
    <mergeCell ref="D138:E138"/>
    <mergeCell ref="D143:E143"/>
    <mergeCell ref="D144:E144"/>
    <mergeCell ref="E148:G148"/>
    <mergeCell ref="E87:E88"/>
    <mergeCell ref="L87:L88"/>
    <mergeCell ref="M87:M88"/>
    <mergeCell ref="D131:E131"/>
    <mergeCell ref="D132:E132"/>
    <mergeCell ref="E78:G78"/>
    <mergeCell ref="E79:G79"/>
    <mergeCell ref="F86:H86"/>
    <mergeCell ref="I86:K86"/>
    <mergeCell ref="L86:M86"/>
    <mergeCell ref="D74:F74"/>
    <mergeCell ref="D72:F72"/>
    <mergeCell ref="D64:F64"/>
    <mergeCell ref="D65:F65"/>
    <mergeCell ref="D70:F70"/>
    <mergeCell ref="D71:F71"/>
    <mergeCell ref="D73:F73"/>
    <mergeCell ref="D67:F67"/>
    <mergeCell ref="D68:F68"/>
    <mergeCell ref="D69:F69"/>
    <mergeCell ref="D66:F66"/>
    <mergeCell ref="D55:F55"/>
    <mergeCell ref="D56:F56"/>
    <mergeCell ref="D57:F57"/>
    <mergeCell ref="D58:F58"/>
    <mergeCell ref="D59:F59"/>
    <mergeCell ref="D60:F60"/>
    <mergeCell ref="D61:F61"/>
    <mergeCell ref="D62:F62"/>
    <mergeCell ref="D63:F63"/>
    <mergeCell ref="G52:G54"/>
    <mergeCell ref="H52:M52"/>
    <mergeCell ref="N52:O52"/>
    <mergeCell ref="H53:I53"/>
    <mergeCell ref="J53:K53"/>
    <mergeCell ref="L53:M53"/>
    <mergeCell ref="N53:O53"/>
    <mergeCell ref="D47:F47"/>
    <mergeCell ref="D36:F36"/>
    <mergeCell ref="D37:F37"/>
    <mergeCell ref="D38:F38"/>
    <mergeCell ref="D39:F39"/>
    <mergeCell ref="D40:F40"/>
    <mergeCell ref="D41:F41"/>
    <mergeCell ref="D42:F42"/>
    <mergeCell ref="D43:F43"/>
    <mergeCell ref="D44:F44"/>
    <mergeCell ref="D45:F45"/>
    <mergeCell ref="D46:F46"/>
    <mergeCell ref="D48:F48"/>
    <mergeCell ref="D49:F49"/>
    <mergeCell ref="D52:F54"/>
    <mergeCell ref="D35:F35"/>
    <mergeCell ref="C3:K3"/>
    <mergeCell ref="D10:M10"/>
    <mergeCell ref="D11:M11"/>
    <mergeCell ref="N11:O11"/>
    <mergeCell ref="D12:M12"/>
    <mergeCell ref="D29:F29"/>
    <mergeCell ref="D30:F30"/>
    <mergeCell ref="D31:F31"/>
    <mergeCell ref="D32:F32"/>
    <mergeCell ref="D33:F33"/>
    <mergeCell ref="D34:F34"/>
  </mergeCells>
  <conditionalFormatting sqref="M30:M31 M33:M49">
    <cfRule type="expression" dxfId="67" priority="8">
      <formula>$G30="kW"</formula>
    </cfRule>
  </conditionalFormatting>
  <conditionalFormatting sqref="L33:L49">
    <cfRule type="expression" dxfId="66" priority="5">
      <formula>$G33="kW"</formula>
    </cfRule>
    <cfRule type="expression" dxfId="65" priority="6">
      <formula>$G33="kVa"</formula>
    </cfRule>
    <cfRule type="expression" dxfId="64" priority="7">
      <formula>$G33="kWh"</formula>
    </cfRule>
  </conditionalFormatting>
  <conditionalFormatting sqref="L30:L32">
    <cfRule type="expression" dxfId="63" priority="2">
      <formula>$G30="kW"</formula>
    </cfRule>
    <cfRule type="expression" dxfId="62" priority="3">
      <formula>$G30="kVa"</formula>
    </cfRule>
    <cfRule type="expression" dxfId="61" priority="4">
      <formula>$G30="kWh"</formula>
    </cfRule>
  </conditionalFormatting>
  <conditionalFormatting sqref="M32">
    <cfRule type="expression" dxfId="60" priority="1">
      <formula>$G32="kW"</formula>
    </cfRule>
  </conditionalFormatting>
  <dataValidations disablePrompts="1" count="4">
    <dataValidation type="list" allowBlank="1" showInputMessage="1" showErrorMessage="1" sqref="I30:I49">
      <formula1>"Yes, No"</formula1>
    </dataValidation>
    <dataValidation type="list" allowBlank="1" showInputMessage="1" showErrorMessage="1" sqref="H30:H49">
      <formula1>"RPP, Non-RPP (Retailer), Non-RPP (Other)"</formula1>
    </dataValidation>
    <dataValidation type="list" allowBlank="1" showInputMessage="1" showErrorMessage="1" sqref="G30:G49">
      <formula1>"kWh, kW, kVa"</formula1>
    </dataValidation>
    <dataValidation type="list" allowBlank="1" showInputMessage="1" showErrorMessage="1" prompt="Select Charge Unit - monthly, per kWh, per kW" sqref="E114:E115 E106:E112 E117:E127 E89:E104 E133 E139 E145 E184:E185 E176:E182 E187:E197 E159:E174 E203 E209 E215 E254:E255 E246:E252 E257:E267 E229:E244 E273 E279 E285 E324:E325 E316:E322 E327:E337 E299:E314 E343 E349 E355 E394:E395 E386:E392 E397:E407 E369:E384 E413 E419 E425 E464:E465 E456:E462 E467:E477 E439:E454 E483 E489 E495 E534:E535 E526:E532 E537:E547 E509:E524 E553 E559 E565 E604:E605 E596:E602 E607:E617 E579:E594 E623 E629 E635">
      <formula1>"Monthly, per kWh, per kW"</formula1>
    </dataValidation>
  </dataValidations>
  <printOptions horizontalCentered="1" verticalCentered="1"/>
  <pageMargins left="0.74803149606299202" right="0.74803149606299202" top="0.39370078740157699" bottom="0.39370078740157699" header="0.511811023622047" footer="0.511811023622047"/>
  <pageSetup scale="55" orientation="landscape" r:id="rId1"/>
  <headerFooter alignWithMargins="0">
    <oddFooter>&amp;C9</oddFooter>
  </headerFooter>
  <rowBreaks count="9" manualBreakCount="9">
    <brk id="77" max="16383" man="1"/>
    <brk id="147" max="16383" man="1"/>
    <brk id="217" max="16383" man="1"/>
    <brk id="287" max="16383" man="1"/>
    <brk id="357" max="16383" man="1"/>
    <brk id="427" max="16383" man="1"/>
    <brk id="497" max="16383" man="1"/>
    <brk id="567" max="16383" man="1"/>
    <brk id="6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21" r:id="rId4" name="Button 1">
              <controlPr defaultSize="0" print="0" autoFill="0" autoPict="0" macro="[0]!update_bill_impacts">
                <anchor>
                  <from>
                    <xdr:col>13</xdr:col>
                    <xdr:colOff>409575</xdr:colOff>
                    <xdr:row>46</xdr:row>
                    <xdr:rowOff>114300</xdr:rowOff>
                  </from>
                  <to>
                    <xdr:col>14</xdr:col>
                    <xdr:colOff>371475</xdr:colOff>
                    <xdr:row>48</xdr:row>
                    <xdr:rowOff>57150</xdr:rowOff>
                  </to>
                </anchor>
              </controlPr>
            </control>
          </mc:Choice>
        </mc:AlternateContent>
      </controls>
    </mc:Choice>
  </mc:AlternateContent>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pageSetUpPr fitToPage="1"/>
  </sheetPr>
  <dimension ref="A2:O70"/>
  <sheetViews>
    <sheetView showGridLines="0" zoomScaleNormal="100" workbookViewId="0">
      <selection activeCell="S48" sqref="S48"/>
    </sheetView>
  </sheetViews>
  <sheetFormatPr defaultRowHeight="12.75" x14ac:dyDescent="0.2"/>
  <cols>
    <col min="1" max="1" width="15.28515625" style="140" customWidth="1"/>
    <col min="2" max="2" width="9.140625" style="140"/>
    <col min="3" max="3" width="3.28515625" style="140" customWidth="1"/>
    <col min="4" max="4" width="35.85546875" style="140" customWidth="1"/>
    <col min="5" max="5" width="13.140625" style="140" customWidth="1"/>
    <col min="6" max="6" width="12.28515625" style="140" customWidth="1"/>
    <col min="7" max="7" width="11.5703125" style="140" customWidth="1"/>
    <col min="8" max="8" width="18.140625" style="140" customWidth="1"/>
    <col min="9" max="9" width="13.140625" style="140" customWidth="1"/>
    <col min="10" max="10" width="13.42578125" style="140" customWidth="1"/>
    <col min="11" max="11" width="13.5703125" style="140" customWidth="1"/>
    <col min="12" max="12" width="13.28515625" style="140" customWidth="1"/>
    <col min="13" max="13" width="12.7109375" style="140" customWidth="1"/>
    <col min="14" max="14" width="12.7109375" style="140" bestFit="1" customWidth="1"/>
    <col min="15" max="16" width="10.85546875" style="140" bestFit="1" customWidth="1"/>
    <col min="17" max="17" width="3.85546875" style="140" customWidth="1"/>
    <col min="18" max="20" width="9.140625" style="140"/>
    <col min="21" max="21" width="9.140625" style="140" customWidth="1"/>
    <col min="22" max="16384" width="9.140625" style="140"/>
  </cols>
  <sheetData>
    <row r="2" spans="1:15" x14ac:dyDescent="0.2">
      <c r="D2" s="1315" t="s">
        <v>37</v>
      </c>
      <c r="E2" s="2467"/>
      <c r="F2" s="2467"/>
      <c r="G2" s="2467"/>
      <c r="H2" s="1316"/>
      <c r="I2" s="1316"/>
    </row>
    <row r="3" spans="1:15" x14ac:dyDescent="0.2">
      <c r="D3" s="1315" t="s">
        <v>1887</v>
      </c>
      <c r="E3" s="2467"/>
      <c r="F3" s="2467"/>
      <c r="G3" s="2467"/>
      <c r="H3" s="1316"/>
      <c r="I3" s="1316"/>
    </row>
    <row r="4" spans="1:15" ht="15.75" x14ac:dyDescent="0.2">
      <c r="D4" s="1315" t="s">
        <v>14</v>
      </c>
      <c r="E4" s="1317"/>
      <c r="F4" s="334" t="s">
        <v>110</v>
      </c>
      <c r="G4" s="158"/>
      <c r="J4" s="1318"/>
      <c r="K4" s="1318"/>
      <c r="L4" s="1318"/>
      <c r="M4" s="1318"/>
      <c r="N4" s="1318"/>
      <c r="O4" s="1318"/>
    </row>
    <row r="5" spans="1:15" ht="15.75" x14ac:dyDescent="0.25">
      <c r="D5" s="1315" t="s">
        <v>1888</v>
      </c>
      <c r="E5" s="1317"/>
      <c r="F5" s="757" t="s">
        <v>111</v>
      </c>
      <c r="G5" s="498"/>
      <c r="H5" s="435"/>
      <c r="I5" s="435"/>
      <c r="J5" s="435"/>
    </row>
    <row r="6" spans="1:15" x14ac:dyDescent="0.2">
      <c r="D6" s="1315" t="s">
        <v>1889</v>
      </c>
      <c r="E6" s="1319"/>
    </row>
    <row r="7" spans="1:15" x14ac:dyDescent="0.2">
      <c r="D7" s="1315" t="s">
        <v>1890</v>
      </c>
      <c r="E7" s="1319"/>
    </row>
    <row r="8" spans="1:15" x14ac:dyDescent="0.2">
      <c r="D8" s="334" t="s">
        <v>1976</v>
      </c>
      <c r="E8" s="1521"/>
    </row>
    <row r="9" spans="1:15" x14ac:dyDescent="0.2">
      <c r="D9" s="158"/>
    </row>
    <row r="10" spans="1:15" x14ac:dyDescent="0.2">
      <c r="D10" s="158"/>
      <c r="E10" s="159"/>
      <c r="F10" s="2468" t="s">
        <v>15</v>
      </c>
      <c r="G10" s="2469"/>
      <c r="H10" s="2470"/>
      <c r="I10" s="2468" t="s">
        <v>16</v>
      </c>
      <c r="J10" s="2469"/>
      <c r="K10" s="2470"/>
      <c r="L10" s="2468" t="s">
        <v>17</v>
      </c>
      <c r="M10" s="2470"/>
    </row>
    <row r="11" spans="1:15" x14ac:dyDescent="0.2">
      <c r="D11" s="158"/>
      <c r="E11" s="2459" t="s">
        <v>18</v>
      </c>
      <c r="F11" s="160" t="s">
        <v>19</v>
      </c>
      <c r="G11" s="160" t="s">
        <v>20</v>
      </c>
      <c r="H11" s="161" t="s">
        <v>21</v>
      </c>
      <c r="I11" s="160" t="s">
        <v>19</v>
      </c>
      <c r="J11" s="162" t="s">
        <v>20</v>
      </c>
      <c r="K11" s="161" t="s">
        <v>21</v>
      </c>
      <c r="L11" s="2461" t="s">
        <v>22</v>
      </c>
      <c r="M11" s="2463" t="s">
        <v>23</v>
      </c>
    </row>
    <row r="12" spans="1:15" x14ac:dyDescent="0.2">
      <c r="D12" s="158"/>
      <c r="E12" s="2460"/>
      <c r="F12" s="163" t="s">
        <v>402</v>
      </c>
      <c r="G12" s="163"/>
      <c r="H12" s="164" t="s">
        <v>402</v>
      </c>
      <c r="I12" s="163" t="s">
        <v>402</v>
      </c>
      <c r="J12" s="164"/>
      <c r="K12" s="164" t="s">
        <v>402</v>
      </c>
      <c r="L12" s="2462"/>
      <c r="M12" s="2464"/>
    </row>
    <row r="13" spans="1:15" x14ac:dyDescent="0.2">
      <c r="A13" s="140">
        <f>$E2</f>
        <v>0</v>
      </c>
      <c r="D13" s="165" t="s">
        <v>24</v>
      </c>
      <c r="E13" s="166"/>
      <c r="F13" s="167"/>
      <c r="G13" s="168">
        <v>1</v>
      </c>
      <c r="H13" s="169">
        <f>G13*F13</f>
        <v>0</v>
      </c>
      <c r="I13" s="170"/>
      <c r="J13" s="171">
        <v>1</v>
      </c>
      <c r="K13" s="169">
        <f>J13*I13</f>
        <v>0</v>
      </c>
      <c r="L13" s="172">
        <f t="shared" ref="L13:L43" si="0">K13-H13</f>
        <v>0</v>
      </c>
      <c r="M13" s="173" t="str">
        <f>IF(ISERROR(L13/H13), "", L13/H13)</f>
        <v/>
      </c>
    </row>
    <row r="14" spans="1:15" x14ac:dyDescent="0.2">
      <c r="A14" s="140">
        <f>A13</f>
        <v>0</v>
      </c>
      <c r="D14" s="165" t="s">
        <v>25</v>
      </c>
      <c r="E14" s="166"/>
      <c r="F14" s="167"/>
      <c r="G14" s="168">
        <v>1</v>
      </c>
      <c r="H14" s="169">
        <f t="shared" ref="H14:H28" si="1">G14*F14</f>
        <v>0</v>
      </c>
      <c r="I14" s="170"/>
      <c r="J14" s="171">
        <v>1</v>
      </c>
      <c r="K14" s="169">
        <f>J14*I14</f>
        <v>0</v>
      </c>
      <c r="L14" s="172">
        <f t="shared" si="0"/>
        <v>0</v>
      </c>
      <c r="M14" s="173" t="str">
        <f t="shared" ref="M14:M50" si="2">IF(ISERROR(L14/H14), "", L14/H14)</f>
        <v/>
      </c>
    </row>
    <row r="15" spans="1:15" x14ac:dyDescent="0.2">
      <c r="A15" s="140">
        <f t="shared" ref="A15:A69" si="3">A14</f>
        <v>0</v>
      </c>
      <c r="D15" s="174"/>
      <c r="E15" s="166"/>
      <c r="F15" s="167"/>
      <c r="G15" s="168">
        <v>1</v>
      </c>
      <c r="H15" s="169">
        <f t="shared" si="1"/>
        <v>0</v>
      </c>
      <c r="I15" s="170"/>
      <c r="J15" s="171">
        <v>1</v>
      </c>
      <c r="K15" s="169">
        <f t="shared" ref="K15:K28" si="4">J15*I15</f>
        <v>0</v>
      </c>
      <c r="L15" s="172">
        <f t="shared" si="0"/>
        <v>0</v>
      </c>
      <c r="M15" s="173" t="str">
        <f t="shared" si="2"/>
        <v/>
      </c>
    </row>
    <row r="16" spans="1:15" x14ac:dyDescent="0.2">
      <c r="A16" s="140">
        <f t="shared" si="3"/>
        <v>0</v>
      </c>
      <c r="D16" s="174"/>
      <c r="E16" s="166"/>
      <c r="F16" s="167"/>
      <c r="G16" s="168">
        <v>1</v>
      </c>
      <c r="H16" s="169">
        <f t="shared" si="1"/>
        <v>0</v>
      </c>
      <c r="I16" s="170"/>
      <c r="J16" s="171">
        <v>1</v>
      </c>
      <c r="K16" s="169">
        <f t="shared" si="4"/>
        <v>0</v>
      </c>
      <c r="L16" s="172">
        <f t="shared" si="0"/>
        <v>0</v>
      </c>
      <c r="M16" s="173" t="str">
        <f t="shared" si="2"/>
        <v/>
      </c>
    </row>
    <row r="17" spans="1:15" x14ac:dyDescent="0.2">
      <c r="A17" s="140">
        <f t="shared" si="3"/>
        <v>0</v>
      </c>
      <c r="D17" s="174"/>
      <c r="E17" s="166"/>
      <c r="F17" s="167"/>
      <c r="G17" s="168">
        <v>1</v>
      </c>
      <c r="H17" s="169">
        <f t="shared" si="1"/>
        <v>0</v>
      </c>
      <c r="I17" s="170"/>
      <c r="J17" s="171">
        <v>1</v>
      </c>
      <c r="K17" s="169">
        <f t="shared" si="4"/>
        <v>0</v>
      </c>
      <c r="L17" s="172">
        <f t="shared" si="0"/>
        <v>0</v>
      </c>
      <c r="M17" s="173" t="str">
        <f t="shared" si="2"/>
        <v/>
      </c>
    </row>
    <row r="18" spans="1:15" x14ac:dyDescent="0.2">
      <c r="A18" s="140">
        <f t="shared" si="3"/>
        <v>0</v>
      </c>
      <c r="D18" s="174"/>
      <c r="E18" s="166"/>
      <c r="F18" s="167"/>
      <c r="G18" s="168">
        <v>1</v>
      </c>
      <c r="H18" s="169">
        <f t="shared" si="1"/>
        <v>0</v>
      </c>
      <c r="I18" s="170"/>
      <c r="J18" s="171">
        <v>1</v>
      </c>
      <c r="K18" s="169">
        <f t="shared" si="4"/>
        <v>0</v>
      </c>
      <c r="L18" s="172">
        <f t="shared" si="0"/>
        <v>0</v>
      </c>
      <c r="M18" s="173" t="str">
        <f t="shared" si="2"/>
        <v/>
      </c>
    </row>
    <row r="19" spans="1:15" x14ac:dyDescent="0.2">
      <c r="A19" s="140">
        <f t="shared" si="3"/>
        <v>0</v>
      </c>
      <c r="D19" s="165" t="s">
        <v>26</v>
      </c>
      <c r="E19" s="166"/>
      <c r="F19" s="167"/>
      <c r="G19" s="248">
        <f>IF($E5&gt;0, $E5, $E4)</f>
        <v>0</v>
      </c>
      <c r="H19" s="169">
        <f t="shared" si="1"/>
        <v>0</v>
      </c>
      <c r="I19" s="170"/>
      <c r="J19" s="248">
        <f>IF($E5&gt;0, $E5, $E4)</f>
        <v>0</v>
      </c>
      <c r="K19" s="169">
        <f t="shared" si="4"/>
        <v>0</v>
      </c>
      <c r="L19" s="172">
        <f t="shared" si="0"/>
        <v>0</v>
      </c>
      <c r="M19" s="173" t="str">
        <f t="shared" si="2"/>
        <v/>
      </c>
    </row>
    <row r="20" spans="1:15" x14ac:dyDescent="0.2">
      <c r="A20" s="140">
        <f t="shared" si="3"/>
        <v>0</v>
      </c>
      <c r="D20" s="165" t="s">
        <v>27</v>
      </c>
      <c r="E20" s="166"/>
      <c r="F20" s="167"/>
      <c r="G20" s="248">
        <f>IF($E5&gt;0, $E5, $E4)</f>
        <v>0</v>
      </c>
      <c r="H20" s="169">
        <f t="shared" si="1"/>
        <v>0</v>
      </c>
      <c r="I20" s="170"/>
      <c r="J20" s="248">
        <f>IF($E5&gt;0, $E5, $E4)</f>
        <v>0</v>
      </c>
      <c r="K20" s="169">
        <f t="shared" si="4"/>
        <v>0</v>
      </c>
      <c r="L20" s="172">
        <f t="shared" si="0"/>
        <v>0</v>
      </c>
      <c r="M20" s="173" t="str">
        <f t="shared" si="2"/>
        <v/>
      </c>
    </row>
    <row r="21" spans="1:15" x14ac:dyDescent="0.2">
      <c r="A21" s="140">
        <f t="shared" si="3"/>
        <v>0</v>
      </c>
      <c r="D21" s="165" t="s">
        <v>28</v>
      </c>
      <c r="E21" s="166"/>
      <c r="F21" s="167"/>
      <c r="G21" s="248">
        <f>IF($E5&gt;0, $E5, $E4)</f>
        <v>0</v>
      </c>
      <c r="H21" s="169">
        <f t="shared" si="1"/>
        <v>0</v>
      </c>
      <c r="I21" s="170"/>
      <c r="J21" s="248">
        <f>IF($E5&gt;0, $E5, $E4)</f>
        <v>0</v>
      </c>
      <c r="K21" s="169">
        <f t="shared" si="4"/>
        <v>0</v>
      </c>
      <c r="L21" s="172">
        <f t="shared" si="0"/>
        <v>0</v>
      </c>
      <c r="M21" s="173" t="str">
        <f t="shared" si="2"/>
        <v/>
      </c>
    </row>
    <row r="22" spans="1:15" x14ac:dyDescent="0.2">
      <c r="A22" s="140">
        <f t="shared" si="3"/>
        <v>0</v>
      </c>
      <c r="D22" s="174"/>
      <c r="E22" s="166"/>
      <c r="F22" s="167"/>
      <c r="G22" s="248">
        <f>IF($E5&gt;0, $E5, $E4)</f>
        <v>0</v>
      </c>
      <c r="H22" s="169">
        <f t="shared" si="1"/>
        <v>0</v>
      </c>
      <c r="I22" s="170"/>
      <c r="J22" s="248">
        <f>IF($E5&gt;0, $E5, $E4)</f>
        <v>0</v>
      </c>
      <c r="K22" s="169">
        <f t="shared" si="4"/>
        <v>0</v>
      </c>
      <c r="L22" s="172">
        <f t="shared" si="0"/>
        <v>0</v>
      </c>
      <c r="M22" s="173" t="str">
        <f t="shared" si="2"/>
        <v/>
      </c>
    </row>
    <row r="23" spans="1:15" x14ac:dyDescent="0.2">
      <c r="A23" s="140">
        <f t="shared" si="3"/>
        <v>0</v>
      </c>
      <c r="D23" s="174"/>
      <c r="E23" s="166"/>
      <c r="F23" s="167"/>
      <c r="G23" s="248">
        <f>IF($E5&gt;0, $E5, $E4)</f>
        <v>0</v>
      </c>
      <c r="H23" s="169">
        <f t="shared" si="1"/>
        <v>0</v>
      </c>
      <c r="I23" s="170"/>
      <c r="J23" s="248">
        <f>IF($E5&gt;0, $E5, $E4)</f>
        <v>0</v>
      </c>
      <c r="K23" s="169">
        <f t="shared" si="4"/>
        <v>0</v>
      </c>
      <c r="L23" s="172">
        <f t="shared" si="0"/>
        <v>0</v>
      </c>
      <c r="M23" s="173" t="str">
        <f t="shared" si="2"/>
        <v/>
      </c>
    </row>
    <row r="24" spans="1:15" x14ac:dyDescent="0.2">
      <c r="A24" s="140">
        <f t="shared" si="3"/>
        <v>0</v>
      </c>
      <c r="D24" s="174"/>
      <c r="E24" s="166"/>
      <c r="F24" s="167"/>
      <c r="G24" s="248">
        <f>IF($E5&gt;0, $E5, $E4)</f>
        <v>0</v>
      </c>
      <c r="H24" s="169">
        <f t="shared" si="1"/>
        <v>0</v>
      </c>
      <c r="I24" s="170"/>
      <c r="J24" s="248">
        <f>IF($E5&gt;0, $E5, $E4)</f>
        <v>0</v>
      </c>
      <c r="K24" s="169">
        <f t="shared" si="4"/>
        <v>0</v>
      </c>
      <c r="L24" s="172">
        <f t="shared" si="0"/>
        <v>0</v>
      </c>
      <c r="M24" s="173" t="str">
        <f t="shared" si="2"/>
        <v/>
      </c>
    </row>
    <row r="25" spans="1:15" x14ac:dyDescent="0.2">
      <c r="A25" s="140">
        <f t="shared" si="3"/>
        <v>0</v>
      </c>
      <c r="D25" s="174"/>
      <c r="E25" s="166"/>
      <c r="F25" s="167"/>
      <c r="G25" s="248">
        <f>IF($E5&gt;0, $E5, $E4)</f>
        <v>0</v>
      </c>
      <c r="H25" s="169">
        <f t="shared" si="1"/>
        <v>0</v>
      </c>
      <c r="I25" s="170"/>
      <c r="J25" s="248">
        <f>IF($E5&gt;0, $E5, $E4)</f>
        <v>0</v>
      </c>
      <c r="K25" s="169">
        <f t="shared" si="4"/>
        <v>0</v>
      </c>
      <c r="L25" s="172">
        <f t="shared" si="0"/>
        <v>0</v>
      </c>
      <c r="M25" s="173" t="str">
        <f t="shared" si="2"/>
        <v/>
      </c>
    </row>
    <row r="26" spans="1:15" x14ac:dyDescent="0.2">
      <c r="A26" s="140">
        <f t="shared" si="3"/>
        <v>0</v>
      </c>
      <c r="D26" s="174"/>
      <c r="E26" s="166"/>
      <c r="F26" s="167"/>
      <c r="G26" s="248">
        <f>IF($E5&gt;0, $E5, $E4)</f>
        <v>0</v>
      </c>
      <c r="H26" s="169">
        <f t="shared" si="1"/>
        <v>0</v>
      </c>
      <c r="I26" s="170"/>
      <c r="J26" s="248">
        <f>IF($E5&gt;0, $E5, $E4)</f>
        <v>0</v>
      </c>
      <c r="K26" s="169">
        <f t="shared" si="4"/>
        <v>0</v>
      </c>
      <c r="L26" s="172">
        <f t="shared" si="0"/>
        <v>0</v>
      </c>
      <c r="M26" s="173" t="str">
        <f t="shared" si="2"/>
        <v/>
      </c>
    </row>
    <row r="27" spans="1:15" x14ac:dyDescent="0.2">
      <c r="A27" s="140">
        <f t="shared" si="3"/>
        <v>0</v>
      </c>
      <c r="D27" s="174"/>
      <c r="E27" s="166"/>
      <c r="F27" s="167"/>
      <c r="G27" s="248">
        <f>IF($E5&gt;0, $E5, $E4)</f>
        <v>0</v>
      </c>
      <c r="H27" s="169">
        <f t="shared" si="1"/>
        <v>0</v>
      </c>
      <c r="I27" s="170"/>
      <c r="J27" s="248">
        <f>IF($E5&gt;0, $E5, $E4)</f>
        <v>0</v>
      </c>
      <c r="K27" s="169">
        <f t="shared" si="4"/>
        <v>0</v>
      </c>
      <c r="L27" s="172">
        <f t="shared" si="0"/>
        <v>0</v>
      </c>
      <c r="M27" s="173" t="str">
        <f t="shared" si="2"/>
        <v/>
      </c>
    </row>
    <row r="28" spans="1:15" x14ac:dyDescent="0.2">
      <c r="A28" s="140">
        <f t="shared" si="3"/>
        <v>0</v>
      </c>
      <c r="D28" s="174"/>
      <c r="E28" s="166"/>
      <c r="F28" s="167"/>
      <c r="G28" s="248">
        <f>IF($E5&gt;0, $E5, $E4)</f>
        <v>0</v>
      </c>
      <c r="H28" s="169">
        <f t="shared" si="1"/>
        <v>0</v>
      </c>
      <c r="I28" s="170"/>
      <c r="J28" s="248">
        <f>IF($E5&gt;0, $E5, $E4)</f>
        <v>0</v>
      </c>
      <c r="K28" s="169">
        <f t="shared" si="4"/>
        <v>0</v>
      </c>
      <c r="L28" s="172">
        <f t="shared" si="0"/>
        <v>0</v>
      </c>
      <c r="M28" s="173" t="str">
        <f t="shared" si="2"/>
        <v/>
      </c>
    </row>
    <row r="29" spans="1:15" x14ac:dyDescent="0.2">
      <c r="A29" s="140">
        <f t="shared" si="3"/>
        <v>0</v>
      </c>
      <c r="B29" s="338" t="s">
        <v>1891</v>
      </c>
      <c r="C29" s="337"/>
      <c r="D29" s="175" t="s">
        <v>617</v>
      </c>
      <c r="E29" s="176"/>
      <c r="F29" s="177"/>
      <c r="G29" s="178"/>
      <c r="H29" s="179">
        <f>SUM(H13:H28)</f>
        <v>0</v>
      </c>
      <c r="I29" s="180"/>
      <c r="J29" s="181"/>
      <c r="K29" s="179">
        <f>SUM(K13:K28)</f>
        <v>0</v>
      </c>
      <c r="L29" s="182">
        <f t="shared" si="0"/>
        <v>0</v>
      </c>
      <c r="M29" s="183" t="str">
        <f>IF((H29)=0,"",(L29/H29))</f>
        <v/>
      </c>
      <c r="N29" s="337"/>
      <c r="O29" s="337"/>
    </row>
    <row r="30" spans="1:15" ht="25.5" x14ac:dyDescent="0.2">
      <c r="A30" s="140">
        <f t="shared" si="3"/>
        <v>0</v>
      </c>
      <c r="D30" s="184" t="s">
        <v>29</v>
      </c>
      <c r="E30" s="166"/>
      <c r="F30" s="167"/>
      <c r="G30" s="248">
        <f>IF($E5&gt;0, $E5, $E4)</f>
        <v>0</v>
      </c>
      <c r="H30" s="169">
        <f>G30*F30</f>
        <v>0</v>
      </c>
      <c r="I30" s="170"/>
      <c r="J30" s="248">
        <f>IF($E5&gt;0, $E5, $E4)</f>
        <v>0</v>
      </c>
      <c r="K30" s="169">
        <f>J30*I30</f>
        <v>0</v>
      </c>
      <c r="L30" s="172">
        <f t="shared" si="0"/>
        <v>0</v>
      </c>
      <c r="M30" s="173" t="str">
        <f t="shared" si="2"/>
        <v/>
      </c>
    </row>
    <row r="31" spans="1:15" x14ac:dyDescent="0.2">
      <c r="A31" s="140">
        <f t="shared" si="3"/>
        <v>0</v>
      </c>
      <c r="D31" s="184"/>
      <c r="E31" s="166"/>
      <c r="F31" s="167"/>
      <c r="G31" s="248">
        <f>IF($E5&gt;0, $E5, $E4)</f>
        <v>0</v>
      </c>
      <c r="H31" s="169">
        <f t="shared" ref="H31:H35" si="5">G31*F31</f>
        <v>0</v>
      </c>
      <c r="I31" s="170"/>
      <c r="J31" s="248">
        <f>IF($E5&gt;0, $E5, $E4)</f>
        <v>0</v>
      </c>
      <c r="K31" s="169">
        <f t="shared" ref="K31:K35" si="6">J31*I31</f>
        <v>0</v>
      </c>
      <c r="L31" s="172">
        <f t="shared" si="0"/>
        <v>0</v>
      </c>
      <c r="M31" s="173" t="str">
        <f t="shared" si="2"/>
        <v/>
      </c>
    </row>
    <row r="32" spans="1:15" x14ac:dyDescent="0.2">
      <c r="A32" s="140">
        <f t="shared" si="3"/>
        <v>0</v>
      </c>
      <c r="D32" s="184"/>
      <c r="E32" s="166"/>
      <c r="F32" s="167"/>
      <c r="G32" s="248">
        <f>IF($E5&gt;0, $E5, $E4)</f>
        <v>0</v>
      </c>
      <c r="H32" s="169">
        <f t="shared" si="5"/>
        <v>0</v>
      </c>
      <c r="I32" s="170"/>
      <c r="J32" s="248">
        <f>IF($E5&gt;0, $E5, $E4)</f>
        <v>0</v>
      </c>
      <c r="K32" s="169">
        <f t="shared" si="6"/>
        <v>0</v>
      </c>
      <c r="L32" s="172">
        <f t="shared" si="0"/>
        <v>0</v>
      </c>
      <c r="M32" s="173" t="str">
        <f t="shared" si="2"/>
        <v/>
      </c>
    </row>
    <row r="33" spans="1:13" x14ac:dyDescent="0.2">
      <c r="A33" s="140">
        <f t="shared" si="3"/>
        <v>0</v>
      </c>
      <c r="D33" s="184"/>
      <c r="E33" s="166"/>
      <c r="F33" s="167"/>
      <c r="G33" s="248">
        <f>IF($E5&gt;0, $E5, $E4)</f>
        <v>0</v>
      </c>
      <c r="H33" s="169">
        <f t="shared" si="5"/>
        <v>0</v>
      </c>
      <c r="I33" s="170"/>
      <c r="J33" s="248">
        <f>IF($E5&gt;0, $E5, $E4)</f>
        <v>0</v>
      </c>
      <c r="K33" s="169">
        <f t="shared" si="6"/>
        <v>0</v>
      </c>
      <c r="L33" s="172">
        <f t="shared" si="0"/>
        <v>0</v>
      </c>
      <c r="M33" s="173" t="str">
        <f t="shared" si="2"/>
        <v/>
      </c>
    </row>
    <row r="34" spans="1:13" x14ac:dyDescent="0.2">
      <c r="A34" s="140">
        <f t="shared" si="3"/>
        <v>0</v>
      </c>
      <c r="D34" s="185" t="s">
        <v>605</v>
      </c>
      <c r="E34" s="166"/>
      <c r="F34" s="167"/>
      <c r="G34" s="248">
        <f>IF($E5&gt;0, $E5, $E4)</f>
        <v>0</v>
      </c>
      <c r="H34" s="169">
        <f>G34*F34</f>
        <v>0</v>
      </c>
      <c r="I34" s="170"/>
      <c r="J34" s="248">
        <f>IF($E5&gt;0, $E5, $E4)</f>
        <v>0</v>
      </c>
      <c r="K34" s="169">
        <f>J34*I34</f>
        <v>0</v>
      </c>
      <c r="L34" s="172">
        <f t="shared" si="0"/>
        <v>0</v>
      </c>
      <c r="M34" s="173" t="str">
        <f t="shared" si="2"/>
        <v/>
      </c>
    </row>
    <row r="35" spans="1:13" x14ac:dyDescent="0.2">
      <c r="A35" s="140">
        <f t="shared" si="3"/>
        <v>0</v>
      </c>
      <c r="D35" s="185" t="s">
        <v>928</v>
      </c>
      <c r="E35" s="166"/>
      <c r="F35" s="186">
        <f>IF((E4*12&gt;=150000), 0, IF(E3="RPP",(F46*0.64+F47*0.18+F48*0.18),IF(E3="Non-RPP (Retailer)",F49,F50)))</f>
        <v>9.06E-2</v>
      </c>
      <c r="G35" s="249">
        <f>IF(F35=0, 0, $E4*E6-E4)</f>
        <v>0</v>
      </c>
      <c r="H35" s="169">
        <f t="shared" si="5"/>
        <v>0</v>
      </c>
      <c r="I35" s="187">
        <f>IF((E4*12&gt;=150000), 0, IF(E3="RPP",(I46*0.64+I47*0.18+I48*0.18),IF(E3="Non-RPP (Retailer)",I49,I50)))</f>
        <v>9.06E-2</v>
      </c>
      <c r="J35" s="249">
        <f>IF(I35=0, 0, E4*E7-E4)</f>
        <v>0</v>
      </c>
      <c r="K35" s="169">
        <f t="shared" si="6"/>
        <v>0</v>
      </c>
      <c r="L35" s="172">
        <f t="shared" si="0"/>
        <v>0</v>
      </c>
      <c r="M35" s="173" t="str">
        <f t="shared" si="2"/>
        <v/>
      </c>
    </row>
    <row r="36" spans="1:13" x14ac:dyDescent="0.2">
      <c r="A36" s="140">
        <f t="shared" si="3"/>
        <v>0</v>
      </c>
      <c r="D36" s="185" t="s">
        <v>562</v>
      </c>
      <c r="E36" s="166"/>
      <c r="F36" s="186">
        <v>0.79</v>
      </c>
      <c r="G36" s="168">
        <v>1</v>
      </c>
      <c r="H36" s="169">
        <f>G36*F36</f>
        <v>0.79</v>
      </c>
      <c r="I36" s="186">
        <v>0.79</v>
      </c>
      <c r="J36" s="168">
        <v>1</v>
      </c>
      <c r="K36" s="169">
        <f>J36*I36</f>
        <v>0.79</v>
      </c>
      <c r="L36" s="172">
        <f t="shared" si="0"/>
        <v>0</v>
      </c>
      <c r="M36" s="173">
        <f t="shared" si="2"/>
        <v>0</v>
      </c>
    </row>
    <row r="37" spans="1:13" ht="25.5" x14ac:dyDescent="0.2">
      <c r="A37" s="140">
        <f t="shared" si="3"/>
        <v>0</v>
      </c>
      <c r="B37" s="158" t="s">
        <v>1892</v>
      </c>
      <c r="D37" s="188" t="s">
        <v>560</v>
      </c>
      <c r="E37" s="189"/>
      <c r="F37" s="190"/>
      <c r="G37" s="178"/>
      <c r="H37" s="191">
        <f>SUM(H30:H36)+H29</f>
        <v>0.79</v>
      </c>
      <c r="I37" s="178"/>
      <c r="J37" s="181"/>
      <c r="K37" s="191">
        <f>SUM(K30:K36)+K29</f>
        <v>0.79</v>
      </c>
      <c r="L37" s="182">
        <f t="shared" si="0"/>
        <v>0</v>
      </c>
      <c r="M37" s="183">
        <f>IF((H37)=0,"",(L37/H37))</f>
        <v>0</v>
      </c>
    </row>
    <row r="38" spans="1:13" x14ac:dyDescent="0.2">
      <c r="A38" s="140">
        <f t="shared" si="3"/>
        <v>0</v>
      </c>
      <c r="D38" s="192" t="s">
        <v>30</v>
      </c>
      <c r="E38" s="193"/>
      <c r="F38" s="170"/>
      <c r="G38" s="249">
        <f>IF($E5&gt;0, $E5, $E4*$E6)</f>
        <v>0</v>
      </c>
      <c r="H38" s="169">
        <f>G38*F38</f>
        <v>0</v>
      </c>
      <c r="I38" s="170"/>
      <c r="J38" s="249">
        <f>IF($E5&gt;0, $E5, $E4*$E7)</f>
        <v>0</v>
      </c>
      <c r="K38" s="169">
        <f>J38*I38</f>
        <v>0</v>
      </c>
      <c r="L38" s="172">
        <f t="shared" si="0"/>
        <v>0</v>
      </c>
      <c r="M38" s="173" t="str">
        <f t="shared" si="2"/>
        <v/>
      </c>
    </row>
    <row r="39" spans="1:13" ht="25.5" x14ac:dyDescent="0.2">
      <c r="A39" s="140">
        <f t="shared" si="3"/>
        <v>0</v>
      </c>
      <c r="D39" s="194" t="s">
        <v>31</v>
      </c>
      <c r="E39" s="193"/>
      <c r="F39" s="170"/>
      <c r="G39" s="249">
        <f>IF($E5&gt;0, $E5, $E4*$E6)</f>
        <v>0</v>
      </c>
      <c r="H39" s="169">
        <f>G39*F39</f>
        <v>0</v>
      </c>
      <c r="I39" s="170"/>
      <c r="J39" s="249">
        <f>IF($E5&gt;0, $E5, $E4*$E7)</f>
        <v>0</v>
      </c>
      <c r="K39" s="169">
        <f>J39*I39</f>
        <v>0</v>
      </c>
      <c r="L39" s="172">
        <f t="shared" si="0"/>
        <v>0</v>
      </c>
      <c r="M39" s="173" t="str">
        <f t="shared" si="2"/>
        <v/>
      </c>
    </row>
    <row r="40" spans="1:13" ht="25.5" x14ac:dyDescent="0.2">
      <c r="A40" s="140">
        <f t="shared" si="3"/>
        <v>0</v>
      </c>
      <c r="B40" s="158" t="s">
        <v>1893</v>
      </c>
      <c r="D40" s="188" t="s">
        <v>561</v>
      </c>
      <c r="E40" s="176"/>
      <c r="F40" s="195"/>
      <c r="G40" s="178"/>
      <c r="H40" s="191">
        <f>SUM(H37:H39)</f>
        <v>0.79</v>
      </c>
      <c r="I40" s="196"/>
      <c r="J40" s="197"/>
      <c r="K40" s="191">
        <f>SUM(K37:K39)</f>
        <v>0.79</v>
      </c>
      <c r="L40" s="182">
        <f t="shared" si="0"/>
        <v>0</v>
      </c>
      <c r="M40" s="183">
        <f>IF((H40)=0,"",(L40/H40))</f>
        <v>0</v>
      </c>
    </row>
    <row r="41" spans="1:13" ht="25.5" x14ac:dyDescent="0.2">
      <c r="A41" s="140">
        <f t="shared" si="3"/>
        <v>0</v>
      </c>
      <c r="D41" s="198" t="s">
        <v>32</v>
      </c>
      <c r="E41" s="166"/>
      <c r="F41" s="199"/>
      <c r="G41" s="249">
        <f>E4*E6</f>
        <v>0</v>
      </c>
      <c r="H41" s="200">
        <f t="shared" ref="H41:H48" si="7">G41*F41</f>
        <v>0</v>
      </c>
      <c r="I41" s="201"/>
      <c r="J41" s="249">
        <f>E4*E7</f>
        <v>0</v>
      </c>
      <c r="K41" s="200">
        <f t="shared" ref="K41:K48" si="8">J41*I41</f>
        <v>0</v>
      </c>
      <c r="L41" s="172">
        <f t="shared" si="0"/>
        <v>0</v>
      </c>
      <c r="M41" s="173" t="str">
        <f t="shared" si="2"/>
        <v/>
      </c>
    </row>
    <row r="42" spans="1:13" ht="25.5" x14ac:dyDescent="0.2">
      <c r="A42" s="140">
        <f t="shared" si="3"/>
        <v>0</v>
      </c>
      <c r="D42" s="198" t="s">
        <v>33</v>
      </c>
      <c r="E42" s="166"/>
      <c r="F42" s="199"/>
      <c r="G42" s="249">
        <f>E4*E6</f>
        <v>0</v>
      </c>
      <c r="H42" s="200">
        <f t="shared" si="7"/>
        <v>0</v>
      </c>
      <c r="I42" s="201"/>
      <c r="J42" s="249">
        <f>E4*E7</f>
        <v>0</v>
      </c>
      <c r="K42" s="200">
        <f t="shared" si="8"/>
        <v>0</v>
      </c>
      <c r="L42" s="172">
        <f t="shared" si="0"/>
        <v>0</v>
      </c>
      <c r="M42" s="173" t="str">
        <f t="shared" si="2"/>
        <v/>
      </c>
    </row>
    <row r="43" spans="1:13" x14ac:dyDescent="0.2">
      <c r="A43" s="140">
        <f t="shared" si="3"/>
        <v>0</v>
      </c>
      <c r="D43" s="165" t="s">
        <v>34</v>
      </c>
      <c r="E43" s="166"/>
      <c r="F43" s="199"/>
      <c r="G43" s="168">
        <v>1</v>
      </c>
      <c r="H43" s="200">
        <f t="shared" si="7"/>
        <v>0</v>
      </c>
      <c r="I43" s="201"/>
      <c r="J43" s="171">
        <v>1</v>
      </c>
      <c r="K43" s="200">
        <f t="shared" si="8"/>
        <v>0</v>
      </c>
      <c r="L43" s="172">
        <f t="shared" si="0"/>
        <v>0</v>
      </c>
      <c r="M43" s="173" t="str">
        <f t="shared" si="2"/>
        <v/>
      </c>
    </row>
    <row r="44" spans="1:13" x14ac:dyDescent="0.2">
      <c r="A44" s="140">
        <f t="shared" si="3"/>
        <v>0</v>
      </c>
      <c r="D44" s="165" t="s">
        <v>35</v>
      </c>
      <c r="E44" s="166"/>
      <c r="F44" s="199"/>
      <c r="G44" s="248">
        <f>E4</f>
        <v>0</v>
      </c>
      <c r="H44" s="200">
        <f t="shared" si="7"/>
        <v>0</v>
      </c>
      <c r="I44" s="202"/>
      <c r="J44" s="202"/>
      <c r="K44" s="202"/>
      <c r="L44" s="202"/>
      <c r="M44" s="173" t="str">
        <f t="shared" si="2"/>
        <v/>
      </c>
    </row>
    <row r="45" spans="1:13" ht="25.5" x14ac:dyDescent="0.2">
      <c r="A45" s="140">
        <f t="shared" si="3"/>
        <v>0</v>
      </c>
      <c r="D45" s="198" t="s">
        <v>1939</v>
      </c>
      <c r="E45" s="166"/>
      <c r="F45" s="202"/>
      <c r="G45" s="202"/>
      <c r="H45" s="202"/>
      <c r="I45" s="201"/>
      <c r="J45" s="249">
        <f>E4*E7</f>
        <v>0</v>
      </c>
      <c r="K45" s="200">
        <f t="shared" ref="K45" si="9">J45*I45</f>
        <v>0</v>
      </c>
      <c r="L45" s="172"/>
      <c r="M45" s="173" t="str">
        <f t="shared" ref="M45" si="10">IF(ISERROR(L45/H45), "", L45/H45)</f>
        <v/>
      </c>
    </row>
    <row r="46" spans="1:13" x14ac:dyDescent="0.2">
      <c r="A46" s="140">
        <f>A44</f>
        <v>0</v>
      </c>
      <c r="B46" s="158" t="s">
        <v>1871</v>
      </c>
      <c r="D46" s="185" t="s">
        <v>582</v>
      </c>
      <c r="E46" s="166"/>
      <c r="F46" s="203">
        <v>0.08</v>
      </c>
      <c r="G46" s="250">
        <f>IF(AND(E4*12&gt;=150000),0.64*E4*E6,0.64*E4)</f>
        <v>0</v>
      </c>
      <c r="H46" s="200">
        <f t="shared" si="7"/>
        <v>0</v>
      </c>
      <c r="I46" s="203">
        <v>0.08</v>
      </c>
      <c r="J46" s="250">
        <f>IF(AND(E4*12&gt;=150000),0.64*E4*E7,0.64*E4)</f>
        <v>0</v>
      </c>
      <c r="K46" s="200">
        <f t="shared" si="8"/>
        <v>0</v>
      </c>
      <c r="L46" s="172">
        <f>K46-H46</f>
        <v>0</v>
      </c>
      <c r="M46" s="173" t="str">
        <f t="shared" si="2"/>
        <v/>
      </c>
    </row>
    <row r="47" spans="1:13" x14ac:dyDescent="0.2">
      <c r="A47" s="140">
        <f t="shared" si="3"/>
        <v>0</v>
      </c>
      <c r="B47" s="158" t="s">
        <v>1871</v>
      </c>
      <c r="D47" s="185" t="s">
        <v>583</v>
      </c>
      <c r="E47" s="166"/>
      <c r="F47" s="203">
        <v>0.122</v>
      </c>
      <c r="G47" s="250">
        <f>IF(AND(E4*12&gt;=150000),0.18*E4*E6,0.18*E4)</f>
        <v>0</v>
      </c>
      <c r="H47" s="200">
        <f t="shared" si="7"/>
        <v>0</v>
      </c>
      <c r="I47" s="203">
        <v>0.122</v>
      </c>
      <c r="J47" s="250">
        <f>IF(AND(E4*12&gt;=150000),0.18*E4*E7,0.18*E4)</f>
        <v>0</v>
      </c>
      <c r="K47" s="200">
        <f t="shared" si="8"/>
        <v>0</v>
      </c>
      <c r="L47" s="172">
        <f>K47-H47</f>
        <v>0</v>
      </c>
      <c r="M47" s="173" t="str">
        <f t="shared" si="2"/>
        <v/>
      </c>
    </row>
    <row r="48" spans="1:13" x14ac:dyDescent="0.2">
      <c r="A48" s="140">
        <f t="shared" si="3"/>
        <v>0</v>
      </c>
      <c r="B48" s="158" t="s">
        <v>1871</v>
      </c>
      <c r="D48" s="158" t="s">
        <v>584</v>
      </c>
      <c r="E48" s="166"/>
      <c r="F48" s="203">
        <v>0.161</v>
      </c>
      <c r="G48" s="250">
        <f>IF(AND(E4*12&gt;=150000),0.18*E4*E6,0.18*E4)</f>
        <v>0</v>
      </c>
      <c r="H48" s="200">
        <f t="shared" si="7"/>
        <v>0</v>
      </c>
      <c r="I48" s="203">
        <v>0.161</v>
      </c>
      <c r="J48" s="250">
        <f>IF(AND(E4*12&gt;=150000),0.18*E4*E7,0.18*E4)</f>
        <v>0</v>
      </c>
      <c r="K48" s="200">
        <f t="shared" si="8"/>
        <v>0</v>
      </c>
      <c r="L48" s="172">
        <f>K48-H48</f>
        <v>0</v>
      </c>
      <c r="M48" s="173" t="str">
        <f t="shared" si="2"/>
        <v/>
      </c>
    </row>
    <row r="49" spans="1:13" x14ac:dyDescent="0.2">
      <c r="A49" s="140">
        <f t="shared" si="3"/>
        <v>0</v>
      </c>
      <c r="B49" s="140" t="s">
        <v>1872</v>
      </c>
      <c r="D49" s="185" t="s">
        <v>1894</v>
      </c>
      <c r="E49" s="166"/>
      <c r="F49" s="203">
        <v>8.5999999999999993E-2</v>
      </c>
      <c r="G49" s="250">
        <f>IF(AND(E4*12&gt;=150000),E4*E6,E4)</f>
        <v>0</v>
      </c>
      <c r="H49" s="200">
        <f>G49*F49</f>
        <v>0</v>
      </c>
      <c r="I49" s="203">
        <v>8.5999999999999993E-2</v>
      </c>
      <c r="J49" s="250">
        <f>IF(AND(E4*12&gt;=150000),E4*E7,E4)</f>
        <v>0</v>
      </c>
      <c r="K49" s="200">
        <f>J49*I49</f>
        <v>0</v>
      </c>
      <c r="L49" s="172">
        <f>K49-H49</f>
        <v>0</v>
      </c>
      <c r="M49" s="173" t="str">
        <f t="shared" si="2"/>
        <v/>
      </c>
    </row>
    <row r="50" spans="1:13" ht="13.5" thickBot="1" x14ac:dyDescent="0.25">
      <c r="A50" s="140">
        <f t="shared" si="3"/>
        <v>0</v>
      </c>
      <c r="B50" s="140" t="s">
        <v>1873</v>
      </c>
      <c r="D50" s="185" t="s">
        <v>1895</v>
      </c>
      <c r="E50" s="166"/>
      <c r="F50" s="199">
        <f>0.0906</f>
        <v>9.06E-2</v>
      </c>
      <c r="G50" s="251">
        <f>IF(AND(E4*12&gt;=150000),E4*E6,E4)</f>
        <v>0</v>
      </c>
      <c r="H50" s="200">
        <f>G50*F50</f>
        <v>0</v>
      </c>
      <c r="I50" s="199">
        <f>0.0906</f>
        <v>9.06E-2</v>
      </c>
      <c r="J50" s="251">
        <f>IF(AND(E4*12&gt;=150000),E4*E7,E4)</f>
        <v>0</v>
      </c>
      <c r="K50" s="200">
        <f>J50*I50</f>
        <v>0</v>
      </c>
      <c r="L50" s="172">
        <f>K50-H50</f>
        <v>0</v>
      </c>
      <c r="M50" s="173" t="str">
        <f t="shared" si="2"/>
        <v/>
      </c>
    </row>
    <row r="51" spans="1:13" ht="13.5" thickBot="1" x14ac:dyDescent="0.25">
      <c r="A51" s="140">
        <f t="shared" si="3"/>
        <v>0</v>
      </c>
      <c r="B51" s="158"/>
      <c r="D51" s="204"/>
      <c r="E51" s="205"/>
      <c r="F51" s="206"/>
      <c r="G51" s="207"/>
      <c r="H51" s="208"/>
      <c r="I51" s="206"/>
      <c r="J51" s="209"/>
      <c r="K51" s="208"/>
      <c r="L51" s="210"/>
      <c r="M51" s="211"/>
    </row>
    <row r="52" spans="1:13" x14ac:dyDescent="0.2">
      <c r="A52" s="140">
        <f t="shared" si="3"/>
        <v>0</v>
      </c>
      <c r="B52" s="158" t="s">
        <v>1871</v>
      </c>
      <c r="D52" s="212" t="s">
        <v>585</v>
      </c>
      <c r="E52" s="165"/>
      <c r="F52" s="213"/>
      <c r="G52" s="214"/>
      <c r="H52" s="215">
        <f>SUM(H41:H48,H40)</f>
        <v>0.79</v>
      </c>
      <c r="I52" s="216"/>
      <c r="J52" s="216"/>
      <c r="K52" s="215">
        <f>SUM(K41:K48,K40)</f>
        <v>0.79</v>
      </c>
      <c r="L52" s="217">
        <f>K52-H52</f>
        <v>0</v>
      </c>
      <c r="M52" s="218">
        <f>IF((H52)=0,"",(L52/H52))</f>
        <v>0</v>
      </c>
    </row>
    <row r="53" spans="1:13" x14ac:dyDescent="0.2">
      <c r="A53" s="140">
        <f t="shared" si="3"/>
        <v>0</v>
      </c>
      <c r="B53" s="158" t="s">
        <v>1871</v>
      </c>
      <c r="D53" s="219" t="s">
        <v>36</v>
      </c>
      <c r="E53" s="165"/>
      <c r="F53" s="213">
        <v>0.13</v>
      </c>
      <c r="G53" s="220"/>
      <c r="H53" s="221">
        <f>H52*F53</f>
        <v>0.10270000000000001</v>
      </c>
      <c r="I53" s="222">
        <v>0.13</v>
      </c>
      <c r="J53" s="223"/>
      <c r="K53" s="221">
        <f>K52*I53</f>
        <v>0.10270000000000001</v>
      </c>
      <c r="L53" s="224">
        <f>K53-H53</f>
        <v>0</v>
      </c>
      <c r="M53" s="225">
        <f>IF((H53)=0,"",(L53/H53))</f>
        <v>0</v>
      </c>
    </row>
    <row r="54" spans="1:13" x14ac:dyDescent="0.2">
      <c r="A54" s="140">
        <f t="shared" si="3"/>
        <v>0</v>
      </c>
      <c r="B54" s="158" t="s">
        <v>1871</v>
      </c>
      <c r="D54" s="226" t="s">
        <v>586</v>
      </c>
      <c r="E54" s="165"/>
      <c r="F54" s="227"/>
      <c r="G54" s="220"/>
      <c r="H54" s="221">
        <f>H52+H53</f>
        <v>0.89270000000000005</v>
      </c>
      <c r="I54" s="223"/>
      <c r="J54" s="223"/>
      <c r="K54" s="221">
        <f>K52+K53</f>
        <v>0.89270000000000005</v>
      </c>
      <c r="L54" s="224">
        <f>K54-H54</f>
        <v>0</v>
      </c>
      <c r="M54" s="225">
        <f>IF((H54)=0,"",(L54/H54))</f>
        <v>0</v>
      </c>
    </row>
    <row r="55" spans="1:13" x14ac:dyDescent="0.2">
      <c r="A55" s="140">
        <f t="shared" si="3"/>
        <v>0</v>
      </c>
      <c r="B55" s="158" t="s">
        <v>1871</v>
      </c>
      <c r="D55" s="2465" t="s">
        <v>264</v>
      </c>
      <c r="E55" s="2465"/>
      <c r="F55" s="227"/>
      <c r="G55" s="220"/>
      <c r="H55" s="228">
        <f>ROUND(-H54*10%,2)</f>
        <v>-0.09</v>
      </c>
      <c r="I55" s="202"/>
      <c r="J55" s="202"/>
      <c r="K55" s="202"/>
      <c r="L55" s="202"/>
      <c r="M55" s="229"/>
    </row>
    <row r="56" spans="1:13" ht="13.5" thickBot="1" x14ac:dyDescent="0.25">
      <c r="A56" s="140">
        <f t="shared" si="3"/>
        <v>0</v>
      </c>
      <c r="B56" s="158" t="s">
        <v>1896</v>
      </c>
      <c r="D56" s="2466" t="s">
        <v>1897</v>
      </c>
      <c r="E56" s="2466"/>
      <c r="F56" s="230"/>
      <c r="G56" s="231"/>
      <c r="H56" s="232">
        <f>H54+H55</f>
        <v>0.80270000000000008</v>
      </c>
      <c r="I56" s="233"/>
      <c r="J56" s="233"/>
      <c r="K56" s="232">
        <f>K54+K55</f>
        <v>0.89270000000000005</v>
      </c>
      <c r="L56" s="234">
        <f>K56-H56</f>
        <v>8.9999999999999969E-2</v>
      </c>
      <c r="M56" s="235">
        <f>IF((H56)=0,"",(L56/H56))</f>
        <v>0.11212158963498188</v>
      </c>
    </row>
    <row r="57" spans="1:13" ht="13.5" thickBot="1" x14ac:dyDescent="0.25">
      <c r="A57" s="140">
        <f t="shared" si="3"/>
        <v>0</v>
      </c>
      <c r="B57" s="140" t="s">
        <v>1871</v>
      </c>
      <c r="D57" s="204"/>
      <c r="E57" s="205"/>
      <c r="F57" s="206"/>
      <c r="G57" s="207"/>
      <c r="H57" s="208"/>
      <c r="I57" s="206"/>
      <c r="J57" s="209"/>
      <c r="K57" s="208"/>
      <c r="L57" s="210"/>
      <c r="M57" s="211"/>
    </row>
    <row r="58" spans="1:13" x14ac:dyDescent="0.2">
      <c r="A58" s="140">
        <f t="shared" si="3"/>
        <v>0</v>
      </c>
      <c r="B58" s="140" t="s">
        <v>1872</v>
      </c>
      <c r="D58" s="212" t="s">
        <v>1898</v>
      </c>
      <c r="E58" s="165"/>
      <c r="F58" s="213"/>
      <c r="G58" s="214"/>
      <c r="H58" s="215">
        <f>SUM(H49,H40,H41:H46)</f>
        <v>0.79</v>
      </c>
      <c r="I58" s="216"/>
      <c r="J58" s="216"/>
      <c r="K58" s="215">
        <f>SUM(K49,K40,K41:K46)</f>
        <v>0.79</v>
      </c>
      <c r="L58" s="217">
        <f>K58-H58</f>
        <v>0</v>
      </c>
      <c r="M58" s="218">
        <f>IF((H58)=0,"",(L58/H58))</f>
        <v>0</v>
      </c>
    </row>
    <row r="59" spans="1:13" x14ac:dyDescent="0.2">
      <c r="A59" s="140">
        <f t="shared" si="3"/>
        <v>0</v>
      </c>
      <c r="B59" s="140" t="s">
        <v>1872</v>
      </c>
      <c r="D59" s="219" t="s">
        <v>36</v>
      </c>
      <c r="E59" s="165"/>
      <c r="F59" s="213">
        <v>0.13</v>
      </c>
      <c r="G59" s="214"/>
      <c r="H59" s="221">
        <f>H58*F59</f>
        <v>0.10270000000000001</v>
      </c>
      <c r="I59" s="236">
        <v>0.13</v>
      </c>
      <c r="J59" s="222"/>
      <c r="K59" s="221">
        <f>K58*I59</f>
        <v>0.10270000000000001</v>
      </c>
      <c r="L59" s="224">
        <f>K59-H59</f>
        <v>0</v>
      </c>
      <c r="M59" s="225">
        <f>IF((H59)=0,"",(L59/H59))</f>
        <v>0</v>
      </c>
    </row>
    <row r="60" spans="1:13" x14ac:dyDescent="0.2">
      <c r="A60" s="140">
        <f t="shared" si="3"/>
        <v>0</v>
      </c>
      <c r="B60" s="140" t="s">
        <v>1872</v>
      </c>
      <c r="D60" s="226" t="s">
        <v>586</v>
      </c>
      <c r="E60" s="165"/>
      <c r="F60" s="227"/>
      <c r="G60" s="220"/>
      <c r="H60" s="221">
        <f>H58+H59</f>
        <v>0.89270000000000005</v>
      </c>
      <c r="I60" s="223"/>
      <c r="J60" s="223"/>
      <c r="K60" s="221">
        <f>K58+K59</f>
        <v>0.89270000000000005</v>
      </c>
      <c r="L60" s="224">
        <f>K60-H60</f>
        <v>0</v>
      </c>
      <c r="M60" s="225">
        <f>IF((H60)=0,"",(L60/H60))</f>
        <v>0</v>
      </c>
    </row>
    <row r="61" spans="1:13" x14ac:dyDescent="0.2">
      <c r="A61" s="140">
        <f t="shared" si="3"/>
        <v>0</v>
      </c>
      <c r="B61" s="140" t="s">
        <v>1872</v>
      </c>
      <c r="D61" s="2465" t="s">
        <v>264</v>
      </c>
      <c r="E61" s="2465"/>
      <c r="F61" s="227"/>
      <c r="G61" s="220"/>
      <c r="H61" s="228">
        <f>ROUND(-H60*10%,2)</f>
        <v>-0.09</v>
      </c>
      <c r="I61" s="202"/>
      <c r="J61" s="202"/>
      <c r="K61" s="202"/>
      <c r="L61" s="202"/>
      <c r="M61" s="229"/>
    </row>
    <row r="62" spans="1:13" ht="13.5" thickBot="1" x14ac:dyDescent="0.25">
      <c r="A62" s="140">
        <f t="shared" si="3"/>
        <v>0</v>
      </c>
      <c r="B62" s="140" t="s">
        <v>1899</v>
      </c>
      <c r="D62" s="2466" t="s">
        <v>1898</v>
      </c>
      <c r="E62" s="2466"/>
      <c r="F62" s="237"/>
      <c r="G62" s="238"/>
      <c r="H62" s="239">
        <f>SUM(H60:H61)</f>
        <v>0.80270000000000008</v>
      </c>
      <c r="I62" s="240"/>
      <c r="J62" s="240"/>
      <c r="K62" s="239">
        <f>SUM(K60:K61)</f>
        <v>0.89270000000000005</v>
      </c>
      <c r="L62" s="241">
        <f>K62-H62</f>
        <v>8.9999999999999969E-2</v>
      </c>
      <c r="M62" s="242">
        <f>IF((H62)=0,"",(L62/H62))</f>
        <v>0.11212158963498188</v>
      </c>
    </row>
    <row r="63" spans="1:13" ht="13.5" thickBot="1" x14ac:dyDescent="0.25">
      <c r="A63" s="140">
        <f t="shared" si="3"/>
        <v>0</v>
      </c>
      <c r="B63" s="140" t="s">
        <v>1872</v>
      </c>
      <c r="D63" s="204"/>
      <c r="E63" s="205"/>
      <c r="F63" s="243"/>
      <c r="G63" s="244"/>
      <c r="H63" s="245"/>
      <c r="I63" s="243"/>
      <c r="J63" s="207"/>
      <c r="K63" s="245"/>
      <c r="L63" s="246"/>
      <c r="M63" s="211"/>
    </row>
    <row r="64" spans="1:13" x14ac:dyDescent="0.2">
      <c r="A64" s="140">
        <f t="shared" si="3"/>
        <v>0</v>
      </c>
      <c r="B64" s="140" t="s">
        <v>1873</v>
      </c>
      <c r="D64" s="212" t="s">
        <v>1900</v>
      </c>
      <c r="E64" s="165"/>
      <c r="F64" s="213"/>
      <c r="G64" s="214"/>
      <c r="H64" s="215">
        <f>SUM(H50,H40:H44)</f>
        <v>0.79</v>
      </c>
      <c r="I64" s="216"/>
      <c r="J64" s="216"/>
      <c r="K64" s="215">
        <f>SUM(K50,K40:K44)</f>
        <v>0.79</v>
      </c>
      <c r="L64" s="217">
        <f>K64-H64</f>
        <v>0</v>
      </c>
      <c r="M64" s="218">
        <f>IF((H64)=0,"",(L64/H64))</f>
        <v>0</v>
      </c>
    </row>
    <row r="65" spans="1:13" x14ac:dyDescent="0.2">
      <c r="A65" s="140">
        <f t="shared" si="3"/>
        <v>0</v>
      </c>
      <c r="B65" s="140" t="s">
        <v>1873</v>
      </c>
      <c r="D65" s="219" t="s">
        <v>36</v>
      </c>
      <c r="E65" s="165"/>
      <c r="F65" s="213">
        <v>0.13</v>
      </c>
      <c r="G65" s="214"/>
      <c r="H65" s="221">
        <f>H64*F65</f>
        <v>0.10270000000000001</v>
      </c>
      <c r="I65" s="236">
        <v>0.13</v>
      </c>
      <c r="J65" s="222"/>
      <c r="K65" s="221">
        <f>K64*I65</f>
        <v>0.10270000000000001</v>
      </c>
      <c r="L65" s="224">
        <f>K65-H65</f>
        <v>0</v>
      </c>
      <c r="M65" s="225">
        <f>IF((H65)=0,"",(L65/H65))</f>
        <v>0</v>
      </c>
    </row>
    <row r="66" spans="1:13" x14ac:dyDescent="0.2">
      <c r="A66" s="140">
        <f t="shared" si="3"/>
        <v>0</v>
      </c>
      <c r="B66" s="140" t="s">
        <v>1873</v>
      </c>
      <c r="D66" s="226" t="s">
        <v>586</v>
      </c>
      <c r="E66" s="165"/>
      <c r="F66" s="227"/>
      <c r="G66" s="220"/>
      <c r="H66" s="221">
        <f>H64+H65</f>
        <v>0.89270000000000005</v>
      </c>
      <c r="I66" s="223"/>
      <c r="J66" s="223"/>
      <c r="K66" s="221">
        <f>K64+K65</f>
        <v>0.89270000000000005</v>
      </c>
      <c r="L66" s="224">
        <f>K66-H66</f>
        <v>0</v>
      </c>
      <c r="M66" s="225">
        <f>IF((H66)=0,"",(L66/H66))</f>
        <v>0</v>
      </c>
    </row>
    <row r="67" spans="1:13" x14ac:dyDescent="0.2">
      <c r="A67" s="140">
        <f t="shared" si="3"/>
        <v>0</v>
      </c>
      <c r="B67" s="140" t="s">
        <v>1873</v>
      </c>
      <c r="D67" s="2465" t="s">
        <v>264</v>
      </c>
      <c r="E67" s="2465"/>
      <c r="F67" s="227"/>
      <c r="G67" s="220"/>
      <c r="H67" s="228">
        <f>IF(E8="Yes", ROUND(-H66*10%,2), 0)</f>
        <v>0</v>
      </c>
      <c r="I67" s="202"/>
      <c r="J67" s="202"/>
      <c r="K67" s="202"/>
      <c r="L67" s="202"/>
      <c r="M67" s="229"/>
    </row>
    <row r="68" spans="1:13" ht="13.5" thickBot="1" x14ac:dyDescent="0.25">
      <c r="A68" s="140">
        <f t="shared" si="3"/>
        <v>0</v>
      </c>
      <c r="B68" s="140" t="s">
        <v>1901</v>
      </c>
      <c r="D68" s="2466" t="s">
        <v>1900</v>
      </c>
      <c r="E68" s="2466"/>
      <c r="F68" s="237"/>
      <c r="G68" s="238"/>
      <c r="H68" s="239">
        <f>SUM(H66:H67)</f>
        <v>0.89270000000000005</v>
      </c>
      <c r="I68" s="240"/>
      <c r="J68" s="240"/>
      <c r="K68" s="239">
        <f>SUM(K66:K67)</f>
        <v>0.89270000000000005</v>
      </c>
      <c r="L68" s="241">
        <f>K68-H68</f>
        <v>0</v>
      </c>
      <c r="M68" s="242">
        <f>IF((H68)=0,"",(L68/H68))</f>
        <v>0</v>
      </c>
    </row>
    <row r="69" spans="1:13" ht="13.5" thickBot="1" x14ac:dyDescent="0.25">
      <c r="A69" s="140">
        <f t="shared" si="3"/>
        <v>0</v>
      </c>
      <c r="B69" s="140" t="s">
        <v>1873</v>
      </c>
      <c r="D69" s="204"/>
      <c r="E69" s="205"/>
      <c r="F69" s="243"/>
      <c r="G69" s="244"/>
      <c r="H69" s="245"/>
      <c r="I69" s="243"/>
      <c r="J69" s="207"/>
      <c r="K69" s="245"/>
      <c r="L69" s="246"/>
      <c r="M69" s="211"/>
    </row>
    <row r="70" spans="1:13" x14ac:dyDescent="0.2">
      <c r="K70" s="1320"/>
    </row>
  </sheetData>
  <sheetProtection selectLockedCells="1"/>
  <mergeCells count="14">
    <mergeCell ref="E2:G2"/>
    <mergeCell ref="E3:G3"/>
    <mergeCell ref="F10:H10"/>
    <mergeCell ref="I10:K10"/>
    <mergeCell ref="D55:E55"/>
    <mergeCell ref="L10:M10"/>
    <mergeCell ref="E11:E12"/>
    <mergeCell ref="L11:L12"/>
    <mergeCell ref="M11:M12"/>
    <mergeCell ref="D68:E68"/>
    <mergeCell ref="D56:E56"/>
    <mergeCell ref="D61:E61"/>
    <mergeCell ref="D62:E62"/>
    <mergeCell ref="D67:E67"/>
  </mergeCells>
  <dataValidations count="1">
    <dataValidation type="list" allowBlank="1" showInputMessage="1" showErrorMessage="1" prompt="Select Charge Unit - monthly, per kWh, per kW" sqref="E38:E39 E30:E36 E41:E51 E13:E28 E57 E63 E69">
      <formula1>"Monthly, per kWh, per kW"</formula1>
    </dataValidation>
  </dataValidations>
  <pageMargins left="0.75" right="0.75" top="1" bottom="1" header="0.5" footer="0.5"/>
  <pageSetup scale="58" orientation="portrait" r:id="rId1"/>
  <headerFooter alignWithMargins="0">
    <oddFooter>&amp;C9</oddFooter>
  </headerFooter>
  <legacy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T42"/>
  <sheetViews>
    <sheetView showGridLines="0" zoomScaleNormal="100" workbookViewId="0"/>
  </sheetViews>
  <sheetFormatPr defaultRowHeight="12.75" x14ac:dyDescent="0.2"/>
  <cols>
    <col min="1" max="2" width="9.140625" style="140"/>
    <col min="3" max="3" width="15.5703125" style="140" customWidth="1"/>
    <col min="4" max="6" width="14.7109375" style="140" customWidth="1"/>
    <col min="7" max="9" width="20.7109375" style="140" customWidth="1"/>
    <col min="10" max="16384" width="9.140625" style="140"/>
  </cols>
  <sheetData>
    <row r="1" spans="1:9" x14ac:dyDescent="0.2">
      <c r="A1"/>
      <c r="B1"/>
      <c r="C1"/>
      <c r="H1" s="334" t="s">
        <v>394</v>
      </c>
      <c r="I1" s="1513" t="str">
        <f>EBNUMBER</f>
        <v>EB-2015-0089</v>
      </c>
    </row>
    <row r="2" spans="1:9" x14ac:dyDescent="0.2">
      <c r="H2" s="334" t="s">
        <v>395</v>
      </c>
      <c r="I2" s="136">
        <v>1</v>
      </c>
    </row>
    <row r="3" spans="1:9" x14ac:dyDescent="0.2">
      <c r="H3" s="334" t="s">
        <v>396</v>
      </c>
      <c r="I3" s="136" t="s">
        <v>2456</v>
      </c>
    </row>
    <row r="4" spans="1:9" x14ac:dyDescent="0.2">
      <c r="H4" s="334" t="s">
        <v>397</v>
      </c>
      <c r="I4" s="136" t="s">
        <v>2428</v>
      </c>
    </row>
    <row r="5" spans="1:9" x14ac:dyDescent="0.2">
      <c r="H5" s="334" t="s">
        <v>398</v>
      </c>
      <c r="I5" s="1514">
        <v>95</v>
      </c>
    </row>
    <row r="6" spans="1:9" x14ac:dyDescent="0.2">
      <c r="H6" s="334"/>
      <c r="I6" s="1513"/>
    </row>
    <row r="7" spans="1:9" x14ac:dyDescent="0.2">
      <c r="H7" s="334" t="s">
        <v>399</v>
      </c>
      <c r="I7" s="1838" t="s">
        <v>2455</v>
      </c>
    </row>
    <row r="9" spans="1:9" ht="18" x14ac:dyDescent="0.25">
      <c r="A9" s="1979" t="s">
        <v>1544</v>
      </c>
      <c r="B9" s="2104"/>
      <c r="C9" s="2104"/>
      <c r="D9" s="2104"/>
      <c r="E9" s="2104"/>
      <c r="F9" s="2104"/>
      <c r="G9" s="2104"/>
      <c r="H9" s="2104"/>
      <c r="I9" s="2104"/>
    </row>
    <row r="10" spans="1:9" ht="18" x14ac:dyDescent="0.25">
      <c r="A10" s="1979" t="s">
        <v>700</v>
      </c>
      <c r="B10" s="2105"/>
      <c r="C10" s="2105"/>
      <c r="D10" s="2105"/>
      <c r="E10" s="2105"/>
      <c r="F10" s="2105"/>
      <c r="G10" s="2105"/>
      <c r="H10" s="2105"/>
      <c r="I10" s="2105"/>
    </row>
    <row r="11" spans="1:9" ht="18" x14ac:dyDescent="0.25">
      <c r="A11" s="1979" t="s">
        <v>2449</v>
      </c>
      <c r="B11" s="2105"/>
      <c r="C11" s="2105"/>
      <c r="D11" s="2105"/>
      <c r="E11" s="2105"/>
      <c r="F11" s="2105"/>
      <c r="G11" s="2105"/>
      <c r="H11" s="2105"/>
      <c r="I11" s="2105"/>
    </row>
    <row r="14" spans="1:9" ht="13.5" thickBot="1" x14ac:dyDescent="0.25"/>
    <row r="15" spans="1:9" ht="12.75" customHeight="1" x14ac:dyDescent="0.2">
      <c r="A15" s="2088" t="s">
        <v>701</v>
      </c>
      <c r="B15" s="2394"/>
      <c r="C15" s="2517"/>
      <c r="D15" s="517">
        <v>2016</v>
      </c>
      <c r="E15" s="1274">
        <v>2016</v>
      </c>
      <c r="F15" s="1274" t="s">
        <v>106</v>
      </c>
      <c r="G15" s="2522" t="s">
        <v>702</v>
      </c>
      <c r="H15" s="2523"/>
      <c r="I15" s="2524"/>
    </row>
    <row r="16" spans="1:9" x14ac:dyDescent="0.2">
      <c r="A16" s="2089"/>
      <c r="B16" s="2395"/>
      <c r="C16" s="2518"/>
      <c r="D16" s="518" t="s">
        <v>152</v>
      </c>
      <c r="E16" s="2528" t="s">
        <v>1612</v>
      </c>
      <c r="F16" s="1276"/>
      <c r="G16" s="2525" t="s">
        <v>703</v>
      </c>
      <c r="H16" s="2526"/>
      <c r="I16" s="2527"/>
    </row>
    <row r="17" spans="1:9" ht="13.5" thickBot="1" x14ac:dyDescent="0.25">
      <c r="A17" s="2519"/>
      <c r="B17" s="2520"/>
      <c r="C17" s="2521"/>
      <c r="D17" s="1321"/>
      <c r="E17" s="2529"/>
      <c r="F17" s="1322"/>
      <c r="G17" s="1323"/>
      <c r="H17" s="1324"/>
      <c r="I17" s="1325"/>
    </row>
    <row r="18" spans="1:9" x14ac:dyDescent="0.2">
      <c r="A18" s="2505" t="s">
        <v>1545</v>
      </c>
      <c r="B18" s="2506"/>
      <c r="C18" s="2507"/>
      <c r="D18" s="1326">
        <v>78763491</v>
      </c>
      <c r="E18" s="1326">
        <v>77207655</v>
      </c>
      <c r="F18" s="1327">
        <f t="shared" ref="F18:F20" si="0">+D18-E18</f>
        <v>1555836</v>
      </c>
      <c r="G18" s="2508" t="s">
        <v>2350</v>
      </c>
      <c r="H18" s="2509"/>
      <c r="I18" s="2510"/>
    </row>
    <row r="19" spans="1:9" x14ac:dyDescent="0.2">
      <c r="A19" s="2511" t="s">
        <v>1936</v>
      </c>
      <c r="B19" s="2512"/>
      <c r="C19" s="2513"/>
      <c r="D19" s="504">
        <v>83498164</v>
      </c>
      <c r="E19" s="504">
        <v>80309411</v>
      </c>
      <c r="F19" s="1288">
        <f t="shared" si="0"/>
        <v>3188753</v>
      </c>
      <c r="G19" s="2472" t="s">
        <v>2351</v>
      </c>
      <c r="H19" s="2473"/>
      <c r="I19" s="2474"/>
    </row>
    <row r="20" spans="1:9" x14ac:dyDescent="0.2">
      <c r="A20" s="2514" t="s">
        <v>704</v>
      </c>
      <c r="B20" s="2515"/>
      <c r="C20" s="2516"/>
      <c r="D20" s="1328">
        <f>(D18+D19)/2</f>
        <v>81130827.5</v>
      </c>
      <c r="E20" s="1288">
        <f>(E18+E19)/2</f>
        <v>78758533</v>
      </c>
      <c r="F20" s="1288">
        <f t="shared" si="0"/>
        <v>2372294.5</v>
      </c>
      <c r="G20" s="2472"/>
      <c r="H20" s="2473"/>
      <c r="I20" s="2474"/>
    </row>
    <row r="21" spans="1:9" x14ac:dyDescent="0.2">
      <c r="A21" s="2492" t="s">
        <v>705</v>
      </c>
      <c r="B21" s="2493"/>
      <c r="C21" s="2494"/>
      <c r="D21" s="504">
        <v>9234764</v>
      </c>
      <c r="E21" s="504">
        <v>9296527</v>
      </c>
      <c r="F21" s="1328">
        <f>+D21-E21</f>
        <v>-61763</v>
      </c>
      <c r="G21" s="2495" t="s">
        <v>2352</v>
      </c>
      <c r="H21" s="2473"/>
      <c r="I21" s="2474"/>
    </row>
    <row r="22" spans="1:9" ht="13.5" thickBot="1" x14ac:dyDescent="0.25">
      <c r="A22" s="2496" t="s">
        <v>706</v>
      </c>
      <c r="B22" s="2497"/>
      <c r="C22" s="2498"/>
      <c r="D22" s="1329">
        <f>SUM(D20:D21)</f>
        <v>90365591.5</v>
      </c>
      <c r="E22" s="1329">
        <f>SUM(E20:E21)</f>
        <v>88055060</v>
      </c>
      <c r="F22" s="1328">
        <f>+D22-E22</f>
        <v>2310531.5</v>
      </c>
      <c r="G22" s="2499"/>
      <c r="H22" s="2500"/>
      <c r="I22" s="2501"/>
    </row>
    <row r="23" spans="1:9" ht="13.5" thickTop="1" x14ac:dyDescent="0.2">
      <c r="A23" s="2502"/>
      <c r="B23" s="2503"/>
      <c r="C23" s="2504"/>
      <c r="D23" s="2502"/>
      <c r="E23" s="2503"/>
      <c r="F23" s="2504">
        <f t="shared" ref="F23:F34" si="1">+D23-E23</f>
        <v>0</v>
      </c>
      <c r="G23" s="2502"/>
      <c r="H23" s="2503"/>
      <c r="I23" s="2504"/>
    </row>
    <row r="24" spans="1:9" x14ac:dyDescent="0.2">
      <c r="A24" s="2489" t="s">
        <v>707</v>
      </c>
      <c r="B24" s="2490"/>
      <c r="C24" s="2491"/>
      <c r="D24" s="504">
        <v>5456935</v>
      </c>
      <c r="E24" s="504">
        <v>5318526</v>
      </c>
      <c r="F24" s="1288">
        <f t="shared" si="1"/>
        <v>138409</v>
      </c>
      <c r="G24" s="2472" t="s">
        <v>2353</v>
      </c>
      <c r="H24" s="2473"/>
      <c r="I24" s="2474"/>
    </row>
    <row r="25" spans="1:9" x14ac:dyDescent="0.2">
      <c r="A25" s="2388"/>
      <c r="B25" s="2389"/>
      <c r="C25" s="2488"/>
      <c r="D25" s="504"/>
      <c r="E25" s="504"/>
      <c r="F25" s="1288">
        <f t="shared" si="1"/>
        <v>0</v>
      </c>
      <c r="G25" s="2472"/>
      <c r="H25" s="2473"/>
      <c r="I25" s="2474"/>
    </row>
    <row r="26" spans="1:9" x14ac:dyDescent="0.2">
      <c r="A26" s="2382" t="s">
        <v>166</v>
      </c>
      <c r="B26" s="2383"/>
      <c r="C26" s="2471"/>
      <c r="D26" s="504">
        <v>10122448</v>
      </c>
      <c r="E26" s="504">
        <v>10945955</v>
      </c>
      <c r="F26" s="1288">
        <f t="shared" si="1"/>
        <v>-823507</v>
      </c>
      <c r="G26" s="2472" t="s">
        <v>2354</v>
      </c>
      <c r="H26" s="2473"/>
      <c r="I26" s="2474"/>
    </row>
    <row r="27" spans="1:9" ht="12.75" customHeight="1" x14ac:dyDescent="0.2">
      <c r="A27" s="2382" t="s">
        <v>708</v>
      </c>
      <c r="B27" s="2383"/>
      <c r="C27" s="2471"/>
      <c r="D27" s="504">
        <v>3187941</v>
      </c>
      <c r="E27" s="504">
        <v>5393919</v>
      </c>
      <c r="F27" s="1288">
        <f t="shared" si="1"/>
        <v>-2205978</v>
      </c>
      <c r="G27" s="2472" t="s">
        <v>2355</v>
      </c>
      <c r="H27" s="2473"/>
      <c r="I27" s="2474"/>
    </row>
    <row r="28" spans="1:9" x14ac:dyDescent="0.2">
      <c r="A28" s="2388" t="s">
        <v>709</v>
      </c>
      <c r="B28" s="2389"/>
      <c r="C28" s="2488"/>
      <c r="D28" s="504">
        <v>250107</v>
      </c>
      <c r="E28" s="504">
        <v>-465101</v>
      </c>
      <c r="F28" s="1288">
        <f t="shared" si="1"/>
        <v>715208</v>
      </c>
      <c r="G28" s="2472" t="s">
        <v>2356</v>
      </c>
      <c r="H28" s="2473"/>
      <c r="I28" s="2474"/>
    </row>
    <row r="29" spans="1:9" x14ac:dyDescent="0.2">
      <c r="A29" s="2388"/>
      <c r="B29" s="2389"/>
      <c r="C29" s="2488"/>
      <c r="D29" s="504"/>
      <c r="E29" s="504"/>
      <c r="F29" s="1288">
        <f t="shared" si="1"/>
        <v>0</v>
      </c>
      <c r="G29" s="2472"/>
      <c r="H29" s="2473"/>
      <c r="I29" s="2474"/>
    </row>
    <row r="30" spans="1:9" x14ac:dyDescent="0.2">
      <c r="A30" s="2382" t="s">
        <v>710</v>
      </c>
      <c r="B30" s="2383"/>
      <c r="C30" s="2471"/>
      <c r="D30" s="504">
        <v>-1923335</v>
      </c>
      <c r="E30" s="504">
        <v>-1923335</v>
      </c>
      <c r="F30" s="1288">
        <f t="shared" si="1"/>
        <v>0</v>
      </c>
      <c r="G30" s="2472"/>
      <c r="H30" s="2473"/>
      <c r="I30" s="2474"/>
    </row>
    <row r="31" spans="1:9" x14ac:dyDescent="0.2">
      <c r="A31" s="2385"/>
      <c r="B31" s="2386"/>
      <c r="C31" s="2487"/>
      <c r="D31" s="504"/>
      <c r="E31" s="504"/>
      <c r="F31" s="1288">
        <f t="shared" si="1"/>
        <v>0</v>
      </c>
      <c r="G31" s="2472"/>
      <c r="H31" s="2473"/>
      <c r="I31" s="2474"/>
    </row>
    <row r="32" spans="1:9" x14ac:dyDescent="0.2">
      <c r="A32" s="2382"/>
      <c r="B32" s="2383"/>
      <c r="C32" s="2471"/>
      <c r="D32" s="504"/>
      <c r="E32" s="504"/>
      <c r="F32" s="1288">
        <f t="shared" si="1"/>
        <v>0</v>
      </c>
      <c r="G32" s="2472"/>
      <c r="H32" s="2473"/>
      <c r="I32" s="2474"/>
    </row>
    <row r="33" spans="1:20" x14ac:dyDescent="0.2">
      <c r="A33" s="2382"/>
      <c r="B33" s="2383"/>
      <c r="C33" s="2471"/>
      <c r="D33" s="504"/>
      <c r="E33" s="504"/>
      <c r="F33" s="1288">
        <f t="shared" si="1"/>
        <v>0</v>
      </c>
      <c r="G33" s="2472"/>
      <c r="H33" s="2473"/>
      <c r="I33" s="2474"/>
    </row>
    <row r="34" spans="1:20" ht="13.5" thickBot="1" x14ac:dyDescent="0.25">
      <c r="A34" s="2475" t="s">
        <v>244</v>
      </c>
      <c r="B34" s="2476"/>
      <c r="C34" s="2477"/>
      <c r="D34" s="506"/>
      <c r="E34" s="506"/>
      <c r="F34" s="1288">
        <f t="shared" si="1"/>
        <v>0</v>
      </c>
      <c r="G34" s="2478"/>
      <c r="H34" s="2479"/>
      <c r="I34" s="2480"/>
    </row>
    <row r="35" spans="1:20" ht="14.25" customHeight="1" thickTop="1" thickBot="1" x14ac:dyDescent="0.25">
      <c r="A35" s="2481" t="s">
        <v>711</v>
      </c>
      <c r="B35" s="2482"/>
      <c r="C35" s="2483"/>
      <c r="D35" s="508">
        <f>SUM(D24:D34)</f>
        <v>17094096</v>
      </c>
      <c r="E35" s="508">
        <f>SUM(E24:E34)</f>
        <v>19269964</v>
      </c>
      <c r="F35" s="508">
        <f>SUM(F24:F34)</f>
        <v>-2175868</v>
      </c>
      <c r="G35" s="2484"/>
      <c r="H35" s="2485"/>
      <c r="I35" s="2486"/>
    </row>
    <row r="38" spans="1:20" ht="12.75" customHeight="1" x14ac:dyDescent="0.2">
      <c r="A38" s="1984" t="s">
        <v>1613</v>
      </c>
      <c r="B38" s="1984"/>
      <c r="C38" s="1984"/>
      <c r="D38" s="1984"/>
      <c r="E38" s="1984"/>
      <c r="F38" s="1984"/>
      <c r="G38" s="1984"/>
      <c r="H38" s="1984"/>
      <c r="I38" s="1984"/>
      <c r="J38" s="1465"/>
      <c r="K38" s="1465"/>
      <c r="L38" s="1465"/>
      <c r="M38" s="1465"/>
      <c r="N38" s="1465"/>
      <c r="O38" s="1465"/>
      <c r="P38" s="1465"/>
      <c r="Q38" s="1465"/>
      <c r="R38" s="1465"/>
      <c r="S38" s="1465"/>
      <c r="T38" s="1465"/>
    </row>
    <row r="39" spans="1:20" ht="12.75" customHeight="1" x14ac:dyDescent="0.2">
      <c r="A39" s="1984"/>
      <c r="B39" s="1984"/>
      <c r="C39" s="1984"/>
      <c r="D39" s="1984"/>
      <c r="E39" s="1984"/>
      <c r="F39" s="1984"/>
      <c r="G39" s="1984"/>
      <c r="H39" s="1984"/>
      <c r="I39" s="1984"/>
      <c r="J39" s="1465"/>
      <c r="K39" s="1465"/>
      <c r="L39" s="1465"/>
      <c r="M39" s="1465"/>
      <c r="N39" s="1465"/>
      <c r="O39" s="1465"/>
      <c r="P39" s="1465"/>
      <c r="Q39" s="1465"/>
      <c r="R39" s="1465"/>
      <c r="S39" s="1465"/>
      <c r="T39" s="1465"/>
    </row>
    <row r="40" spans="1:20" x14ac:dyDescent="0.2">
      <c r="A40" s="1984"/>
      <c r="B40" s="1984"/>
      <c r="C40" s="1984"/>
      <c r="D40" s="1984"/>
      <c r="E40" s="1984"/>
      <c r="F40" s="1984"/>
      <c r="G40" s="1984"/>
      <c r="H40" s="1984"/>
      <c r="I40" s="1984"/>
      <c r="J40" s="1465"/>
      <c r="K40" s="1465"/>
      <c r="L40" s="1465"/>
      <c r="M40" s="1465"/>
      <c r="N40" s="1465"/>
      <c r="O40" s="1465"/>
      <c r="P40" s="1465"/>
      <c r="Q40" s="1465"/>
      <c r="R40" s="1465"/>
      <c r="S40" s="1465"/>
      <c r="T40" s="1465"/>
    </row>
    <row r="41" spans="1:20" x14ac:dyDescent="0.2">
      <c r="A41" s="1984"/>
      <c r="B41" s="1984"/>
      <c r="C41" s="1984"/>
      <c r="D41" s="1984"/>
      <c r="E41" s="1984"/>
      <c r="F41" s="1984"/>
      <c r="G41" s="1984"/>
      <c r="H41" s="1984"/>
      <c r="I41" s="1984"/>
      <c r="J41" s="1465"/>
      <c r="K41" s="1465"/>
      <c r="L41" s="1465"/>
      <c r="M41" s="1465"/>
      <c r="N41" s="1465"/>
      <c r="O41" s="1465"/>
      <c r="P41" s="1465"/>
      <c r="Q41" s="1465"/>
      <c r="R41" s="1465"/>
      <c r="S41" s="1465"/>
      <c r="T41" s="1465"/>
    </row>
    <row r="42" spans="1:20" x14ac:dyDescent="0.2">
      <c r="A42" s="1984"/>
      <c r="B42" s="1984"/>
      <c r="C42" s="1984"/>
      <c r="D42" s="1984"/>
      <c r="E42" s="1984"/>
      <c r="F42" s="1984"/>
      <c r="G42" s="1984"/>
      <c r="H42" s="1984"/>
      <c r="I42" s="1984"/>
    </row>
  </sheetData>
  <mergeCells count="45">
    <mergeCell ref="A9:I9"/>
    <mergeCell ref="A10:I10"/>
    <mergeCell ref="A11:I11"/>
    <mergeCell ref="A15:C17"/>
    <mergeCell ref="G15:I15"/>
    <mergeCell ref="G16:I16"/>
    <mergeCell ref="E16:E17"/>
    <mergeCell ref="A18:C18"/>
    <mergeCell ref="G18:I18"/>
    <mergeCell ref="A19:C19"/>
    <mergeCell ref="G19:I19"/>
    <mergeCell ref="A20:C20"/>
    <mergeCell ref="G20:I20"/>
    <mergeCell ref="A21:C21"/>
    <mergeCell ref="G21:I21"/>
    <mergeCell ref="A22:C22"/>
    <mergeCell ref="G22:I22"/>
    <mergeCell ref="A23:C23"/>
    <mergeCell ref="D23:F23"/>
    <mergeCell ref="G23:I23"/>
    <mergeCell ref="A24:C24"/>
    <mergeCell ref="G24:I24"/>
    <mergeCell ref="A25:C25"/>
    <mergeCell ref="G25:I25"/>
    <mergeCell ref="A26:C26"/>
    <mergeCell ref="G26:I26"/>
    <mergeCell ref="A27:C27"/>
    <mergeCell ref="G27:I27"/>
    <mergeCell ref="A28:C28"/>
    <mergeCell ref="G28:I28"/>
    <mergeCell ref="A29:C29"/>
    <mergeCell ref="G29:I29"/>
    <mergeCell ref="A30:C30"/>
    <mergeCell ref="G30:I30"/>
    <mergeCell ref="A31:C31"/>
    <mergeCell ref="G31:I31"/>
    <mergeCell ref="A32:C32"/>
    <mergeCell ref="G32:I32"/>
    <mergeCell ref="A38:I42"/>
    <mergeCell ref="A33:C33"/>
    <mergeCell ref="G33:I33"/>
    <mergeCell ref="A34:C34"/>
    <mergeCell ref="G34:I34"/>
    <mergeCell ref="A35:C35"/>
    <mergeCell ref="G35:I35"/>
  </mergeCells>
  <pageMargins left="0.7" right="0.7" top="0.75" bottom="0.75" header="0.3" footer="0.3"/>
  <pageSetup scale="89" orientation="landscape" r:id="rId1"/>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8"/>
  <dimension ref="A1:N1000"/>
  <sheetViews>
    <sheetView showGridLines="0" zoomScaleNormal="100" workbookViewId="0"/>
  </sheetViews>
  <sheetFormatPr defaultRowHeight="12.75" x14ac:dyDescent="0.2"/>
  <cols>
    <col min="1" max="1" width="58.28515625" style="61" customWidth="1"/>
    <col min="2" max="2" width="16.42578125" style="61" customWidth="1"/>
    <col min="3" max="3" width="5.7109375" style="61" customWidth="1"/>
    <col min="4" max="4" width="8" style="61" customWidth="1"/>
    <col min="5" max="5" width="16.7109375" style="61" customWidth="1"/>
    <col min="6" max="6" width="14.28515625" style="61" customWidth="1"/>
    <col min="7" max="7" width="13.7109375" style="61" customWidth="1"/>
    <col min="8" max="10" width="9.140625" style="61"/>
    <col min="11" max="11" width="0" style="61" hidden="1" customWidth="1"/>
    <col min="12" max="16384" width="9.140625" style="61"/>
  </cols>
  <sheetData>
    <row r="1" spans="1:14" x14ac:dyDescent="0.2">
      <c r="A1" s="1771" t="s">
        <v>2399</v>
      </c>
      <c r="B1" s="334" t="s">
        <v>394</v>
      </c>
      <c r="C1" s="2535" t="str">
        <f>EBNUMBER</f>
        <v>EB-2015-0089</v>
      </c>
      <c r="D1" s="2535"/>
    </row>
    <row r="2" spans="1:14" x14ac:dyDescent="0.2">
      <c r="B2" s="334" t="s">
        <v>395</v>
      </c>
      <c r="C2" s="2544">
        <v>8</v>
      </c>
      <c r="D2" s="2544"/>
    </row>
    <row r="3" spans="1:14" x14ac:dyDescent="0.2">
      <c r="B3" s="334" t="s">
        <v>396</v>
      </c>
      <c r="C3" s="2544"/>
      <c r="D3" s="2544"/>
      <c r="E3" s="1330"/>
    </row>
    <row r="4" spans="1:14" x14ac:dyDescent="0.2">
      <c r="B4" s="334" t="s">
        <v>397</v>
      </c>
      <c r="C4" s="2544" t="s">
        <v>2424</v>
      </c>
      <c r="D4" s="2544"/>
    </row>
    <row r="5" spans="1:14" x14ac:dyDescent="0.2">
      <c r="B5" s="334" t="s">
        <v>398</v>
      </c>
      <c r="C5" s="2543"/>
      <c r="D5" s="2543"/>
    </row>
    <row r="6" spans="1:14" x14ac:dyDescent="0.2">
      <c r="B6" s="334"/>
      <c r="C6" s="1513"/>
    </row>
    <row r="7" spans="1:14" x14ac:dyDescent="0.2">
      <c r="B7" s="334" t="s">
        <v>399</v>
      </c>
      <c r="C7" s="2542"/>
      <c r="D7" s="2543"/>
    </row>
    <row r="8" spans="1:14" ht="48.75" customHeight="1" x14ac:dyDescent="0.2">
      <c r="A8" s="1977" t="s">
        <v>1507</v>
      </c>
      <c r="B8" s="1941"/>
      <c r="C8" s="1941"/>
      <c r="D8" s="1941"/>
    </row>
    <row r="9" spans="1:14" ht="4.5" customHeight="1" x14ac:dyDescent="0.2"/>
    <row r="10" spans="1:14" ht="79.5" customHeight="1" x14ac:dyDescent="0.2">
      <c r="A10" s="2120" t="s">
        <v>1390</v>
      </c>
      <c r="B10" s="2120"/>
      <c r="C10" s="2120"/>
      <c r="D10" s="2120"/>
      <c r="E10" s="1507"/>
      <c r="F10" s="1507"/>
      <c r="G10" s="1507"/>
      <c r="H10" s="1507"/>
    </row>
    <row r="11" spans="1:14" ht="31.5" customHeight="1" x14ac:dyDescent="0.2">
      <c r="A11" s="2536" t="s">
        <v>973</v>
      </c>
      <c r="B11" s="2536"/>
      <c r="C11" s="2536"/>
      <c r="D11" s="2536"/>
      <c r="E11" s="1331"/>
      <c r="F11" s="1331"/>
      <c r="G11" s="1331"/>
      <c r="H11" s="1331"/>
      <c r="I11" s="1331"/>
      <c r="J11" s="1331"/>
      <c r="K11" s="1331"/>
      <c r="L11" s="1331"/>
      <c r="M11" s="1331"/>
      <c r="N11" s="1331"/>
    </row>
    <row r="12" spans="1:14" x14ac:dyDescent="0.2">
      <c r="G12" s="666"/>
    </row>
    <row r="13" spans="1:14" ht="27" customHeight="1" x14ac:dyDescent="0.2">
      <c r="A13" s="2187" t="s">
        <v>974</v>
      </c>
      <c r="B13" s="2187"/>
      <c r="C13" s="92">
        <v>9</v>
      </c>
      <c r="D13" s="302"/>
      <c r="E13" s="302"/>
      <c r="G13" s="302"/>
      <c r="H13" s="302"/>
      <c r="I13" s="302"/>
      <c r="K13" s="302"/>
      <c r="L13" s="302"/>
    </row>
    <row r="14" spans="1:14" x14ac:dyDescent="0.2">
      <c r="C14" s="302"/>
      <c r="D14" s="302"/>
      <c r="E14" s="302"/>
      <c r="F14" s="302"/>
      <c r="G14" s="302"/>
      <c r="H14" s="302"/>
      <c r="I14" s="302"/>
      <c r="J14" s="302"/>
      <c r="K14" s="302"/>
      <c r="L14" s="302"/>
    </row>
    <row r="15" spans="1:14" ht="45.75" customHeight="1" x14ac:dyDescent="0.2">
      <c r="A15" s="2186" t="s">
        <v>1980</v>
      </c>
      <c r="B15" s="2187"/>
      <c r="C15" s="2187"/>
      <c r="D15" s="2187"/>
      <c r="E15" s="1332"/>
      <c r="F15" s="1333"/>
      <c r="G15" s="1334"/>
      <c r="H15" s="1334"/>
      <c r="I15" s="1334"/>
      <c r="J15" s="1334"/>
      <c r="K15" s="302"/>
      <c r="L15" s="302"/>
    </row>
    <row r="18" spans="1:10" s="1339" customFormat="1" ht="15.75" x14ac:dyDescent="0.2">
      <c r="A18" s="2540" t="s">
        <v>1981</v>
      </c>
      <c r="B18" s="2540"/>
      <c r="C18" s="2540"/>
      <c r="D18" s="2541"/>
      <c r="E18" s="1335"/>
      <c r="F18" s="1335"/>
      <c r="G18" s="1335"/>
      <c r="H18" s="1336"/>
      <c r="I18" s="1337"/>
      <c r="J18" s="1338"/>
    </row>
    <row r="19" spans="1:10" ht="15" customHeight="1" x14ac:dyDescent="0.2">
      <c r="A19" s="2537" t="s">
        <v>1274</v>
      </c>
      <c r="B19" s="2538"/>
      <c r="C19" s="2538"/>
      <c r="D19" s="2539"/>
      <c r="E19" s="1340"/>
      <c r="F19" s="1340"/>
      <c r="G19" s="1340"/>
      <c r="H19" s="1341"/>
      <c r="I19" s="1342"/>
      <c r="J19" s="1343"/>
    </row>
    <row r="20" spans="1:10" ht="12.75" customHeight="1" x14ac:dyDescent="0.2">
      <c r="A20" s="2537" t="s">
        <v>1218</v>
      </c>
      <c r="B20" s="2538"/>
      <c r="C20" s="2538"/>
      <c r="D20" s="2539"/>
      <c r="E20" s="1340"/>
      <c r="F20" s="1342"/>
      <c r="G20" s="1342"/>
      <c r="H20" s="1343"/>
      <c r="I20" s="1342"/>
      <c r="J20" s="1343"/>
    </row>
    <row r="21" spans="1:10" ht="12.75" customHeight="1" x14ac:dyDescent="0.2">
      <c r="A21" s="2537" t="s">
        <v>1171</v>
      </c>
      <c r="B21" s="2538"/>
      <c r="C21" s="2538"/>
      <c r="D21" s="2539"/>
      <c r="E21" s="1340"/>
      <c r="F21" s="1340"/>
      <c r="G21" s="1340"/>
      <c r="H21" s="1341"/>
      <c r="I21" s="1342"/>
      <c r="J21" s="1343"/>
    </row>
    <row r="22" spans="1:10" ht="12.75" customHeight="1" x14ac:dyDescent="0.2">
      <c r="A22" s="2537" t="s">
        <v>1046</v>
      </c>
      <c r="B22" s="2538"/>
      <c r="C22" s="2538"/>
      <c r="D22" s="2539"/>
      <c r="E22" s="1342"/>
      <c r="F22" s="1342"/>
      <c r="G22" s="1342"/>
      <c r="H22" s="1343"/>
      <c r="I22" s="1342"/>
      <c r="J22" s="1343"/>
    </row>
    <row r="23" spans="1:10" ht="12.75" customHeight="1" x14ac:dyDescent="0.2">
      <c r="A23" s="2537" t="s">
        <v>1245</v>
      </c>
      <c r="B23" s="2538"/>
      <c r="C23" s="2538"/>
      <c r="D23" s="2539"/>
      <c r="E23" s="1340"/>
      <c r="F23" s="1340"/>
      <c r="G23" s="1340"/>
      <c r="H23" s="1341"/>
      <c r="I23" s="1342"/>
      <c r="J23" s="1343"/>
    </row>
    <row r="24" spans="1:10" ht="12.75" customHeight="1" x14ac:dyDescent="0.2">
      <c r="A24" s="2537" t="s">
        <v>1320</v>
      </c>
      <c r="B24" s="2538"/>
      <c r="C24" s="2538"/>
      <c r="D24" s="2539"/>
      <c r="E24" s="1342"/>
      <c r="F24" s="1342"/>
      <c r="G24" s="1342"/>
      <c r="H24" s="1343"/>
      <c r="I24" s="1342"/>
      <c r="J24" s="1343"/>
    </row>
    <row r="25" spans="1:10" ht="12.75" customHeight="1" x14ac:dyDescent="0.2">
      <c r="A25" s="2537" t="s">
        <v>1290</v>
      </c>
      <c r="B25" s="2538"/>
      <c r="C25" s="2538"/>
      <c r="D25" s="2539"/>
      <c r="E25" s="1342"/>
      <c r="F25" s="1342"/>
      <c r="G25" s="1342"/>
      <c r="H25" s="1343"/>
      <c r="I25" s="1350"/>
      <c r="J25" s="1350"/>
    </row>
    <row r="26" spans="1:10" ht="12.75" customHeight="1" x14ac:dyDescent="0.2">
      <c r="A26" s="2537" t="s">
        <v>1316</v>
      </c>
      <c r="B26" s="2538"/>
      <c r="C26" s="2538"/>
      <c r="D26" s="2539"/>
      <c r="E26" s="1342"/>
      <c r="F26" s="1342"/>
      <c r="G26" s="1342"/>
      <c r="H26" s="1343"/>
      <c r="I26" s="1350"/>
      <c r="J26" s="1350"/>
    </row>
    <row r="27" spans="1:10" ht="12.75" customHeight="1" x14ac:dyDescent="0.2">
      <c r="A27" s="2537" t="s">
        <v>1247</v>
      </c>
      <c r="B27" s="2538"/>
      <c r="C27" s="2538"/>
      <c r="D27" s="2539"/>
      <c r="E27" s="1342"/>
      <c r="F27" s="1342"/>
      <c r="G27" s="1342"/>
      <c r="H27" s="1343"/>
      <c r="I27" s="1350"/>
      <c r="J27" s="1350"/>
    </row>
    <row r="28" spans="1:10" ht="12.75" hidden="1" customHeight="1" x14ac:dyDescent="0.2">
      <c r="A28" s="1344"/>
      <c r="B28" s="1345"/>
      <c r="C28" s="1345"/>
      <c r="D28" s="1346"/>
      <c r="E28" s="1342"/>
      <c r="F28" s="1342"/>
      <c r="G28" s="1342"/>
      <c r="H28" s="1343"/>
      <c r="I28" s="1350"/>
      <c r="J28" s="1350"/>
    </row>
    <row r="29" spans="1:10" ht="12.75" hidden="1" customHeight="1" x14ac:dyDescent="0.2">
      <c r="A29" s="1347"/>
      <c r="B29" s="1348"/>
      <c r="C29" s="1348"/>
      <c r="D29" s="1349"/>
      <c r="E29" s="1342"/>
      <c r="F29" s="1342"/>
      <c r="G29" s="1342"/>
      <c r="H29" s="1343"/>
      <c r="I29" s="1350"/>
      <c r="J29" s="1350"/>
    </row>
    <row r="30" spans="1:10" ht="12.75" hidden="1" customHeight="1" x14ac:dyDescent="0.2">
      <c r="A30" s="1351"/>
      <c r="B30" s="1352"/>
      <c r="C30" s="1340"/>
      <c r="D30" s="1340"/>
      <c r="E30" s="1342"/>
      <c r="F30" s="1342"/>
      <c r="G30" s="1342"/>
      <c r="H30" s="1343"/>
      <c r="I30" s="1350"/>
      <c r="J30" s="1350"/>
    </row>
    <row r="31" spans="1:10" ht="12.75" hidden="1" customHeight="1" x14ac:dyDescent="0.2">
      <c r="A31" s="1351"/>
      <c r="B31" s="1353"/>
      <c r="C31" s="1342"/>
      <c r="D31" s="1342"/>
      <c r="E31" s="1342"/>
      <c r="F31" s="1342"/>
      <c r="G31" s="1342"/>
      <c r="H31" s="1343"/>
      <c r="I31" s="1350"/>
      <c r="J31" s="1350"/>
    </row>
    <row r="32" spans="1:10" ht="12.75" hidden="1" customHeight="1" x14ac:dyDescent="0.2">
      <c r="A32" s="1351"/>
      <c r="B32" s="1353"/>
      <c r="C32" s="1342"/>
      <c r="D32" s="1342"/>
      <c r="E32" s="1342"/>
      <c r="F32" s="1342"/>
      <c r="G32" s="1342"/>
      <c r="H32" s="1343"/>
      <c r="I32" s="1350"/>
      <c r="J32" s="1350"/>
    </row>
    <row r="33" spans="1:10" ht="12.75" hidden="1" customHeight="1" x14ac:dyDescent="0.2">
      <c r="A33" s="1351"/>
      <c r="B33" s="1353"/>
      <c r="C33" s="1342"/>
      <c r="D33" s="1342"/>
      <c r="E33" s="1342"/>
      <c r="F33" s="1342"/>
      <c r="G33" s="1342"/>
      <c r="H33" s="1343"/>
      <c r="I33" s="1350"/>
      <c r="J33" s="1350"/>
    </row>
    <row r="34" spans="1:10" hidden="1" x14ac:dyDescent="0.2">
      <c r="A34" s="1354"/>
      <c r="B34" s="1354"/>
      <c r="C34" s="1354"/>
      <c r="D34" s="1354"/>
      <c r="E34" s="1354"/>
      <c r="F34" s="1354"/>
      <c r="G34" s="1354"/>
      <c r="H34" s="1354"/>
      <c r="I34" s="1350"/>
      <c r="J34" s="1350"/>
    </row>
    <row r="35" spans="1:10" ht="55.5" customHeight="1" x14ac:dyDescent="0.2">
      <c r="A35" s="1355" t="s">
        <v>1383</v>
      </c>
      <c r="C35" s="1356"/>
      <c r="D35" s="1356"/>
      <c r="E35" s="1356"/>
      <c r="F35" s="1356"/>
      <c r="G35" s="1356"/>
      <c r="H35" s="1356"/>
    </row>
    <row r="36" spans="1:10" x14ac:dyDescent="0.2">
      <c r="A36" s="1356"/>
      <c r="B36" s="1356"/>
      <c r="C36" s="1356"/>
      <c r="D36" s="1356"/>
      <c r="E36" s="1356"/>
      <c r="F36" s="1356"/>
      <c r="G36" s="1356"/>
      <c r="H36" s="1356"/>
    </row>
    <row r="37" spans="1:10" ht="23.25" customHeight="1" x14ac:dyDescent="0.2">
      <c r="A37" s="2545" t="str">
        <f>'LDC Info'!E14</f>
        <v>Milton Hydro Distribution Inc.</v>
      </c>
      <c r="B37" s="2545"/>
      <c r="C37" s="2545"/>
      <c r="D37" s="2545"/>
      <c r="E37" s="1357"/>
      <c r="F37" s="1357"/>
      <c r="G37" s="1357"/>
      <c r="H37" s="1357"/>
      <c r="I37" s="1357"/>
    </row>
    <row r="38" spans="1:10" ht="18" customHeight="1" x14ac:dyDescent="0.2">
      <c r="A38" s="2546" t="s">
        <v>969</v>
      </c>
      <c r="B38" s="2546"/>
      <c r="C38" s="2546"/>
      <c r="D38" s="2546"/>
      <c r="E38" s="100"/>
      <c r="F38" s="100"/>
      <c r="G38" s="100"/>
      <c r="H38" s="100"/>
      <c r="I38" s="100"/>
    </row>
    <row r="39" spans="1:10" ht="15.75" customHeight="1" x14ac:dyDescent="0.2">
      <c r="A39" s="2547" t="str">
        <f>"Effective and Implementation Date May 1, 2014"</f>
        <v>Effective and Implementation Date May 1, 2014</v>
      </c>
      <c r="B39" s="2547"/>
      <c r="C39" s="2547"/>
      <c r="D39" s="2547"/>
      <c r="E39" s="1358"/>
      <c r="F39" s="1358"/>
      <c r="G39" s="1358"/>
      <c r="H39" s="1358"/>
      <c r="I39" s="1358"/>
    </row>
    <row r="40" spans="1:10" ht="15" x14ac:dyDescent="0.2">
      <c r="A40" s="1359"/>
      <c r="B40" s="1359"/>
      <c r="C40" s="1359"/>
      <c r="D40" s="1359"/>
      <c r="E40" s="1359"/>
      <c r="F40" s="1359"/>
      <c r="G40" s="1359"/>
      <c r="H40" s="1359"/>
      <c r="I40" s="1359"/>
    </row>
    <row r="41" spans="1:10" ht="12.75" customHeight="1" x14ac:dyDescent="0.2">
      <c r="A41" s="2548" t="s">
        <v>970</v>
      </c>
      <c r="B41" s="2548"/>
      <c r="C41" s="2548"/>
      <c r="D41" s="2548"/>
      <c r="E41" s="1360"/>
      <c r="F41" s="1360"/>
      <c r="G41" s="1360"/>
      <c r="H41" s="1360"/>
      <c r="I41" s="1360"/>
    </row>
    <row r="42" spans="1:10" ht="12.75" customHeight="1" x14ac:dyDescent="0.2">
      <c r="A42" s="2548" t="s">
        <v>971</v>
      </c>
      <c r="B42" s="2548"/>
      <c r="C42" s="2548"/>
      <c r="D42" s="2548"/>
      <c r="E42" s="1360"/>
      <c r="F42" s="1360"/>
      <c r="G42" s="1360"/>
      <c r="H42" s="1360"/>
      <c r="I42" s="1360"/>
    </row>
    <row r="43" spans="1:10" x14ac:dyDescent="0.2">
      <c r="A43" s="2549" t="str">
        <f>EBNUMBER</f>
        <v>EB-2015-0089</v>
      </c>
      <c r="B43" s="2549"/>
      <c r="C43" s="2549"/>
      <c r="D43" s="2549"/>
      <c r="E43" s="1361"/>
      <c r="F43" s="1361"/>
      <c r="G43" s="1361"/>
      <c r="H43" s="1361"/>
      <c r="I43" s="1361"/>
    </row>
    <row r="45" spans="1:10" ht="18" x14ac:dyDescent="0.25">
      <c r="A45" s="2531" t="s">
        <v>2377</v>
      </c>
      <c r="B45" s="2531"/>
      <c r="C45" s="2531"/>
      <c r="D45" s="2531"/>
      <c r="E45" s="100"/>
      <c r="F45" s="100"/>
      <c r="G45" s="100"/>
      <c r="H45" s="100"/>
      <c r="I45" s="100"/>
      <c r="J45" s="1362"/>
    </row>
    <row r="46" spans="1:10" ht="15" x14ac:dyDescent="0.25">
      <c r="A46" s="68"/>
      <c r="B46" s="68"/>
      <c r="C46" s="68"/>
      <c r="D46" s="68"/>
      <c r="E46" s="68"/>
      <c r="F46" s="68"/>
      <c r="G46" s="68"/>
      <c r="H46" s="68"/>
      <c r="I46" s="68"/>
      <c r="J46" s="1363"/>
    </row>
    <row r="47" spans="1:10" ht="87" customHeight="1" x14ac:dyDescent="0.25">
      <c r="A47" s="2533"/>
      <c r="B47" s="2533"/>
      <c r="C47" s="2533"/>
      <c r="D47" s="2533"/>
      <c r="E47" s="1362"/>
      <c r="F47" s="1362"/>
      <c r="G47" s="1362"/>
      <c r="H47" s="1362"/>
      <c r="I47" s="1362"/>
      <c r="J47" s="1362"/>
    </row>
    <row r="48" spans="1:10" ht="15" x14ac:dyDescent="0.25">
      <c r="A48" s="46" t="s">
        <v>939</v>
      </c>
      <c r="B48" s="45"/>
      <c r="C48" s="45"/>
      <c r="D48" s="45"/>
      <c r="E48" s="45"/>
      <c r="F48" s="45"/>
      <c r="G48" s="45"/>
      <c r="H48" s="45"/>
      <c r="I48" s="45"/>
      <c r="J48" s="1362"/>
    </row>
    <row r="49" spans="1:10" ht="15" x14ac:dyDescent="0.25">
      <c r="A49" s="45"/>
      <c r="B49" s="45"/>
      <c r="C49" s="45"/>
      <c r="D49" s="45"/>
      <c r="E49" s="45"/>
      <c r="F49" s="45"/>
      <c r="G49" s="45"/>
      <c r="H49" s="45"/>
      <c r="I49" s="45"/>
      <c r="J49" s="1362"/>
    </row>
    <row r="50" spans="1:10" ht="87" customHeight="1" x14ac:dyDescent="0.25">
      <c r="A50" s="2533"/>
      <c r="B50" s="2533"/>
      <c r="C50" s="2533"/>
      <c r="D50" s="2533"/>
      <c r="E50" s="1362"/>
      <c r="F50" s="1362"/>
      <c r="G50" s="1362"/>
      <c r="H50" s="1362"/>
      <c r="I50" s="1362"/>
      <c r="J50" s="1362"/>
    </row>
    <row r="51" spans="1:10" ht="87" customHeight="1" x14ac:dyDescent="0.25">
      <c r="A51" s="2533"/>
      <c r="B51" s="2533"/>
      <c r="C51" s="2533"/>
      <c r="D51" s="2533"/>
      <c r="E51" s="1362"/>
      <c r="F51" s="1362"/>
      <c r="G51" s="1362"/>
      <c r="H51" s="1362"/>
      <c r="I51" s="1362"/>
      <c r="J51" s="1362"/>
    </row>
    <row r="52" spans="1:10" ht="87" customHeight="1" x14ac:dyDescent="0.25">
      <c r="A52" s="2533"/>
      <c r="B52" s="2533"/>
      <c r="C52" s="2533"/>
      <c r="D52" s="2533"/>
      <c r="E52" s="1362"/>
      <c r="F52" s="1362"/>
      <c r="G52" s="1362"/>
      <c r="H52" s="45"/>
      <c r="I52" s="75"/>
      <c r="J52" s="1362"/>
    </row>
    <row r="53" spans="1:10" ht="87" customHeight="1" x14ac:dyDescent="0.25">
      <c r="A53" s="2533"/>
      <c r="B53" s="2533"/>
      <c r="C53" s="2533"/>
      <c r="D53" s="2533"/>
      <c r="E53" s="1362"/>
      <c r="F53" s="1362"/>
      <c r="G53" s="1362"/>
      <c r="H53" s="45"/>
      <c r="I53" s="75"/>
      <c r="J53" s="1362"/>
    </row>
    <row r="54" spans="1:10" ht="15" x14ac:dyDescent="0.25">
      <c r="A54" s="1362"/>
      <c r="B54" s="1362"/>
      <c r="C54" s="1362"/>
      <c r="D54" s="1362"/>
      <c r="E54" s="1362"/>
      <c r="F54" s="1362"/>
      <c r="G54" s="1363"/>
      <c r="H54" s="45"/>
      <c r="I54" s="75"/>
      <c r="J54" s="1362"/>
    </row>
    <row r="55" spans="1:10" ht="15" x14ac:dyDescent="0.25">
      <c r="A55" s="46" t="s">
        <v>1397</v>
      </c>
      <c r="B55" s="45"/>
      <c r="C55" s="45"/>
      <c r="D55" s="45"/>
      <c r="E55" s="1362"/>
      <c r="F55" s="1362"/>
      <c r="G55" s="45"/>
      <c r="H55" s="45"/>
      <c r="I55" s="75"/>
      <c r="J55" s="1362"/>
    </row>
    <row r="56" spans="1:10" ht="15.75" thickBot="1" x14ac:dyDescent="0.3">
      <c r="A56" s="46"/>
      <c r="B56" s="45"/>
      <c r="C56" s="45"/>
      <c r="D56" s="45"/>
      <c r="E56" s="1362"/>
      <c r="F56" s="1362"/>
      <c r="G56" s="45"/>
      <c r="H56" s="45"/>
      <c r="I56" s="75"/>
      <c r="J56" s="1362"/>
    </row>
    <row r="57" spans="1:10" ht="16.5" thickTop="1" thickBot="1" x14ac:dyDescent="0.3">
      <c r="A57" s="2530"/>
      <c r="B57" s="2530"/>
      <c r="C57" s="94"/>
      <c r="D57" s="95"/>
      <c r="E57" s="1364"/>
      <c r="F57" s="1364"/>
      <c r="G57" s="101"/>
      <c r="H57" s="47"/>
      <c r="I57" s="75"/>
      <c r="J57" s="1362"/>
    </row>
    <row r="58" spans="1:10" ht="16.5" thickTop="1" thickBot="1" x14ac:dyDescent="0.3">
      <c r="A58" s="2530"/>
      <c r="B58" s="2530"/>
      <c r="C58" s="94"/>
      <c r="D58" s="95"/>
      <c r="E58" s="1364"/>
      <c r="F58" s="1364"/>
      <c r="G58" s="102"/>
      <c r="H58" s="47"/>
      <c r="I58" s="75"/>
      <c r="J58" s="1362"/>
    </row>
    <row r="59" spans="1:10" ht="16.5" thickTop="1" thickBot="1" x14ac:dyDescent="0.3">
      <c r="A59" s="2530"/>
      <c r="B59" s="2530"/>
      <c r="C59" s="94"/>
      <c r="D59" s="95"/>
      <c r="E59" s="1364"/>
      <c r="F59" s="1364"/>
      <c r="G59" s="102"/>
      <c r="H59" s="47"/>
      <c r="I59" s="75"/>
      <c r="J59" s="1362"/>
    </row>
    <row r="60" spans="1:10" ht="16.5" thickTop="1" thickBot="1" x14ac:dyDescent="0.3">
      <c r="A60" s="2530"/>
      <c r="B60" s="2530"/>
      <c r="C60" s="94"/>
      <c r="D60" s="95"/>
      <c r="E60" s="1364"/>
      <c r="F60" s="1364"/>
      <c r="G60" s="102"/>
      <c r="H60" s="47"/>
      <c r="I60" s="75"/>
      <c r="J60" s="1362"/>
    </row>
    <row r="61" spans="1:10" ht="16.5" thickTop="1" thickBot="1" x14ac:dyDescent="0.3">
      <c r="A61" s="2530"/>
      <c r="B61" s="2530"/>
      <c r="C61" s="94"/>
      <c r="D61" s="95"/>
      <c r="E61" s="1364"/>
      <c r="F61" s="1364"/>
      <c r="G61" s="102"/>
      <c r="H61" s="47"/>
      <c r="I61" s="75"/>
      <c r="J61" s="1362"/>
    </row>
    <row r="62" spans="1:10" ht="16.5" thickTop="1" thickBot="1" x14ac:dyDescent="0.3">
      <c r="A62" s="2530"/>
      <c r="B62" s="2530"/>
      <c r="C62" s="94"/>
      <c r="D62" s="95"/>
      <c r="E62" s="1364"/>
      <c r="F62" s="1364"/>
      <c r="G62" s="102"/>
      <c r="H62" s="47"/>
      <c r="I62" s="75"/>
      <c r="J62" s="1362"/>
    </row>
    <row r="63" spans="1:10" ht="16.5" thickTop="1" thickBot="1" x14ac:dyDescent="0.3">
      <c r="A63" s="2530"/>
      <c r="B63" s="2530"/>
      <c r="C63" s="94"/>
      <c r="D63" s="95"/>
      <c r="E63" s="1364"/>
      <c r="F63" s="1364"/>
      <c r="G63" s="102"/>
      <c r="H63" s="47"/>
      <c r="I63" s="75"/>
      <c r="J63" s="1362"/>
    </row>
    <row r="64" spans="1:10" ht="16.5" thickTop="1" thickBot="1" x14ac:dyDescent="0.3">
      <c r="A64" s="2530"/>
      <c r="B64" s="2530"/>
      <c r="C64" s="94"/>
      <c r="D64" s="95"/>
      <c r="E64" s="1364"/>
      <c r="F64" s="1364"/>
      <c r="G64" s="102"/>
      <c r="H64" s="47"/>
      <c r="I64" s="75"/>
      <c r="J64" s="1362"/>
    </row>
    <row r="65" spans="1:10" ht="16.5" thickTop="1" thickBot="1" x14ac:dyDescent="0.3">
      <c r="A65" s="2530"/>
      <c r="B65" s="2530"/>
      <c r="C65" s="94"/>
      <c r="D65" s="95"/>
      <c r="E65" s="1364"/>
      <c r="F65" s="1364"/>
      <c r="G65" s="102"/>
      <c r="H65" s="47"/>
      <c r="I65" s="75"/>
      <c r="J65" s="1362"/>
    </row>
    <row r="66" spans="1:10" ht="16.5" thickTop="1" thickBot="1" x14ac:dyDescent="0.3">
      <c r="A66" s="2530"/>
      <c r="B66" s="2530"/>
      <c r="C66" s="94"/>
      <c r="D66" s="95"/>
      <c r="E66" s="1364"/>
      <c r="F66" s="1364"/>
      <c r="G66" s="102"/>
      <c r="H66" s="47"/>
      <c r="I66" s="75"/>
      <c r="J66" s="1362"/>
    </row>
    <row r="67" spans="1:10" ht="16.5" thickTop="1" thickBot="1" x14ac:dyDescent="0.3">
      <c r="A67" s="2530"/>
      <c r="B67" s="2530"/>
      <c r="C67" s="94"/>
      <c r="D67" s="95"/>
      <c r="E67" s="1364"/>
      <c r="F67" s="1364"/>
      <c r="G67" s="102"/>
      <c r="H67" s="47"/>
      <c r="I67" s="75"/>
      <c r="J67" s="1362"/>
    </row>
    <row r="68" spans="1:10" ht="16.5" thickTop="1" thickBot="1" x14ac:dyDescent="0.3">
      <c r="A68" s="2530"/>
      <c r="B68" s="2530"/>
      <c r="C68" s="94"/>
      <c r="D68" s="95"/>
      <c r="E68" s="1364"/>
      <c r="F68" s="1364"/>
      <c r="G68" s="102"/>
      <c r="H68" s="47"/>
      <c r="I68" s="75"/>
      <c r="J68" s="1362"/>
    </row>
    <row r="69" spans="1:10" ht="16.5" thickTop="1" thickBot="1" x14ac:dyDescent="0.3">
      <c r="A69" s="2530"/>
      <c r="B69" s="2530"/>
      <c r="C69" s="94"/>
      <c r="D69" s="95"/>
      <c r="E69" s="1364"/>
      <c r="F69" s="1364"/>
      <c r="G69" s="102"/>
      <c r="H69" s="47"/>
      <c r="I69" s="75"/>
      <c r="J69" s="1362"/>
    </row>
    <row r="70" spans="1:10" ht="16.5" thickTop="1" thickBot="1" x14ac:dyDescent="0.3">
      <c r="A70" s="2530"/>
      <c r="B70" s="2530"/>
      <c r="C70" s="94"/>
      <c r="D70" s="95"/>
      <c r="E70" s="1364"/>
      <c r="F70" s="1364"/>
      <c r="G70" s="102"/>
      <c r="H70" s="47"/>
      <c r="I70" s="75"/>
      <c r="J70" s="1362"/>
    </row>
    <row r="71" spans="1:10" ht="16.5" thickTop="1" thickBot="1" x14ac:dyDescent="0.3">
      <c r="A71" s="2530"/>
      <c r="B71" s="2530"/>
      <c r="C71" s="94"/>
      <c r="D71" s="95"/>
      <c r="E71" s="1364"/>
      <c r="F71" s="1364"/>
      <c r="G71" s="102"/>
      <c r="H71" s="47"/>
      <c r="I71" s="75"/>
      <c r="J71" s="1362"/>
    </row>
    <row r="72" spans="1:10" ht="16.5" thickTop="1" thickBot="1" x14ac:dyDescent="0.3">
      <c r="A72" s="2530"/>
      <c r="B72" s="2530"/>
      <c r="C72" s="94"/>
      <c r="D72" s="95"/>
      <c r="E72" s="1364"/>
      <c r="F72" s="1364"/>
      <c r="G72" s="102"/>
      <c r="H72" s="47"/>
      <c r="I72" s="75"/>
      <c r="J72" s="1362"/>
    </row>
    <row r="73" spans="1:10" ht="16.5" thickTop="1" thickBot="1" x14ac:dyDescent="0.3">
      <c r="A73" s="2530"/>
      <c r="B73" s="2530"/>
      <c r="C73" s="94"/>
      <c r="D73" s="95"/>
      <c r="E73" s="1364"/>
      <c r="F73" s="1364"/>
      <c r="G73" s="102"/>
      <c r="H73" s="47"/>
      <c r="I73" s="75"/>
      <c r="J73" s="1362"/>
    </row>
    <row r="74" spans="1:10" ht="16.5" thickTop="1" thickBot="1" x14ac:dyDescent="0.3">
      <c r="A74" s="2530"/>
      <c r="B74" s="2530"/>
      <c r="C74" s="94"/>
      <c r="D74" s="95"/>
      <c r="E74" s="1364"/>
      <c r="F74" s="1364"/>
      <c r="G74" s="102"/>
      <c r="H74" s="47"/>
      <c r="I74" s="75"/>
      <c r="J74" s="1362"/>
    </row>
    <row r="75" spans="1:10" ht="16.5" thickTop="1" thickBot="1" x14ac:dyDescent="0.3">
      <c r="A75" s="2530"/>
      <c r="B75" s="2530"/>
      <c r="C75" s="94"/>
      <c r="D75" s="95"/>
      <c r="E75" s="1364"/>
      <c r="F75" s="1364"/>
      <c r="G75" s="102"/>
      <c r="H75" s="47"/>
      <c r="I75" s="75"/>
      <c r="J75" s="1362"/>
    </row>
    <row r="76" spans="1:10" ht="16.5" thickTop="1" thickBot="1" x14ac:dyDescent="0.3">
      <c r="A76" s="2530"/>
      <c r="B76" s="2530"/>
      <c r="C76" s="94"/>
      <c r="D76" s="95"/>
      <c r="E76" s="1364"/>
      <c r="F76" s="1364"/>
      <c r="G76" s="102"/>
      <c r="H76" s="47"/>
      <c r="I76" s="75"/>
      <c r="J76" s="1362"/>
    </row>
    <row r="77" spans="1:10" ht="16.5" thickTop="1" thickBot="1" x14ac:dyDescent="0.3">
      <c r="A77" s="2530"/>
      <c r="B77" s="2530"/>
      <c r="C77" s="94"/>
      <c r="D77" s="95"/>
      <c r="E77" s="1364"/>
      <c r="F77" s="1364"/>
      <c r="G77" s="102"/>
      <c r="H77" s="47"/>
      <c r="I77" s="75"/>
      <c r="J77" s="1362"/>
    </row>
    <row r="78" spans="1:10" ht="16.5" thickTop="1" thickBot="1" x14ac:dyDescent="0.3">
      <c r="A78" s="2530"/>
      <c r="B78" s="2530"/>
      <c r="C78" s="94"/>
      <c r="D78" s="95"/>
      <c r="E78" s="1364"/>
      <c r="F78" s="1364"/>
      <c r="G78" s="102"/>
      <c r="H78" s="47"/>
      <c r="I78" s="75"/>
      <c r="J78" s="1362"/>
    </row>
    <row r="79" spans="1:10" ht="16.5" thickTop="1" thickBot="1" x14ac:dyDescent="0.3">
      <c r="A79" s="2530"/>
      <c r="B79" s="2530"/>
      <c r="C79" s="94"/>
      <c r="D79" s="95"/>
      <c r="E79" s="1364"/>
      <c r="F79" s="1364"/>
      <c r="G79" s="102"/>
      <c r="H79" s="47"/>
      <c r="I79" s="75"/>
      <c r="J79" s="1362"/>
    </row>
    <row r="80" spans="1:10" ht="16.5" thickTop="1" thickBot="1" x14ac:dyDescent="0.3">
      <c r="A80" s="2530"/>
      <c r="B80" s="2530"/>
      <c r="C80" s="94"/>
      <c r="D80" s="95"/>
      <c r="E80" s="1364"/>
      <c r="F80" s="1364"/>
      <c r="G80" s="102"/>
      <c r="H80" s="47"/>
      <c r="I80" s="75"/>
      <c r="J80" s="1362"/>
    </row>
    <row r="81" spans="1:10" ht="16.5" thickTop="1" thickBot="1" x14ac:dyDescent="0.3">
      <c r="A81" s="2530"/>
      <c r="B81" s="2530"/>
      <c r="C81" s="94"/>
      <c r="D81" s="95"/>
      <c r="E81" s="1364"/>
      <c r="F81" s="1364"/>
      <c r="G81" s="102"/>
      <c r="H81" s="47"/>
      <c r="I81" s="75"/>
      <c r="J81" s="1362"/>
    </row>
    <row r="82" spans="1:10" ht="16.5" thickTop="1" thickBot="1" x14ac:dyDescent="0.3">
      <c r="A82" s="2530"/>
      <c r="B82" s="2530"/>
      <c r="C82" s="94"/>
      <c r="D82" s="95"/>
      <c r="E82" s="1364"/>
      <c r="F82" s="1364"/>
      <c r="G82" s="102"/>
      <c r="H82" s="47"/>
      <c r="I82" s="75"/>
      <c r="J82" s="1362"/>
    </row>
    <row r="83" spans="1:10" ht="16.5" thickTop="1" thickBot="1" x14ac:dyDescent="0.3">
      <c r="A83" s="2530"/>
      <c r="B83" s="2530"/>
      <c r="C83" s="94"/>
      <c r="D83" s="95"/>
      <c r="E83" s="1364"/>
      <c r="F83" s="1364"/>
      <c r="G83" s="102"/>
      <c r="H83" s="47"/>
      <c r="I83" s="75"/>
      <c r="J83" s="1362"/>
    </row>
    <row r="84" spans="1:10" ht="16.5" thickTop="1" thickBot="1" x14ac:dyDescent="0.3">
      <c r="A84" s="2530"/>
      <c r="B84" s="2530"/>
      <c r="C84" s="94"/>
      <c r="D84" s="95"/>
      <c r="E84" s="1364"/>
      <c r="F84" s="1364"/>
      <c r="G84" s="102"/>
      <c r="H84" s="47"/>
      <c r="I84" s="75"/>
      <c r="J84" s="1362"/>
    </row>
    <row r="85" spans="1:10" ht="16.5" thickTop="1" thickBot="1" x14ac:dyDescent="0.3">
      <c r="A85" s="2530"/>
      <c r="B85" s="2530"/>
      <c r="C85" s="94"/>
      <c r="D85" s="95"/>
      <c r="E85" s="1364"/>
      <c r="F85" s="1364"/>
      <c r="G85" s="102"/>
      <c r="H85" s="47"/>
      <c r="I85" s="75"/>
      <c r="J85" s="1362"/>
    </row>
    <row r="86" spans="1:10" ht="16.5" thickTop="1" thickBot="1" x14ac:dyDescent="0.3">
      <c r="A86" s="2530"/>
      <c r="B86" s="2530"/>
      <c r="C86" s="94"/>
      <c r="D86" s="95"/>
      <c r="E86" s="1364"/>
      <c r="F86" s="1364"/>
      <c r="G86" s="103"/>
      <c r="H86" s="47"/>
      <c r="I86" s="75"/>
      <c r="J86" s="1362"/>
    </row>
    <row r="87" spans="1:10" ht="15.75" thickTop="1" x14ac:dyDescent="0.25">
      <c r="A87" s="45"/>
      <c r="B87" s="45"/>
      <c r="C87" s="45"/>
      <c r="D87" s="47"/>
      <c r="E87" s="1364"/>
      <c r="F87" s="1364"/>
      <c r="G87" s="104"/>
      <c r="H87" s="47"/>
      <c r="I87" s="75"/>
      <c r="J87" s="1362"/>
    </row>
    <row r="88" spans="1:10" ht="15" x14ac:dyDescent="0.25">
      <c r="A88" s="46" t="s">
        <v>940</v>
      </c>
      <c r="B88" s="45"/>
      <c r="C88" s="45"/>
      <c r="D88" s="47"/>
      <c r="E88" s="1364"/>
      <c r="F88" s="1364"/>
      <c r="G88" s="104"/>
      <c r="H88" s="47"/>
      <c r="I88" s="75"/>
      <c r="J88" s="1362"/>
    </row>
    <row r="89" spans="1:10" ht="15" x14ac:dyDescent="0.25">
      <c r="A89" s="45"/>
      <c r="B89" s="45"/>
      <c r="C89" s="45"/>
      <c r="D89" s="47"/>
      <c r="E89" s="1364"/>
      <c r="F89" s="1364"/>
      <c r="G89" s="104"/>
      <c r="H89" s="47"/>
      <c r="I89" s="75"/>
      <c r="J89" s="1362"/>
    </row>
    <row r="90" spans="1:10" ht="15.75" thickBot="1" x14ac:dyDescent="0.3">
      <c r="A90" s="2550" t="s">
        <v>941</v>
      </c>
      <c r="B90" s="2551"/>
      <c r="C90" s="77" t="s">
        <v>988</v>
      </c>
      <c r="D90" s="65">
        <v>4.4000000000000003E-3</v>
      </c>
      <c r="E90" s="1364"/>
      <c r="F90" s="1364"/>
      <c r="G90" s="105"/>
      <c r="H90" s="1364"/>
      <c r="I90" s="1364"/>
      <c r="J90" s="1362"/>
    </row>
    <row r="91" spans="1:10" ht="16.5" thickTop="1" thickBot="1" x14ac:dyDescent="0.3">
      <c r="A91" s="2550" t="s">
        <v>942</v>
      </c>
      <c r="B91" s="2551"/>
      <c r="C91" s="78" t="s">
        <v>988</v>
      </c>
      <c r="D91" s="66">
        <v>1.2999999999999999E-3</v>
      </c>
      <c r="E91" s="1364"/>
      <c r="F91" s="1364"/>
      <c r="G91" s="105"/>
      <c r="H91" s="1364"/>
      <c r="I91" s="1364"/>
      <c r="J91" s="1362"/>
    </row>
    <row r="92" spans="1:10" ht="16.5" thickTop="1" thickBot="1" x14ac:dyDescent="0.3">
      <c r="A92" s="2550" t="s">
        <v>943</v>
      </c>
      <c r="B92" s="2551"/>
      <c r="C92" s="79" t="s">
        <v>217</v>
      </c>
      <c r="D92" s="67">
        <v>0.25</v>
      </c>
      <c r="E92" s="1364"/>
      <c r="F92" s="1364"/>
      <c r="G92" s="105"/>
      <c r="H92" s="1364"/>
      <c r="I92" s="1364"/>
      <c r="J92" s="1362"/>
    </row>
    <row r="93" spans="1:10" ht="18.75" thickTop="1" x14ac:dyDescent="0.25">
      <c r="A93" s="2531" t="s">
        <v>2378</v>
      </c>
      <c r="B93" s="2531"/>
      <c r="C93" s="2531"/>
      <c r="D93" s="2532"/>
      <c r="E93" s="124"/>
      <c r="F93" s="124"/>
      <c r="G93" s="124"/>
      <c r="H93" s="124"/>
      <c r="I93" s="124"/>
      <c r="J93" s="1362"/>
    </row>
    <row r="94" spans="1:10" ht="15" x14ac:dyDescent="0.25">
      <c r="A94" s="68"/>
      <c r="B94" s="68"/>
      <c r="C94" s="68"/>
      <c r="D94" s="125"/>
      <c r="E94" s="125"/>
      <c r="F94" s="125"/>
      <c r="G94" s="125"/>
      <c r="H94" s="125"/>
      <c r="I94" s="125"/>
      <c r="J94" s="1363"/>
    </row>
    <row r="95" spans="1:10" ht="87" customHeight="1" x14ac:dyDescent="0.25">
      <c r="A95" s="2533"/>
      <c r="B95" s="2533"/>
      <c r="C95" s="2533"/>
      <c r="D95" s="2534"/>
      <c r="E95" s="1364"/>
      <c r="F95" s="1364"/>
      <c r="G95" s="1364"/>
      <c r="H95" s="1364"/>
      <c r="I95" s="1364"/>
      <c r="J95" s="1362"/>
    </row>
    <row r="96" spans="1:10" ht="15" x14ac:dyDescent="0.25">
      <c r="A96" s="46" t="s">
        <v>939</v>
      </c>
      <c r="B96" s="45"/>
      <c r="C96" s="45"/>
      <c r="D96" s="47"/>
      <c r="E96" s="47"/>
      <c r="F96" s="47"/>
      <c r="G96" s="47"/>
      <c r="H96" s="47"/>
      <c r="I96" s="47"/>
      <c r="J96" s="1362"/>
    </row>
    <row r="97" spans="1:10" ht="15" x14ac:dyDescent="0.25">
      <c r="A97" s="45"/>
      <c r="B97" s="45"/>
      <c r="C97" s="45"/>
      <c r="D97" s="47"/>
      <c r="E97" s="47"/>
      <c r="F97" s="47"/>
      <c r="G97" s="47"/>
      <c r="H97" s="47"/>
      <c r="I97" s="47"/>
      <c r="J97" s="1362"/>
    </row>
    <row r="98" spans="1:10" ht="87" customHeight="1" x14ac:dyDescent="0.25">
      <c r="A98" s="2533"/>
      <c r="B98" s="2533"/>
      <c r="C98" s="2533"/>
      <c r="D98" s="2534"/>
      <c r="E98" s="1364"/>
      <c r="F98" s="1364"/>
      <c r="G98" s="1364"/>
      <c r="H98" s="1364"/>
      <c r="I98" s="1364"/>
      <c r="J98" s="1362"/>
    </row>
    <row r="99" spans="1:10" ht="87" customHeight="1" x14ac:dyDescent="0.25">
      <c r="A99" s="2533"/>
      <c r="B99" s="2533"/>
      <c r="C99" s="2533"/>
      <c r="D99" s="2534"/>
      <c r="E99" s="1364"/>
      <c r="F99" s="1364"/>
      <c r="G99" s="1364"/>
      <c r="H99" s="1364"/>
      <c r="I99" s="1364"/>
      <c r="J99" s="1362"/>
    </row>
    <row r="100" spans="1:10" ht="87" customHeight="1" x14ac:dyDescent="0.25">
      <c r="A100" s="2533"/>
      <c r="B100" s="2533"/>
      <c r="C100" s="2533"/>
      <c r="D100" s="2534"/>
      <c r="E100" s="1364"/>
      <c r="F100" s="1364"/>
      <c r="G100" s="1364"/>
      <c r="H100" s="47"/>
      <c r="I100" s="75"/>
      <c r="J100" s="1362"/>
    </row>
    <row r="101" spans="1:10" ht="87" customHeight="1" x14ac:dyDescent="0.25">
      <c r="A101" s="2533"/>
      <c r="B101" s="2533"/>
      <c r="C101" s="2533"/>
      <c r="D101" s="2534"/>
      <c r="E101" s="1364"/>
      <c r="F101" s="1364"/>
      <c r="G101" s="1364"/>
      <c r="H101" s="47"/>
      <c r="I101" s="75"/>
      <c r="J101" s="1362"/>
    </row>
    <row r="102" spans="1:10" ht="15" x14ac:dyDescent="0.25">
      <c r="A102" s="1362"/>
      <c r="B102" s="1362"/>
      <c r="C102" s="1362"/>
      <c r="D102" s="1364"/>
      <c r="E102" s="1364"/>
      <c r="F102" s="1364"/>
      <c r="G102" s="1365"/>
      <c r="H102" s="47"/>
      <c r="I102" s="75"/>
      <c r="J102" s="1362"/>
    </row>
    <row r="103" spans="1:10" ht="15" x14ac:dyDescent="0.25">
      <c r="A103" s="46" t="s">
        <v>1397</v>
      </c>
      <c r="B103" s="45"/>
      <c r="C103" s="45"/>
      <c r="D103" s="47"/>
      <c r="E103" s="1364"/>
      <c r="F103" s="1364"/>
      <c r="G103" s="47"/>
      <c r="H103" s="47"/>
      <c r="I103" s="75"/>
      <c r="J103" s="1362"/>
    </row>
    <row r="104" spans="1:10" ht="15.75" thickBot="1" x14ac:dyDescent="0.3">
      <c r="A104" s="46"/>
      <c r="B104" s="45"/>
      <c r="C104" s="45"/>
      <c r="D104" s="47"/>
      <c r="E104" s="1364"/>
      <c r="F104" s="1364"/>
      <c r="G104" s="47"/>
      <c r="H104" s="47"/>
      <c r="I104" s="75"/>
      <c r="J104" s="1362"/>
    </row>
    <row r="105" spans="1:10" ht="16.5" thickTop="1" thickBot="1" x14ac:dyDescent="0.3">
      <c r="A105" s="2530"/>
      <c r="B105" s="2530"/>
      <c r="C105" s="94"/>
      <c r="D105" s="95"/>
      <c r="E105" s="1364"/>
      <c r="F105" s="1364"/>
      <c r="G105" s="101"/>
      <c r="H105" s="47"/>
      <c r="I105" s="75"/>
      <c r="J105" s="1362"/>
    </row>
    <row r="106" spans="1:10" ht="16.5" thickTop="1" thickBot="1" x14ac:dyDescent="0.3">
      <c r="A106" s="2530"/>
      <c r="B106" s="2530"/>
      <c r="C106" s="94"/>
      <c r="D106" s="95"/>
      <c r="E106" s="1364"/>
      <c r="F106" s="1364"/>
      <c r="G106" s="102"/>
      <c r="H106" s="47"/>
      <c r="I106" s="75"/>
      <c r="J106" s="1362"/>
    </row>
    <row r="107" spans="1:10" ht="16.5" thickTop="1" thickBot="1" x14ac:dyDescent="0.3">
      <c r="A107" s="2530"/>
      <c r="B107" s="2530"/>
      <c r="C107" s="94"/>
      <c r="D107" s="95"/>
      <c r="E107" s="1364"/>
      <c r="F107" s="1364"/>
      <c r="G107" s="102"/>
      <c r="H107" s="47"/>
      <c r="I107" s="75"/>
      <c r="J107" s="1362"/>
    </row>
    <row r="108" spans="1:10" ht="16.5" thickTop="1" thickBot="1" x14ac:dyDescent="0.3">
      <c r="A108" s="2530"/>
      <c r="B108" s="2530"/>
      <c r="C108" s="94"/>
      <c r="D108" s="95"/>
      <c r="E108" s="1364"/>
      <c r="F108" s="1364"/>
      <c r="G108" s="102"/>
      <c r="H108" s="47"/>
      <c r="I108" s="75"/>
      <c r="J108" s="1362"/>
    </row>
    <row r="109" spans="1:10" ht="16.5" thickTop="1" thickBot="1" x14ac:dyDescent="0.3">
      <c r="A109" s="2530"/>
      <c r="B109" s="2530"/>
      <c r="C109" s="94"/>
      <c r="D109" s="95"/>
      <c r="E109" s="1364"/>
      <c r="F109" s="1364"/>
      <c r="G109" s="102"/>
      <c r="H109" s="47"/>
      <c r="I109" s="75"/>
      <c r="J109" s="1362"/>
    </row>
    <row r="110" spans="1:10" ht="16.5" thickTop="1" thickBot="1" x14ac:dyDescent="0.3">
      <c r="A110" s="2530"/>
      <c r="B110" s="2530"/>
      <c r="C110" s="94"/>
      <c r="D110" s="95"/>
      <c r="E110" s="1364"/>
      <c r="F110" s="1364"/>
      <c r="G110" s="102"/>
      <c r="H110" s="47"/>
      <c r="I110" s="75"/>
      <c r="J110" s="1362"/>
    </row>
    <row r="111" spans="1:10" ht="16.5" thickTop="1" thickBot="1" x14ac:dyDescent="0.3">
      <c r="A111" s="2530"/>
      <c r="B111" s="2530"/>
      <c r="C111" s="94"/>
      <c r="D111" s="95"/>
      <c r="E111" s="1364"/>
      <c r="F111" s="1364"/>
      <c r="G111" s="102"/>
      <c r="H111" s="47"/>
      <c r="I111" s="75"/>
      <c r="J111" s="1362"/>
    </row>
    <row r="112" spans="1:10" ht="16.5" thickTop="1" thickBot="1" x14ac:dyDescent="0.3">
      <c r="A112" s="2530"/>
      <c r="B112" s="2530"/>
      <c r="C112" s="94"/>
      <c r="D112" s="95"/>
      <c r="E112" s="1364"/>
      <c r="F112" s="1364"/>
      <c r="G112" s="102"/>
      <c r="H112" s="47"/>
      <c r="I112" s="75"/>
      <c r="J112" s="1362"/>
    </row>
    <row r="113" spans="1:10" ht="16.5" thickTop="1" thickBot="1" x14ac:dyDescent="0.3">
      <c r="A113" s="2530"/>
      <c r="B113" s="2530"/>
      <c r="C113" s="94"/>
      <c r="D113" s="95"/>
      <c r="E113" s="1364"/>
      <c r="F113" s="1364"/>
      <c r="G113" s="102"/>
      <c r="H113" s="47"/>
      <c r="I113" s="75"/>
      <c r="J113" s="1362"/>
    </row>
    <row r="114" spans="1:10" ht="16.5" thickTop="1" thickBot="1" x14ac:dyDescent="0.3">
      <c r="A114" s="2530"/>
      <c r="B114" s="2530"/>
      <c r="C114" s="94"/>
      <c r="D114" s="95"/>
      <c r="E114" s="1364"/>
      <c r="F114" s="1364"/>
      <c r="G114" s="102"/>
      <c r="H114" s="47"/>
      <c r="I114" s="75"/>
      <c r="J114" s="1362"/>
    </row>
    <row r="115" spans="1:10" ht="16.5" thickTop="1" thickBot="1" x14ac:dyDescent="0.3">
      <c r="A115" s="2530"/>
      <c r="B115" s="2530"/>
      <c r="C115" s="94"/>
      <c r="D115" s="95"/>
      <c r="E115" s="1364"/>
      <c r="F115" s="1364"/>
      <c r="G115" s="102"/>
      <c r="H115" s="47"/>
      <c r="I115" s="75"/>
      <c r="J115" s="1362"/>
    </row>
    <row r="116" spans="1:10" ht="16.5" thickTop="1" thickBot="1" x14ac:dyDescent="0.3">
      <c r="A116" s="2530"/>
      <c r="B116" s="2530"/>
      <c r="C116" s="94"/>
      <c r="D116" s="95"/>
      <c r="E116" s="1364"/>
      <c r="F116" s="1364"/>
      <c r="G116" s="102"/>
      <c r="H116" s="47"/>
      <c r="I116" s="75"/>
      <c r="J116" s="1362"/>
    </row>
    <row r="117" spans="1:10" ht="16.5" thickTop="1" thickBot="1" x14ac:dyDescent="0.3">
      <c r="A117" s="2530"/>
      <c r="B117" s="2530"/>
      <c r="C117" s="94"/>
      <c r="D117" s="95"/>
      <c r="E117" s="1364"/>
      <c r="F117" s="1364"/>
      <c r="G117" s="102"/>
      <c r="H117" s="47"/>
      <c r="I117" s="75"/>
      <c r="J117" s="1362"/>
    </row>
    <row r="118" spans="1:10" ht="16.5" thickTop="1" thickBot="1" x14ac:dyDescent="0.3">
      <c r="A118" s="2530"/>
      <c r="B118" s="2530"/>
      <c r="C118" s="94"/>
      <c r="D118" s="95"/>
      <c r="E118" s="1364"/>
      <c r="F118" s="1364"/>
      <c r="G118" s="102"/>
      <c r="H118" s="47"/>
      <c r="I118" s="75"/>
      <c r="J118" s="1362"/>
    </row>
    <row r="119" spans="1:10" ht="16.5" thickTop="1" thickBot="1" x14ac:dyDescent="0.3">
      <c r="A119" s="2530"/>
      <c r="B119" s="2530"/>
      <c r="C119" s="94"/>
      <c r="D119" s="95"/>
      <c r="E119" s="1364"/>
      <c r="F119" s="1364"/>
      <c r="G119" s="102"/>
      <c r="H119" s="47"/>
      <c r="I119" s="75"/>
      <c r="J119" s="1362"/>
    </row>
    <row r="120" spans="1:10" ht="16.5" thickTop="1" thickBot="1" x14ac:dyDescent="0.3">
      <c r="A120" s="2530"/>
      <c r="B120" s="2530"/>
      <c r="C120" s="94"/>
      <c r="D120" s="95"/>
      <c r="E120" s="1364"/>
      <c r="F120" s="1364"/>
      <c r="G120" s="102"/>
      <c r="H120" s="47"/>
      <c r="I120" s="75"/>
      <c r="J120" s="1362"/>
    </row>
    <row r="121" spans="1:10" ht="16.5" thickTop="1" thickBot="1" x14ac:dyDescent="0.3">
      <c r="A121" s="2530"/>
      <c r="B121" s="2530"/>
      <c r="C121" s="94"/>
      <c r="D121" s="95"/>
      <c r="E121" s="1364"/>
      <c r="F121" s="1364"/>
      <c r="G121" s="102"/>
      <c r="H121" s="47"/>
      <c r="I121" s="75"/>
      <c r="J121" s="1362"/>
    </row>
    <row r="122" spans="1:10" ht="16.5" thickTop="1" thickBot="1" x14ac:dyDescent="0.3">
      <c r="A122" s="2530"/>
      <c r="B122" s="2530"/>
      <c r="C122" s="94"/>
      <c r="D122" s="95"/>
      <c r="E122" s="1364"/>
      <c r="F122" s="1364"/>
      <c r="G122" s="102"/>
      <c r="H122" s="47"/>
      <c r="I122" s="75"/>
      <c r="J122" s="1362"/>
    </row>
    <row r="123" spans="1:10" ht="16.5" thickTop="1" thickBot="1" x14ac:dyDescent="0.3">
      <c r="A123" s="2530"/>
      <c r="B123" s="2530"/>
      <c r="C123" s="94"/>
      <c r="D123" s="95"/>
      <c r="E123" s="1364"/>
      <c r="F123" s="1364"/>
      <c r="G123" s="102"/>
      <c r="H123" s="47"/>
      <c r="I123" s="75"/>
      <c r="J123" s="1362"/>
    </row>
    <row r="124" spans="1:10" ht="16.5" thickTop="1" thickBot="1" x14ac:dyDescent="0.3">
      <c r="A124" s="2530"/>
      <c r="B124" s="2530"/>
      <c r="C124" s="94"/>
      <c r="D124" s="95"/>
      <c r="E124" s="1364"/>
      <c r="F124" s="1364"/>
      <c r="G124" s="102"/>
      <c r="H124" s="47"/>
      <c r="I124" s="75"/>
      <c r="J124" s="1362"/>
    </row>
    <row r="125" spans="1:10" ht="16.5" thickTop="1" thickBot="1" x14ac:dyDescent="0.3">
      <c r="A125" s="2530"/>
      <c r="B125" s="2530"/>
      <c r="C125" s="94"/>
      <c r="D125" s="95"/>
      <c r="E125" s="1364"/>
      <c r="F125" s="1364"/>
      <c r="G125" s="102"/>
      <c r="H125" s="47"/>
      <c r="I125" s="75"/>
      <c r="J125" s="1362"/>
    </row>
    <row r="126" spans="1:10" ht="16.5" thickTop="1" thickBot="1" x14ac:dyDescent="0.3">
      <c r="A126" s="2530"/>
      <c r="B126" s="2530"/>
      <c r="C126" s="94"/>
      <c r="D126" s="95"/>
      <c r="E126" s="1364"/>
      <c r="F126" s="1364"/>
      <c r="G126" s="102"/>
      <c r="H126" s="47"/>
      <c r="I126" s="75"/>
      <c r="J126" s="1362"/>
    </row>
    <row r="127" spans="1:10" ht="16.5" thickTop="1" thickBot="1" x14ac:dyDescent="0.3">
      <c r="A127" s="2530"/>
      <c r="B127" s="2530"/>
      <c r="C127" s="94"/>
      <c r="D127" s="95"/>
      <c r="E127" s="1364"/>
      <c r="F127" s="1364"/>
      <c r="G127" s="102"/>
      <c r="H127" s="47"/>
      <c r="I127" s="75"/>
      <c r="J127" s="1362"/>
    </row>
    <row r="128" spans="1:10" ht="16.5" thickTop="1" thickBot="1" x14ac:dyDescent="0.3">
      <c r="A128" s="2530"/>
      <c r="B128" s="2530"/>
      <c r="C128" s="94"/>
      <c r="D128" s="95"/>
      <c r="E128" s="1364"/>
      <c r="F128" s="1364"/>
      <c r="G128" s="102"/>
      <c r="H128" s="47"/>
      <c r="I128" s="75"/>
      <c r="J128" s="1362"/>
    </row>
    <row r="129" spans="1:10" ht="16.5" thickTop="1" thickBot="1" x14ac:dyDescent="0.3">
      <c r="A129" s="2530"/>
      <c r="B129" s="2530"/>
      <c r="C129" s="94"/>
      <c r="D129" s="95"/>
      <c r="E129" s="1364"/>
      <c r="F129" s="1364"/>
      <c r="G129" s="102"/>
      <c r="H129" s="47"/>
      <c r="I129" s="75"/>
      <c r="J129" s="1362"/>
    </row>
    <row r="130" spans="1:10" ht="16.5" thickTop="1" thickBot="1" x14ac:dyDescent="0.3">
      <c r="A130" s="2530"/>
      <c r="B130" s="2530"/>
      <c r="C130" s="94"/>
      <c r="D130" s="95"/>
      <c r="E130" s="1364"/>
      <c r="F130" s="1364"/>
      <c r="G130" s="102"/>
      <c r="H130" s="47"/>
      <c r="I130" s="75"/>
      <c r="J130" s="1362"/>
    </row>
    <row r="131" spans="1:10" ht="16.5" thickTop="1" thickBot="1" x14ac:dyDescent="0.3">
      <c r="A131" s="2530"/>
      <c r="B131" s="2530"/>
      <c r="C131" s="94"/>
      <c r="D131" s="95"/>
      <c r="E131" s="1364"/>
      <c r="F131" s="1364"/>
      <c r="G131" s="102"/>
      <c r="H131" s="47"/>
      <c r="I131" s="75"/>
      <c r="J131" s="1362"/>
    </row>
    <row r="132" spans="1:10" ht="16.5" thickTop="1" thickBot="1" x14ac:dyDescent="0.3">
      <c r="A132" s="2530"/>
      <c r="B132" s="2530"/>
      <c r="C132" s="94"/>
      <c r="D132" s="95"/>
      <c r="E132" s="1364"/>
      <c r="F132" s="1364"/>
      <c r="G132" s="102"/>
      <c r="H132" s="47"/>
      <c r="I132" s="75"/>
      <c r="J132" s="1362"/>
    </row>
    <row r="133" spans="1:10" ht="16.5" thickTop="1" thickBot="1" x14ac:dyDescent="0.3">
      <c r="A133" s="2530"/>
      <c r="B133" s="2530"/>
      <c r="C133" s="94"/>
      <c r="D133" s="95"/>
      <c r="E133" s="1364"/>
      <c r="F133" s="1364"/>
      <c r="G133" s="102"/>
      <c r="H133" s="47"/>
      <c r="I133" s="75"/>
      <c r="J133" s="1362"/>
    </row>
    <row r="134" spans="1:10" ht="16.5" thickTop="1" thickBot="1" x14ac:dyDescent="0.3">
      <c r="A134" s="2530"/>
      <c r="B134" s="2530"/>
      <c r="C134" s="94"/>
      <c r="D134" s="95"/>
      <c r="E134" s="1364"/>
      <c r="F134" s="1364"/>
      <c r="G134" s="103"/>
      <c r="H134" s="47"/>
      <c r="I134" s="75"/>
      <c r="J134" s="1362"/>
    </row>
    <row r="135" spans="1:10" ht="15.75" thickTop="1" x14ac:dyDescent="0.25">
      <c r="A135" s="45"/>
      <c r="B135" s="45"/>
      <c r="C135" s="45"/>
      <c r="D135" s="47"/>
      <c r="E135" s="1364"/>
      <c r="F135" s="1364"/>
      <c r="G135" s="104"/>
      <c r="H135" s="47"/>
      <c r="I135" s="75"/>
      <c r="J135" s="1362"/>
    </row>
    <row r="136" spans="1:10" ht="15" x14ac:dyDescent="0.25">
      <c r="A136" s="46" t="s">
        <v>940</v>
      </c>
      <c r="B136" s="45"/>
      <c r="C136" s="45"/>
      <c r="D136" s="47"/>
      <c r="E136" s="1364"/>
      <c r="F136" s="1364"/>
      <c r="G136" s="104"/>
      <c r="H136" s="47"/>
      <c r="I136" s="75"/>
      <c r="J136" s="1362"/>
    </row>
    <row r="137" spans="1:10" ht="15" x14ac:dyDescent="0.25">
      <c r="A137" s="45"/>
      <c r="B137" s="45"/>
      <c r="C137" s="45"/>
      <c r="D137" s="47"/>
      <c r="E137" s="1364"/>
      <c r="F137" s="1364"/>
      <c r="G137" s="104"/>
      <c r="H137" s="47"/>
      <c r="I137" s="75"/>
      <c r="J137" s="1362"/>
    </row>
    <row r="138" spans="1:10" ht="15.75" thickBot="1" x14ac:dyDescent="0.3">
      <c r="A138" s="2550" t="s">
        <v>941</v>
      </c>
      <c r="B138" s="2551"/>
      <c r="C138" s="77" t="s">
        <v>988</v>
      </c>
      <c r="D138" s="65">
        <v>4.4000000000000003E-3</v>
      </c>
      <c r="E138" s="1364"/>
      <c r="F138" s="1364"/>
      <c r="G138" s="105"/>
      <c r="H138" s="1364"/>
      <c r="I138" s="1364"/>
      <c r="J138" s="1362"/>
    </row>
    <row r="139" spans="1:10" ht="16.5" thickTop="1" thickBot="1" x14ac:dyDescent="0.3">
      <c r="A139" s="2550" t="s">
        <v>942</v>
      </c>
      <c r="B139" s="2551"/>
      <c r="C139" s="78" t="s">
        <v>988</v>
      </c>
      <c r="D139" s="66">
        <v>1.2999999999999999E-3</v>
      </c>
      <c r="E139" s="1364"/>
      <c r="F139" s="1364"/>
      <c r="G139" s="105"/>
      <c r="H139" s="1364"/>
      <c r="I139" s="1364"/>
      <c r="J139" s="1362"/>
    </row>
    <row r="140" spans="1:10" ht="16.5" thickTop="1" thickBot="1" x14ac:dyDescent="0.3">
      <c r="A140" s="2550" t="s">
        <v>943</v>
      </c>
      <c r="B140" s="2551"/>
      <c r="C140" s="79" t="s">
        <v>217</v>
      </c>
      <c r="D140" s="67">
        <v>0.25</v>
      </c>
      <c r="E140" s="1364"/>
      <c r="F140" s="1364"/>
      <c r="G140" s="105"/>
      <c r="H140" s="1364"/>
      <c r="I140" s="1364"/>
      <c r="J140" s="1362"/>
    </row>
    <row r="141" spans="1:10" ht="18.75" thickTop="1" x14ac:dyDescent="0.25">
      <c r="A141" s="2531" t="s">
        <v>2379</v>
      </c>
      <c r="B141" s="2531"/>
      <c r="C141" s="2531"/>
      <c r="D141" s="2532"/>
      <c r="E141" s="124"/>
      <c r="F141" s="124"/>
      <c r="G141" s="124"/>
      <c r="H141" s="124"/>
      <c r="I141" s="124"/>
      <c r="J141" s="1362"/>
    </row>
    <row r="142" spans="1:10" ht="15" x14ac:dyDescent="0.25">
      <c r="A142" s="68"/>
      <c r="B142" s="68"/>
      <c r="C142" s="68"/>
      <c r="D142" s="125"/>
      <c r="E142" s="125"/>
      <c r="F142" s="125"/>
      <c r="G142" s="125"/>
      <c r="H142" s="125"/>
      <c r="I142" s="125"/>
      <c r="J142" s="1363"/>
    </row>
    <row r="143" spans="1:10" ht="87" customHeight="1" x14ac:dyDescent="0.25">
      <c r="A143" s="2533"/>
      <c r="B143" s="2533"/>
      <c r="C143" s="2533"/>
      <c r="D143" s="2534"/>
      <c r="E143" s="1364"/>
      <c r="F143" s="1364"/>
      <c r="G143" s="1364"/>
      <c r="H143" s="1364"/>
      <c r="I143" s="1364"/>
      <c r="J143" s="1362"/>
    </row>
    <row r="144" spans="1:10" ht="15" x14ac:dyDescent="0.25">
      <c r="A144" s="46" t="s">
        <v>939</v>
      </c>
      <c r="B144" s="45"/>
      <c r="C144" s="45"/>
      <c r="D144" s="47"/>
      <c r="E144" s="47"/>
      <c r="F144" s="47"/>
      <c r="G144" s="47"/>
      <c r="H144" s="47"/>
      <c r="I144" s="47"/>
      <c r="J144" s="1362"/>
    </row>
    <row r="145" spans="1:10" ht="15" x14ac:dyDescent="0.25">
      <c r="A145" s="45"/>
      <c r="B145" s="45"/>
      <c r="C145" s="45"/>
      <c r="D145" s="47"/>
      <c r="E145" s="47"/>
      <c r="F145" s="47"/>
      <c r="G145" s="47"/>
      <c r="H145" s="47"/>
      <c r="I145" s="47"/>
      <c r="J145" s="1362"/>
    </row>
    <row r="146" spans="1:10" ht="87" customHeight="1" x14ac:dyDescent="0.25">
      <c r="A146" s="2533"/>
      <c r="B146" s="2533"/>
      <c r="C146" s="2533"/>
      <c r="D146" s="2534"/>
      <c r="E146" s="1364"/>
      <c r="F146" s="1364"/>
      <c r="G146" s="1364"/>
      <c r="H146" s="1364"/>
      <c r="I146" s="1364"/>
      <c r="J146" s="1362"/>
    </row>
    <row r="147" spans="1:10" ht="87" customHeight="1" x14ac:dyDescent="0.25">
      <c r="A147" s="2533"/>
      <c r="B147" s="2533"/>
      <c r="C147" s="2533"/>
      <c r="D147" s="2534"/>
      <c r="E147" s="1364"/>
      <c r="F147" s="1364"/>
      <c r="G147" s="1364"/>
      <c r="H147" s="1364"/>
      <c r="I147" s="1364"/>
      <c r="J147" s="1362"/>
    </row>
    <row r="148" spans="1:10" ht="87" customHeight="1" x14ac:dyDescent="0.25">
      <c r="A148" s="2533"/>
      <c r="B148" s="2533"/>
      <c r="C148" s="2533"/>
      <c r="D148" s="2534"/>
      <c r="E148" s="1364"/>
      <c r="F148" s="1364"/>
      <c r="G148" s="1364"/>
      <c r="H148" s="47"/>
      <c r="I148" s="75"/>
      <c r="J148" s="1362"/>
    </row>
    <row r="149" spans="1:10" ht="87" customHeight="1" x14ac:dyDescent="0.25">
      <c r="A149" s="2533"/>
      <c r="B149" s="2533"/>
      <c r="C149" s="2533"/>
      <c r="D149" s="2534"/>
      <c r="E149" s="1364"/>
      <c r="F149" s="1364"/>
      <c r="G149" s="1364"/>
      <c r="H149" s="47"/>
      <c r="I149" s="75"/>
      <c r="J149" s="1362"/>
    </row>
    <row r="150" spans="1:10" ht="15" x14ac:dyDescent="0.25">
      <c r="A150" s="1362"/>
      <c r="B150" s="1362"/>
      <c r="C150" s="1362"/>
      <c r="D150" s="1364"/>
      <c r="E150" s="1364"/>
      <c r="F150" s="1364"/>
      <c r="G150" s="1365"/>
      <c r="H150" s="47"/>
      <c r="I150" s="75"/>
      <c r="J150" s="1362"/>
    </row>
    <row r="151" spans="1:10" ht="15" x14ac:dyDescent="0.25">
      <c r="A151" s="46" t="s">
        <v>1397</v>
      </c>
      <c r="B151" s="45"/>
      <c r="C151" s="45"/>
      <c r="D151" s="47"/>
      <c r="E151" s="1364"/>
      <c r="F151" s="1364"/>
      <c r="G151" s="47"/>
      <c r="H151" s="47"/>
      <c r="I151" s="75"/>
      <c r="J151" s="1362"/>
    </row>
    <row r="152" spans="1:10" ht="15.75" thickBot="1" x14ac:dyDescent="0.3">
      <c r="A152" s="46"/>
      <c r="B152" s="45"/>
      <c r="C152" s="45"/>
      <c r="D152" s="47"/>
      <c r="E152" s="1364"/>
      <c r="F152" s="1364"/>
      <c r="G152" s="47"/>
      <c r="H152" s="47"/>
      <c r="I152" s="75"/>
      <c r="J152" s="1362"/>
    </row>
    <row r="153" spans="1:10" ht="16.5" thickTop="1" thickBot="1" x14ac:dyDescent="0.3">
      <c r="A153" s="2530"/>
      <c r="B153" s="2530"/>
      <c r="C153" s="94"/>
      <c r="D153" s="95"/>
      <c r="E153" s="1364"/>
      <c r="F153" s="1364"/>
      <c r="G153" s="101"/>
      <c r="H153" s="47"/>
      <c r="I153" s="75"/>
      <c r="J153" s="1362"/>
    </row>
    <row r="154" spans="1:10" ht="16.5" thickTop="1" thickBot="1" x14ac:dyDescent="0.3">
      <c r="A154" s="2530"/>
      <c r="B154" s="2530"/>
      <c r="C154" s="94"/>
      <c r="D154" s="95"/>
      <c r="E154" s="1364"/>
      <c r="F154" s="1364"/>
      <c r="G154" s="102"/>
      <c r="H154" s="47"/>
      <c r="I154" s="75"/>
      <c r="J154" s="1362"/>
    </row>
    <row r="155" spans="1:10" ht="16.5" thickTop="1" thickBot="1" x14ac:dyDescent="0.3">
      <c r="A155" s="2530"/>
      <c r="B155" s="2530"/>
      <c r="C155" s="94"/>
      <c r="D155" s="95"/>
      <c r="E155" s="1364"/>
      <c r="F155" s="1364"/>
      <c r="G155" s="102"/>
      <c r="H155" s="47"/>
      <c r="I155" s="75"/>
      <c r="J155" s="1362"/>
    </row>
    <row r="156" spans="1:10" ht="16.5" thickTop="1" thickBot="1" x14ac:dyDescent="0.3">
      <c r="A156" s="2530"/>
      <c r="B156" s="2530"/>
      <c r="C156" s="94"/>
      <c r="D156" s="95"/>
      <c r="E156" s="1364"/>
      <c r="F156" s="1364"/>
      <c r="G156" s="102"/>
      <c r="H156" s="47"/>
      <c r="I156" s="75"/>
      <c r="J156" s="1362"/>
    </row>
    <row r="157" spans="1:10" ht="16.5" thickTop="1" thickBot="1" x14ac:dyDescent="0.3">
      <c r="A157" s="2530"/>
      <c r="B157" s="2530"/>
      <c r="C157" s="94"/>
      <c r="D157" s="95"/>
      <c r="E157" s="1364"/>
      <c r="F157" s="1364"/>
      <c r="G157" s="102"/>
      <c r="H157" s="47"/>
      <c r="I157" s="75"/>
      <c r="J157" s="1362"/>
    </row>
    <row r="158" spans="1:10" ht="16.5" thickTop="1" thickBot="1" x14ac:dyDescent="0.3">
      <c r="A158" s="2530"/>
      <c r="B158" s="2530"/>
      <c r="C158" s="94"/>
      <c r="D158" s="95"/>
      <c r="E158" s="1364"/>
      <c r="F158" s="1364"/>
      <c r="G158" s="102"/>
      <c r="H158" s="47"/>
      <c r="I158" s="75"/>
      <c r="J158" s="1362"/>
    </row>
    <row r="159" spans="1:10" ht="16.5" thickTop="1" thickBot="1" x14ac:dyDescent="0.3">
      <c r="A159" s="2530"/>
      <c r="B159" s="2530"/>
      <c r="C159" s="94"/>
      <c r="D159" s="95"/>
      <c r="E159" s="1364"/>
      <c r="F159" s="1364"/>
      <c r="G159" s="102"/>
      <c r="H159" s="47"/>
      <c r="I159" s="75"/>
      <c r="J159" s="1362"/>
    </row>
    <row r="160" spans="1:10" ht="16.5" thickTop="1" thickBot="1" x14ac:dyDescent="0.3">
      <c r="A160" s="2530"/>
      <c r="B160" s="2530"/>
      <c r="C160" s="94"/>
      <c r="D160" s="95"/>
      <c r="E160" s="1364"/>
      <c r="F160" s="1364"/>
      <c r="G160" s="102"/>
      <c r="H160" s="47"/>
      <c r="I160" s="75"/>
      <c r="J160" s="1362"/>
    </row>
    <row r="161" spans="1:10" ht="16.5" thickTop="1" thickBot="1" x14ac:dyDescent="0.3">
      <c r="A161" s="2530"/>
      <c r="B161" s="2530"/>
      <c r="C161" s="94"/>
      <c r="D161" s="95"/>
      <c r="E161" s="1364"/>
      <c r="F161" s="1364"/>
      <c r="G161" s="102"/>
      <c r="H161" s="47"/>
      <c r="I161" s="75"/>
      <c r="J161" s="1362"/>
    </row>
    <row r="162" spans="1:10" ht="16.5" thickTop="1" thickBot="1" x14ac:dyDescent="0.3">
      <c r="A162" s="2530"/>
      <c r="B162" s="2530"/>
      <c r="C162" s="94"/>
      <c r="D162" s="95"/>
      <c r="E162" s="1364"/>
      <c r="F162" s="1364"/>
      <c r="G162" s="102"/>
      <c r="H162" s="47"/>
      <c r="I162" s="75"/>
      <c r="J162" s="1362"/>
    </row>
    <row r="163" spans="1:10" ht="16.5" thickTop="1" thickBot="1" x14ac:dyDescent="0.3">
      <c r="A163" s="2530"/>
      <c r="B163" s="2530"/>
      <c r="C163" s="94"/>
      <c r="D163" s="95"/>
      <c r="E163" s="1364"/>
      <c r="F163" s="1364"/>
      <c r="G163" s="102"/>
      <c r="H163" s="47"/>
      <c r="I163" s="75"/>
      <c r="J163" s="1362"/>
    </row>
    <row r="164" spans="1:10" ht="16.5" thickTop="1" thickBot="1" x14ac:dyDescent="0.3">
      <c r="A164" s="2530"/>
      <c r="B164" s="2530"/>
      <c r="C164" s="94"/>
      <c r="D164" s="95"/>
      <c r="E164" s="1364"/>
      <c r="F164" s="1364"/>
      <c r="G164" s="102"/>
      <c r="H164" s="47"/>
      <c r="I164" s="75"/>
      <c r="J164" s="1362"/>
    </row>
    <row r="165" spans="1:10" ht="16.5" thickTop="1" thickBot="1" x14ac:dyDescent="0.3">
      <c r="A165" s="2530"/>
      <c r="B165" s="2530"/>
      <c r="C165" s="94"/>
      <c r="D165" s="95"/>
      <c r="E165" s="1364"/>
      <c r="F165" s="1364"/>
      <c r="G165" s="102"/>
      <c r="H165" s="47"/>
      <c r="I165" s="75"/>
      <c r="J165" s="1362"/>
    </row>
    <row r="166" spans="1:10" ht="16.5" thickTop="1" thickBot="1" x14ac:dyDescent="0.3">
      <c r="A166" s="2530"/>
      <c r="B166" s="2530"/>
      <c r="C166" s="94"/>
      <c r="D166" s="95"/>
      <c r="E166" s="1364"/>
      <c r="F166" s="1364"/>
      <c r="G166" s="102"/>
      <c r="H166" s="47"/>
      <c r="I166" s="75"/>
      <c r="J166" s="1362"/>
    </row>
    <row r="167" spans="1:10" ht="16.5" thickTop="1" thickBot="1" x14ac:dyDescent="0.3">
      <c r="A167" s="2530"/>
      <c r="B167" s="2530"/>
      <c r="C167" s="94"/>
      <c r="D167" s="95"/>
      <c r="E167" s="1364"/>
      <c r="F167" s="1364"/>
      <c r="G167" s="102"/>
      <c r="H167" s="47"/>
      <c r="I167" s="75"/>
      <c r="J167" s="1362"/>
    </row>
    <row r="168" spans="1:10" ht="16.5" thickTop="1" thickBot="1" x14ac:dyDescent="0.3">
      <c r="A168" s="2530"/>
      <c r="B168" s="2530"/>
      <c r="C168" s="94"/>
      <c r="D168" s="95"/>
      <c r="E168" s="1364"/>
      <c r="F168" s="1364"/>
      <c r="G168" s="102"/>
      <c r="H168" s="47"/>
      <c r="I168" s="75"/>
      <c r="J168" s="1362"/>
    </row>
    <row r="169" spans="1:10" ht="16.5" thickTop="1" thickBot="1" x14ac:dyDescent="0.3">
      <c r="A169" s="2530"/>
      <c r="B169" s="2530"/>
      <c r="C169" s="94"/>
      <c r="D169" s="95"/>
      <c r="E169" s="1364"/>
      <c r="F169" s="1364"/>
      <c r="G169" s="102"/>
      <c r="H169" s="47"/>
      <c r="I169" s="75"/>
      <c r="J169" s="1362"/>
    </row>
    <row r="170" spans="1:10" ht="16.5" thickTop="1" thickBot="1" x14ac:dyDescent="0.3">
      <c r="A170" s="2530"/>
      <c r="B170" s="2530"/>
      <c r="C170" s="94"/>
      <c r="D170" s="95"/>
      <c r="E170" s="1364"/>
      <c r="F170" s="1364"/>
      <c r="G170" s="102"/>
      <c r="H170" s="47"/>
      <c r="I170" s="75"/>
      <c r="J170" s="1362"/>
    </row>
    <row r="171" spans="1:10" ht="16.5" thickTop="1" thickBot="1" x14ac:dyDescent="0.3">
      <c r="A171" s="2530"/>
      <c r="B171" s="2530"/>
      <c r="C171" s="94"/>
      <c r="D171" s="95"/>
      <c r="E171" s="1364"/>
      <c r="F171" s="1364"/>
      <c r="G171" s="102"/>
      <c r="H171" s="47"/>
      <c r="I171" s="75"/>
      <c r="J171" s="1362"/>
    </row>
    <row r="172" spans="1:10" ht="16.5" thickTop="1" thickBot="1" x14ac:dyDescent="0.3">
      <c r="A172" s="2530"/>
      <c r="B172" s="2530"/>
      <c r="C172" s="94"/>
      <c r="D172" s="95"/>
      <c r="E172" s="1364"/>
      <c r="F172" s="1364"/>
      <c r="G172" s="102"/>
      <c r="H172" s="47"/>
      <c r="I172" s="75"/>
      <c r="J172" s="1362"/>
    </row>
    <row r="173" spans="1:10" ht="16.5" thickTop="1" thickBot="1" x14ac:dyDescent="0.3">
      <c r="A173" s="2530"/>
      <c r="B173" s="2530"/>
      <c r="C173" s="94"/>
      <c r="D173" s="95"/>
      <c r="E173" s="1364"/>
      <c r="F173" s="1364"/>
      <c r="G173" s="102"/>
      <c r="H173" s="47"/>
      <c r="I173" s="75"/>
      <c r="J173" s="1362"/>
    </row>
    <row r="174" spans="1:10" ht="16.5" thickTop="1" thickBot="1" x14ac:dyDescent="0.3">
      <c r="A174" s="2530"/>
      <c r="B174" s="2530"/>
      <c r="C174" s="94"/>
      <c r="D174" s="95"/>
      <c r="E174" s="1364"/>
      <c r="F174" s="1364"/>
      <c r="G174" s="102"/>
      <c r="H174" s="47"/>
      <c r="I174" s="75"/>
      <c r="J174" s="1362"/>
    </row>
    <row r="175" spans="1:10" ht="16.5" thickTop="1" thickBot="1" x14ac:dyDescent="0.3">
      <c r="A175" s="2530"/>
      <c r="B175" s="2530"/>
      <c r="C175" s="94"/>
      <c r="D175" s="95"/>
      <c r="E175" s="1364"/>
      <c r="F175" s="1364"/>
      <c r="G175" s="102"/>
      <c r="H175" s="47"/>
      <c r="I175" s="75"/>
      <c r="J175" s="1362"/>
    </row>
    <row r="176" spans="1:10" ht="16.5" thickTop="1" thickBot="1" x14ac:dyDescent="0.3">
      <c r="A176" s="2530"/>
      <c r="B176" s="2530"/>
      <c r="C176" s="94"/>
      <c r="D176" s="95"/>
      <c r="E176" s="1364"/>
      <c r="F176" s="1364"/>
      <c r="G176" s="102"/>
      <c r="H176" s="47"/>
      <c r="I176" s="75"/>
      <c r="J176" s="1362"/>
    </row>
    <row r="177" spans="1:10" ht="16.5" thickTop="1" thickBot="1" x14ac:dyDescent="0.3">
      <c r="A177" s="2530"/>
      <c r="B177" s="2530"/>
      <c r="C177" s="94"/>
      <c r="D177" s="95"/>
      <c r="E177" s="1364"/>
      <c r="F177" s="1364"/>
      <c r="G177" s="102"/>
      <c r="H177" s="47"/>
      <c r="I177" s="75"/>
      <c r="J177" s="1362"/>
    </row>
    <row r="178" spans="1:10" ht="16.5" thickTop="1" thickBot="1" x14ac:dyDescent="0.3">
      <c r="A178" s="2530"/>
      <c r="B178" s="2530"/>
      <c r="C178" s="94"/>
      <c r="D178" s="95"/>
      <c r="E178" s="1364"/>
      <c r="F178" s="1364"/>
      <c r="G178" s="102"/>
      <c r="H178" s="47"/>
      <c r="I178" s="75"/>
      <c r="J178" s="1362"/>
    </row>
    <row r="179" spans="1:10" ht="16.5" thickTop="1" thickBot="1" x14ac:dyDescent="0.3">
      <c r="A179" s="2530"/>
      <c r="B179" s="2530"/>
      <c r="C179" s="94"/>
      <c r="D179" s="95"/>
      <c r="E179" s="1364"/>
      <c r="F179" s="1364"/>
      <c r="G179" s="102"/>
      <c r="H179" s="47"/>
      <c r="I179" s="75"/>
      <c r="J179" s="1362"/>
    </row>
    <row r="180" spans="1:10" ht="16.5" thickTop="1" thickBot="1" x14ac:dyDescent="0.3">
      <c r="A180" s="2530"/>
      <c r="B180" s="2530"/>
      <c r="C180" s="94"/>
      <c r="D180" s="95"/>
      <c r="E180" s="1364"/>
      <c r="F180" s="1364"/>
      <c r="G180" s="102"/>
      <c r="H180" s="47"/>
      <c r="I180" s="75"/>
      <c r="J180" s="1362"/>
    </row>
    <row r="181" spans="1:10" ht="16.5" thickTop="1" thickBot="1" x14ac:dyDescent="0.3">
      <c r="A181" s="2530"/>
      <c r="B181" s="2530"/>
      <c r="C181" s="94"/>
      <c r="D181" s="95"/>
      <c r="E181" s="1364"/>
      <c r="F181" s="1364"/>
      <c r="G181" s="102"/>
      <c r="H181" s="47"/>
      <c r="I181" s="75"/>
      <c r="J181" s="1362"/>
    </row>
    <row r="182" spans="1:10" ht="16.5" thickTop="1" thickBot="1" x14ac:dyDescent="0.3">
      <c r="A182" s="2530"/>
      <c r="B182" s="2530"/>
      <c r="C182" s="94"/>
      <c r="D182" s="95"/>
      <c r="E182" s="1364"/>
      <c r="F182" s="1364"/>
      <c r="G182" s="103"/>
      <c r="H182" s="47"/>
      <c r="I182" s="75"/>
      <c r="J182" s="1362"/>
    </row>
    <row r="183" spans="1:10" ht="15.75" thickTop="1" x14ac:dyDescent="0.25">
      <c r="A183" s="45"/>
      <c r="B183" s="45"/>
      <c r="C183" s="45"/>
      <c r="D183" s="47"/>
      <c r="E183" s="1364"/>
      <c r="F183" s="1364"/>
      <c r="G183" s="104"/>
      <c r="H183" s="47"/>
      <c r="I183" s="75"/>
      <c r="J183" s="1362"/>
    </row>
    <row r="184" spans="1:10" ht="15" x14ac:dyDescent="0.25">
      <c r="A184" s="46" t="s">
        <v>940</v>
      </c>
      <c r="B184" s="45"/>
      <c r="C184" s="45"/>
      <c r="D184" s="47"/>
      <c r="E184" s="1364"/>
      <c r="F184" s="1364"/>
      <c r="G184" s="104"/>
      <c r="H184" s="47"/>
      <c r="I184" s="75"/>
      <c r="J184" s="1362"/>
    </row>
    <row r="185" spans="1:10" ht="15" x14ac:dyDescent="0.25">
      <c r="A185" s="45"/>
      <c r="B185" s="45"/>
      <c r="C185" s="45"/>
      <c r="D185" s="47"/>
      <c r="E185" s="1364"/>
      <c r="F185" s="1364"/>
      <c r="G185" s="104"/>
      <c r="H185" s="47"/>
      <c r="I185" s="75"/>
      <c r="J185" s="1362"/>
    </row>
    <row r="186" spans="1:10" ht="15.75" thickBot="1" x14ac:dyDescent="0.3">
      <c r="A186" s="2550" t="s">
        <v>941</v>
      </c>
      <c r="B186" s="2551"/>
      <c r="C186" s="77" t="s">
        <v>988</v>
      </c>
      <c r="D186" s="65">
        <v>4.4000000000000003E-3</v>
      </c>
      <c r="E186" s="1364"/>
      <c r="F186" s="1364"/>
      <c r="G186" s="105"/>
      <c r="H186" s="1364"/>
      <c r="I186" s="1364"/>
      <c r="J186" s="1362"/>
    </row>
    <row r="187" spans="1:10" ht="16.5" thickTop="1" thickBot="1" x14ac:dyDescent="0.3">
      <c r="A187" s="2550" t="s">
        <v>942</v>
      </c>
      <c r="B187" s="2551"/>
      <c r="C187" s="78" t="s">
        <v>988</v>
      </c>
      <c r="D187" s="66">
        <v>1.2999999999999999E-3</v>
      </c>
      <c r="E187" s="1364"/>
      <c r="F187" s="1364"/>
      <c r="G187" s="105"/>
      <c r="H187" s="1364"/>
      <c r="I187" s="1364"/>
      <c r="J187" s="1362"/>
    </row>
    <row r="188" spans="1:10" ht="16.5" thickTop="1" thickBot="1" x14ac:dyDescent="0.3">
      <c r="A188" s="2550" t="s">
        <v>943</v>
      </c>
      <c r="B188" s="2551"/>
      <c r="C188" s="79" t="s">
        <v>217</v>
      </c>
      <c r="D188" s="67">
        <v>0.25</v>
      </c>
      <c r="E188" s="1364"/>
      <c r="F188" s="1364"/>
      <c r="G188" s="105"/>
      <c r="H188" s="1364"/>
      <c r="I188" s="1364"/>
      <c r="J188" s="1362"/>
    </row>
    <row r="189" spans="1:10" ht="18.75" thickTop="1" x14ac:dyDescent="0.25">
      <c r="A189" s="2531" t="s">
        <v>2380</v>
      </c>
      <c r="B189" s="2531"/>
      <c r="C189" s="2531"/>
      <c r="D189" s="2532"/>
      <c r="E189" s="124"/>
      <c r="F189" s="124"/>
      <c r="G189" s="124"/>
      <c r="H189" s="124"/>
      <c r="I189" s="124"/>
      <c r="J189" s="1362"/>
    </row>
    <row r="190" spans="1:10" ht="15" x14ac:dyDescent="0.25">
      <c r="A190" s="68"/>
      <c r="B190" s="68"/>
      <c r="C190" s="68"/>
      <c r="D190" s="125"/>
      <c r="E190" s="125"/>
      <c r="F190" s="125"/>
      <c r="G190" s="125"/>
      <c r="H190" s="125"/>
      <c r="I190" s="125"/>
      <c r="J190" s="1363"/>
    </row>
    <row r="191" spans="1:10" ht="87" customHeight="1" x14ac:dyDescent="0.25">
      <c r="A191" s="2533"/>
      <c r="B191" s="2533"/>
      <c r="C191" s="2533"/>
      <c r="D191" s="2534"/>
      <c r="E191" s="1364"/>
      <c r="F191" s="1364"/>
      <c r="G191" s="1364"/>
      <c r="H191" s="1364"/>
      <c r="I191" s="1364"/>
      <c r="J191" s="1362"/>
    </row>
    <row r="192" spans="1:10" ht="15" x14ac:dyDescent="0.25">
      <c r="A192" s="46" t="s">
        <v>939</v>
      </c>
      <c r="B192" s="45"/>
      <c r="C192" s="45"/>
      <c r="D192" s="47"/>
      <c r="E192" s="47"/>
      <c r="F192" s="47"/>
      <c r="G192" s="47"/>
      <c r="H192" s="47"/>
      <c r="I192" s="47"/>
      <c r="J192" s="1362"/>
    </row>
    <row r="193" spans="1:10" ht="15" x14ac:dyDescent="0.25">
      <c r="A193" s="45"/>
      <c r="B193" s="45"/>
      <c r="C193" s="45"/>
      <c r="D193" s="47"/>
      <c r="E193" s="47"/>
      <c r="F193" s="47"/>
      <c r="G193" s="47"/>
      <c r="H193" s="47"/>
      <c r="I193" s="47"/>
      <c r="J193" s="1362"/>
    </row>
    <row r="194" spans="1:10" ht="87" customHeight="1" x14ac:dyDescent="0.25">
      <c r="A194" s="2533"/>
      <c r="B194" s="2533"/>
      <c r="C194" s="2533"/>
      <c r="D194" s="2534"/>
      <c r="E194" s="1364"/>
      <c r="F194" s="1364"/>
      <c r="G194" s="1364"/>
      <c r="H194" s="1364"/>
      <c r="I194" s="1364"/>
      <c r="J194" s="1362"/>
    </row>
    <row r="195" spans="1:10" ht="87" customHeight="1" x14ac:dyDescent="0.25">
      <c r="A195" s="2533"/>
      <c r="B195" s="2533"/>
      <c r="C195" s="2533"/>
      <c r="D195" s="2534"/>
      <c r="E195" s="1364"/>
      <c r="F195" s="1364"/>
      <c r="G195" s="1364"/>
      <c r="H195" s="1364"/>
      <c r="I195" s="1364"/>
      <c r="J195" s="1362"/>
    </row>
    <row r="196" spans="1:10" ht="87" customHeight="1" x14ac:dyDescent="0.25">
      <c r="A196" s="2533"/>
      <c r="B196" s="2533"/>
      <c r="C196" s="2533"/>
      <c r="D196" s="2534"/>
      <c r="E196" s="1364"/>
      <c r="F196" s="1364"/>
      <c r="G196" s="1364"/>
      <c r="H196" s="47"/>
      <c r="I196" s="75"/>
      <c r="J196" s="1362"/>
    </row>
    <row r="197" spans="1:10" ht="87" customHeight="1" x14ac:dyDescent="0.25">
      <c r="A197" s="2533"/>
      <c r="B197" s="2533"/>
      <c r="C197" s="2533"/>
      <c r="D197" s="2534"/>
      <c r="E197" s="1364"/>
      <c r="F197" s="1364"/>
      <c r="G197" s="1364"/>
      <c r="H197" s="47"/>
      <c r="I197" s="75"/>
      <c r="J197" s="1362"/>
    </row>
    <row r="198" spans="1:10" ht="15" x14ac:dyDescent="0.25">
      <c r="A198" s="1362"/>
      <c r="B198" s="1362"/>
      <c r="C198" s="1362"/>
      <c r="D198" s="1364"/>
      <c r="E198" s="1364"/>
      <c r="F198" s="1364"/>
      <c r="G198" s="1365"/>
      <c r="H198" s="47"/>
      <c r="I198" s="75"/>
      <c r="J198" s="1362"/>
    </row>
    <row r="199" spans="1:10" ht="15" x14ac:dyDescent="0.25">
      <c r="A199" s="46" t="s">
        <v>1397</v>
      </c>
      <c r="B199" s="45"/>
      <c r="C199" s="45"/>
      <c r="D199" s="47"/>
      <c r="E199" s="1364"/>
      <c r="F199" s="1364"/>
      <c r="G199" s="47"/>
      <c r="H199" s="47"/>
      <c r="I199" s="75"/>
      <c r="J199" s="1362"/>
    </row>
    <row r="200" spans="1:10" ht="15.75" thickBot="1" x14ac:dyDescent="0.3">
      <c r="A200" s="46"/>
      <c r="B200" s="45"/>
      <c r="C200" s="45"/>
      <c r="D200" s="47"/>
      <c r="E200" s="1364"/>
      <c r="F200" s="1364"/>
      <c r="G200" s="47"/>
      <c r="H200" s="47"/>
      <c r="I200" s="75"/>
      <c r="J200" s="1362"/>
    </row>
    <row r="201" spans="1:10" ht="16.5" thickTop="1" thickBot="1" x14ac:dyDescent="0.3">
      <c r="A201" s="2530"/>
      <c r="B201" s="2530"/>
      <c r="C201" s="94"/>
      <c r="D201" s="95"/>
      <c r="E201" s="1364"/>
      <c r="F201" s="1364"/>
      <c r="G201" s="101"/>
      <c r="H201" s="47"/>
      <c r="I201" s="75"/>
      <c r="J201" s="1362"/>
    </row>
    <row r="202" spans="1:10" ht="16.5" thickTop="1" thickBot="1" x14ac:dyDescent="0.3">
      <c r="A202" s="2530"/>
      <c r="B202" s="2530"/>
      <c r="C202" s="94"/>
      <c r="D202" s="95"/>
      <c r="E202" s="1364"/>
      <c r="F202" s="1364"/>
      <c r="G202" s="102"/>
      <c r="H202" s="47"/>
      <c r="I202" s="75"/>
      <c r="J202" s="1362"/>
    </row>
    <row r="203" spans="1:10" ht="16.5" thickTop="1" thickBot="1" x14ac:dyDescent="0.3">
      <c r="A203" s="2530"/>
      <c r="B203" s="2530"/>
      <c r="C203" s="94"/>
      <c r="D203" s="95"/>
      <c r="E203" s="1364"/>
      <c r="F203" s="1364"/>
      <c r="G203" s="102"/>
      <c r="H203" s="47"/>
      <c r="I203" s="75"/>
      <c r="J203" s="1362"/>
    </row>
    <row r="204" spans="1:10" ht="16.5" thickTop="1" thickBot="1" x14ac:dyDescent="0.3">
      <c r="A204" s="2530"/>
      <c r="B204" s="2530"/>
      <c r="C204" s="94"/>
      <c r="D204" s="95"/>
      <c r="E204" s="1364"/>
      <c r="F204" s="1364"/>
      <c r="G204" s="102"/>
      <c r="H204" s="47"/>
      <c r="I204" s="75"/>
      <c r="J204" s="1362"/>
    </row>
    <row r="205" spans="1:10" ht="16.5" thickTop="1" thickBot="1" x14ac:dyDescent="0.3">
      <c r="A205" s="2530"/>
      <c r="B205" s="2530"/>
      <c r="C205" s="94"/>
      <c r="D205" s="95"/>
      <c r="E205" s="1364"/>
      <c r="F205" s="1364"/>
      <c r="G205" s="102"/>
      <c r="H205" s="47"/>
      <c r="I205" s="75"/>
      <c r="J205" s="1362"/>
    </row>
    <row r="206" spans="1:10" ht="16.5" thickTop="1" thickBot="1" x14ac:dyDescent="0.3">
      <c r="A206" s="2530"/>
      <c r="B206" s="2530"/>
      <c r="C206" s="94"/>
      <c r="D206" s="95"/>
      <c r="E206" s="1364"/>
      <c r="F206" s="1364"/>
      <c r="G206" s="102"/>
      <c r="H206" s="47"/>
      <c r="I206" s="75"/>
      <c r="J206" s="1362"/>
    </row>
    <row r="207" spans="1:10" ht="16.5" thickTop="1" thickBot="1" x14ac:dyDescent="0.3">
      <c r="A207" s="2530"/>
      <c r="B207" s="2530"/>
      <c r="C207" s="94"/>
      <c r="D207" s="95"/>
      <c r="E207" s="1364"/>
      <c r="F207" s="1364"/>
      <c r="G207" s="102"/>
      <c r="H207" s="47"/>
      <c r="I207" s="75"/>
      <c r="J207" s="1362"/>
    </row>
    <row r="208" spans="1:10" ht="16.5" thickTop="1" thickBot="1" x14ac:dyDescent="0.3">
      <c r="A208" s="2530"/>
      <c r="B208" s="2530"/>
      <c r="C208" s="94"/>
      <c r="D208" s="95"/>
      <c r="E208" s="1364"/>
      <c r="F208" s="1364"/>
      <c r="G208" s="102"/>
      <c r="H208" s="47"/>
      <c r="I208" s="75"/>
      <c r="J208" s="1362"/>
    </row>
    <row r="209" spans="1:10" ht="16.5" thickTop="1" thickBot="1" x14ac:dyDescent="0.3">
      <c r="A209" s="2530"/>
      <c r="B209" s="2530"/>
      <c r="C209" s="94"/>
      <c r="D209" s="95"/>
      <c r="E209" s="1364"/>
      <c r="F209" s="1364"/>
      <c r="G209" s="102"/>
      <c r="H209" s="47"/>
      <c r="I209" s="75"/>
      <c r="J209" s="1362"/>
    </row>
    <row r="210" spans="1:10" ht="16.5" thickTop="1" thickBot="1" x14ac:dyDescent="0.3">
      <c r="A210" s="2530"/>
      <c r="B210" s="2530"/>
      <c r="C210" s="94"/>
      <c r="D210" s="95"/>
      <c r="E210" s="1364"/>
      <c r="F210" s="1364"/>
      <c r="G210" s="102"/>
      <c r="H210" s="47"/>
      <c r="I210" s="75"/>
      <c r="J210" s="1362"/>
    </row>
    <row r="211" spans="1:10" ht="16.5" thickTop="1" thickBot="1" x14ac:dyDescent="0.3">
      <c r="A211" s="2530"/>
      <c r="B211" s="2530"/>
      <c r="C211" s="94"/>
      <c r="D211" s="95"/>
      <c r="E211" s="1364"/>
      <c r="F211" s="1364"/>
      <c r="G211" s="102"/>
      <c r="H211" s="47"/>
      <c r="I211" s="75"/>
      <c r="J211" s="1362"/>
    </row>
    <row r="212" spans="1:10" ht="16.5" thickTop="1" thickBot="1" x14ac:dyDescent="0.3">
      <c r="A212" s="2530"/>
      <c r="B212" s="2530"/>
      <c r="C212" s="94"/>
      <c r="D212" s="95"/>
      <c r="E212" s="1364"/>
      <c r="F212" s="1364"/>
      <c r="G212" s="102"/>
      <c r="H212" s="47"/>
      <c r="I212" s="75"/>
      <c r="J212" s="1362"/>
    </row>
    <row r="213" spans="1:10" ht="16.5" thickTop="1" thickBot="1" x14ac:dyDescent="0.3">
      <c r="A213" s="2530"/>
      <c r="B213" s="2530"/>
      <c r="C213" s="94"/>
      <c r="D213" s="95"/>
      <c r="E213" s="1364"/>
      <c r="F213" s="1364"/>
      <c r="G213" s="102"/>
      <c r="H213" s="47"/>
      <c r="I213" s="75"/>
      <c r="J213" s="1362"/>
    </row>
    <row r="214" spans="1:10" ht="16.5" thickTop="1" thickBot="1" x14ac:dyDescent="0.3">
      <c r="A214" s="2530"/>
      <c r="B214" s="2530"/>
      <c r="C214" s="94"/>
      <c r="D214" s="95"/>
      <c r="E214" s="1364"/>
      <c r="F214" s="1364"/>
      <c r="G214" s="102"/>
      <c r="H214" s="47"/>
      <c r="I214" s="75"/>
      <c r="J214" s="1362"/>
    </row>
    <row r="215" spans="1:10" ht="16.5" thickTop="1" thickBot="1" x14ac:dyDescent="0.3">
      <c r="A215" s="2530"/>
      <c r="B215" s="2530"/>
      <c r="C215" s="94"/>
      <c r="D215" s="95"/>
      <c r="E215" s="1364"/>
      <c r="F215" s="1364"/>
      <c r="G215" s="102"/>
      <c r="H215" s="47"/>
      <c r="I215" s="75"/>
      <c r="J215" s="1362"/>
    </row>
    <row r="216" spans="1:10" ht="16.5" thickTop="1" thickBot="1" x14ac:dyDescent="0.3">
      <c r="A216" s="2530"/>
      <c r="B216" s="2530"/>
      <c r="C216" s="94"/>
      <c r="D216" s="95"/>
      <c r="E216" s="1364"/>
      <c r="F216" s="1364"/>
      <c r="G216" s="102"/>
      <c r="H216" s="47"/>
      <c r="I216" s="75"/>
      <c r="J216" s="1362"/>
    </row>
    <row r="217" spans="1:10" ht="16.5" thickTop="1" thickBot="1" x14ac:dyDescent="0.3">
      <c r="A217" s="2530"/>
      <c r="B217" s="2530"/>
      <c r="C217" s="94"/>
      <c r="D217" s="95"/>
      <c r="E217" s="1364"/>
      <c r="F217" s="1364"/>
      <c r="G217" s="102"/>
      <c r="H217" s="47"/>
      <c r="I217" s="75"/>
      <c r="J217" s="1362"/>
    </row>
    <row r="218" spans="1:10" ht="16.5" thickTop="1" thickBot="1" x14ac:dyDescent="0.3">
      <c r="A218" s="2530"/>
      <c r="B218" s="2530"/>
      <c r="C218" s="94"/>
      <c r="D218" s="95"/>
      <c r="E218" s="1364"/>
      <c r="F218" s="1364"/>
      <c r="G218" s="102"/>
      <c r="H218" s="47"/>
      <c r="I218" s="75"/>
      <c r="J218" s="1362"/>
    </row>
    <row r="219" spans="1:10" ht="16.5" thickTop="1" thickBot="1" x14ac:dyDescent="0.3">
      <c r="A219" s="2530"/>
      <c r="B219" s="2530"/>
      <c r="C219" s="94"/>
      <c r="D219" s="95"/>
      <c r="E219" s="1364"/>
      <c r="F219" s="1364"/>
      <c r="G219" s="102"/>
      <c r="H219" s="47"/>
      <c r="I219" s="75"/>
      <c r="J219" s="1362"/>
    </row>
    <row r="220" spans="1:10" ht="16.5" thickTop="1" thickBot="1" x14ac:dyDescent="0.3">
      <c r="A220" s="2530"/>
      <c r="B220" s="2530"/>
      <c r="C220" s="94"/>
      <c r="D220" s="95"/>
      <c r="E220" s="1364"/>
      <c r="F220" s="1364"/>
      <c r="G220" s="102"/>
      <c r="H220" s="47"/>
      <c r="I220" s="75"/>
      <c r="J220" s="1362"/>
    </row>
    <row r="221" spans="1:10" ht="16.5" thickTop="1" thickBot="1" x14ac:dyDescent="0.3">
      <c r="A221" s="2530"/>
      <c r="B221" s="2530"/>
      <c r="C221" s="94"/>
      <c r="D221" s="95"/>
      <c r="E221" s="1364"/>
      <c r="F221" s="1364"/>
      <c r="G221" s="102"/>
      <c r="H221" s="47"/>
      <c r="I221" s="75"/>
      <c r="J221" s="1362"/>
    </row>
    <row r="222" spans="1:10" ht="16.5" thickTop="1" thickBot="1" x14ac:dyDescent="0.3">
      <c r="A222" s="2530"/>
      <c r="B222" s="2530"/>
      <c r="C222" s="94"/>
      <c r="D222" s="95"/>
      <c r="E222" s="1364"/>
      <c r="F222" s="1364"/>
      <c r="G222" s="102"/>
      <c r="H222" s="47"/>
      <c r="I222" s="75"/>
      <c r="J222" s="1362"/>
    </row>
    <row r="223" spans="1:10" ht="16.5" thickTop="1" thickBot="1" x14ac:dyDescent="0.3">
      <c r="A223" s="2530"/>
      <c r="B223" s="2530"/>
      <c r="C223" s="94"/>
      <c r="D223" s="95"/>
      <c r="E223" s="1364"/>
      <c r="F223" s="1364"/>
      <c r="G223" s="102"/>
      <c r="H223" s="47"/>
      <c r="I223" s="75"/>
      <c r="J223" s="1362"/>
    </row>
    <row r="224" spans="1:10" ht="16.5" thickTop="1" thickBot="1" x14ac:dyDescent="0.3">
      <c r="A224" s="2530"/>
      <c r="B224" s="2530"/>
      <c r="C224" s="94"/>
      <c r="D224" s="95"/>
      <c r="E224" s="1364"/>
      <c r="F224" s="1364"/>
      <c r="G224" s="102"/>
      <c r="H224" s="47"/>
      <c r="I224" s="75"/>
      <c r="J224" s="1362"/>
    </row>
    <row r="225" spans="1:10" ht="16.5" thickTop="1" thickBot="1" x14ac:dyDescent="0.3">
      <c r="A225" s="2530"/>
      <c r="B225" s="2530"/>
      <c r="C225" s="94"/>
      <c r="D225" s="95"/>
      <c r="E225" s="1364"/>
      <c r="F225" s="1364"/>
      <c r="G225" s="102"/>
      <c r="H225" s="47"/>
      <c r="I225" s="75"/>
      <c r="J225" s="1362"/>
    </row>
    <row r="226" spans="1:10" ht="16.5" thickTop="1" thickBot="1" x14ac:dyDescent="0.3">
      <c r="A226" s="2530"/>
      <c r="B226" s="2530"/>
      <c r="C226" s="94"/>
      <c r="D226" s="95"/>
      <c r="E226" s="1364"/>
      <c r="F226" s="1364"/>
      <c r="G226" s="102"/>
      <c r="H226" s="47"/>
      <c r="I226" s="75"/>
      <c r="J226" s="1362"/>
    </row>
    <row r="227" spans="1:10" ht="16.5" thickTop="1" thickBot="1" x14ac:dyDescent="0.3">
      <c r="A227" s="2530"/>
      <c r="B227" s="2530"/>
      <c r="C227" s="94"/>
      <c r="D227" s="95"/>
      <c r="E227" s="1364"/>
      <c r="F227" s="1364"/>
      <c r="G227" s="102"/>
      <c r="H227" s="47"/>
      <c r="I227" s="75"/>
      <c r="J227" s="1362"/>
    </row>
    <row r="228" spans="1:10" ht="16.5" thickTop="1" thickBot="1" x14ac:dyDescent="0.3">
      <c r="A228" s="2530"/>
      <c r="B228" s="2530"/>
      <c r="C228" s="94"/>
      <c r="D228" s="95"/>
      <c r="E228" s="1364"/>
      <c r="F228" s="1364"/>
      <c r="G228" s="102"/>
      <c r="H228" s="47"/>
      <c r="I228" s="75"/>
      <c r="J228" s="1362"/>
    </row>
    <row r="229" spans="1:10" ht="16.5" thickTop="1" thickBot="1" x14ac:dyDescent="0.3">
      <c r="A229" s="2530"/>
      <c r="B229" s="2530"/>
      <c r="C229" s="94"/>
      <c r="D229" s="95"/>
      <c r="E229" s="1364"/>
      <c r="F229" s="1364"/>
      <c r="G229" s="102"/>
      <c r="H229" s="47"/>
      <c r="I229" s="75"/>
      <c r="J229" s="1362"/>
    </row>
    <row r="230" spans="1:10" ht="16.5" thickTop="1" thickBot="1" x14ac:dyDescent="0.3">
      <c r="A230" s="2530"/>
      <c r="B230" s="2530"/>
      <c r="C230" s="94"/>
      <c r="D230" s="95"/>
      <c r="E230" s="1364"/>
      <c r="F230" s="1364"/>
      <c r="G230" s="103"/>
      <c r="H230" s="47"/>
      <c r="I230" s="75"/>
      <c r="J230" s="1362"/>
    </row>
    <row r="231" spans="1:10" ht="15.75" thickTop="1" x14ac:dyDescent="0.25">
      <c r="A231" s="45"/>
      <c r="B231" s="45"/>
      <c r="C231" s="45"/>
      <c r="D231" s="47"/>
      <c r="E231" s="1364"/>
      <c r="F231" s="1364"/>
      <c r="G231" s="104"/>
      <c r="H231" s="47"/>
      <c r="I231" s="75"/>
      <c r="J231" s="1362"/>
    </row>
    <row r="232" spans="1:10" ht="15" x14ac:dyDescent="0.25">
      <c r="A232" s="46" t="s">
        <v>940</v>
      </c>
      <c r="B232" s="45"/>
      <c r="C232" s="45"/>
      <c r="D232" s="47"/>
      <c r="E232" s="1364"/>
      <c r="F232" s="1364"/>
      <c r="G232" s="104"/>
      <c r="H232" s="47"/>
      <c r="I232" s="75"/>
      <c r="J232" s="1362"/>
    </row>
    <row r="233" spans="1:10" ht="15" x14ac:dyDescent="0.25">
      <c r="A233" s="45"/>
      <c r="B233" s="45"/>
      <c r="C233" s="45"/>
      <c r="D233" s="47"/>
      <c r="E233" s="1364"/>
      <c r="F233" s="1364"/>
      <c r="G233" s="104"/>
      <c r="H233" s="47"/>
      <c r="I233" s="75"/>
      <c r="J233" s="1362"/>
    </row>
    <row r="234" spans="1:10" ht="15.75" thickBot="1" x14ac:dyDescent="0.3">
      <c r="A234" s="2550" t="s">
        <v>941</v>
      </c>
      <c r="B234" s="2551"/>
      <c r="C234" s="77" t="s">
        <v>988</v>
      </c>
      <c r="D234" s="65">
        <v>4.4000000000000003E-3</v>
      </c>
      <c r="E234" s="1364"/>
      <c r="F234" s="1364"/>
      <c r="G234" s="105"/>
      <c r="H234" s="1364"/>
      <c r="I234" s="1364"/>
      <c r="J234" s="1362"/>
    </row>
    <row r="235" spans="1:10" ht="16.5" thickTop="1" thickBot="1" x14ac:dyDescent="0.3">
      <c r="A235" s="2550" t="s">
        <v>942</v>
      </c>
      <c r="B235" s="2551"/>
      <c r="C235" s="78" t="s">
        <v>988</v>
      </c>
      <c r="D235" s="66">
        <v>1.2999999999999999E-3</v>
      </c>
      <c r="E235" s="1364"/>
      <c r="F235" s="1364"/>
      <c r="G235" s="105"/>
      <c r="H235" s="1364"/>
      <c r="I235" s="1364"/>
      <c r="J235" s="1362"/>
    </row>
    <row r="236" spans="1:10" ht="16.5" thickTop="1" thickBot="1" x14ac:dyDescent="0.3">
      <c r="A236" s="2550" t="s">
        <v>943</v>
      </c>
      <c r="B236" s="2551"/>
      <c r="C236" s="79" t="s">
        <v>217</v>
      </c>
      <c r="D236" s="67">
        <v>0.25</v>
      </c>
      <c r="E236" s="1364"/>
      <c r="F236" s="1364"/>
      <c r="G236" s="105"/>
      <c r="H236" s="1364"/>
      <c r="I236" s="1364"/>
      <c r="J236" s="1362"/>
    </row>
    <row r="237" spans="1:10" ht="18.75" thickTop="1" x14ac:dyDescent="0.25">
      <c r="A237" s="2531" t="s">
        <v>2381</v>
      </c>
      <c r="B237" s="2531"/>
      <c r="C237" s="2531"/>
      <c r="D237" s="2532"/>
      <c r="E237" s="124"/>
      <c r="F237" s="124"/>
      <c r="G237" s="124"/>
      <c r="H237" s="124"/>
      <c r="I237" s="124"/>
      <c r="J237" s="1362"/>
    </row>
    <row r="238" spans="1:10" ht="15" x14ac:dyDescent="0.25">
      <c r="A238" s="68"/>
      <c r="B238" s="68"/>
      <c r="C238" s="68"/>
      <c r="D238" s="125"/>
      <c r="E238" s="125"/>
      <c r="F238" s="125"/>
      <c r="G238" s="125"/>
      <c r="H238" s="125"/>
      <c r="I238" s="125"/>
      <c r="J238" s="1363"/>
    </row>
    <row r="239" spans="1:10" ht="87" customHeight="1" x14ac:dyDescent="0.25">
      <c r="A239" s="2533"/>
      <c r="B239" s="2533"/>
      <c r="C239" s="2533"/>
      <c r="D239" s="2534"/>
      <c r="E239" s="1364"/>
      <c r="F239" s="1364"/>
      <c r="G239" s="1364"/>
      <c r="H239" s="1364"/>
      <c r="I239" s="1364"/>
      <c r="J239" s="1362"/>
    </row>
    <row r="240" spans="1:10" ht="15" x14ac:dyDescent="0.25">
      <c r="A240" s="46" t="s">
        <v>939</v>
      </c>
      <c r="B240" s="45"/>
      <c r="C240" s="45"/>
      <c r="D240" s="47"/>
      <c r="E240" s="47"/>
      <c r="F240" s="47"/>
      <c r="G240" s="47"/>
      <c r="H240" s="47"/>
      <c r="I240" s="47"/>
      <c r="J240" s="1362"/>
    </row>
    <row r="241" spans="1:10" ht="15" x14ac:dyDescent="0.25">
      <c r="A241" s="45"/>
      <c r="B241" s="45"/>
      <c r="C241" s="45"/>
      <c r="D241" s="47"/>
      <c r="E241" s="47"/>
      <c r="F241" s="47"/>
      <c r="G241" s="47"/>
      <c r="H241" s="47"/>
      <c r="I241" s="47"/>
      <c r="J241" s="1362"/>
    </row>
    <row r="242" spans="1:10" ht="87" customHeight="1" x14ac:dyDescent="0.25">
      <c r="A242" s="2533"/>
      <c r="B242" s="2533"/>
      <c r="C242" s="2533"/>
      <c r="D242" s="2534"/>
      <c r="E242" s="1364"/>
      <c r="F242" s="1364"/>
      <c r="G242" s="1364"/>
      <c r="H242" s="1364"/>
      <c r="I242" s="1364"/>
      <c r="J242" s="1362"/>
    </row>
    <row r="243" spans="1:10" ht="87" customHeight="1" x14ac:dyDescent="0.25">
      <c r="A243" s="2533"/>
      <c r="B243" s="2533"/>
      <c r="C243" s="2533"/>
      <c r="D243" s="2534"/>
      <c r="E243" s="1364"/>
      <c r="F243" s="1364"/>
      <c r="G243" s="1364"/>
      <c r="H243" s="1364"/>
      <c r="I243" s="1364"/>
      <c r="J243" s="1362"/>
    </row>
    <row r="244" spans="1:10" ht="87" customHeight="1" x14ac:dyDescent="0.25">
      <c r="A244" s="2533"/>
      <c r="B244" s="2533"/>
      <c r="C244" s="2533"/>
      <c r="D244" s="2534"/>
      <c r="E244" s="1364"/>
      <c r="F244" s="1364"/>
      <c r="G244" s="1364"/>
      <c r="H244" s="47"/>
      <c r="I244" s="75"/>
      <c r="J244" s="1362"/>
    </row>
    <row r="245" spans="1:10" ht="87" customHeight="1" x14ac:dyDescent="0.25">
      <c r="A245" s="2533"/>
      <c r="B245" s="2533"/>
      <c r="C245" s="2533"/>
      <c r="D245" s="2534"/>
      <c r="E245" s="1364"/>
      <c r="F245" s="1364"/>
      <c r="G245" s="1364"/>
      <c r="H245" s="47"/>
      <c r="I245" s="75"/>
      <c r="J245" s="1362"/>
    </row>
    <row r="246" spans="1:10" ht="15" x14ac:dyDescent="0.25">
      <c r="A246" s="1362"/>
      <c r="B246" s="1362"/>
      <c r="C246" s="1362"/>
      <c r="D246" s="1364"/>
      <c r="E246" s="1364"/>
      <c r="F246" s="1364"/>
      <c r="G246" s="1365"/>
      <c r="H246" s="47"/>
      <c r="I246" s="75"/>
      <c r="J246" s="1362"/>
    </row>
    <row r="247" spans="1:10" ht="15" x14ac:dyDescent="0.25">
      <c r="A247" s="46" t="s">
        <v>1397</v>
      </c>
      <c r="B247" s="45"/>
      <c r="C247" s="45"/>
      <c r="D247" s="47"/>
      <c r="E247" s="1364"/>
      <c r="F247" s="1364"/>
      <c r="G247" s="47"/>
      <c r="H247" s="47"/>
      <c r="I247" s="75"/>
      <c r="J247" s="1362"/>
    </row>
    <row r="248" spans="1:10" ht="15.75" thickBot="1" x14ac:dyDescent="0.3">
      <c r="A248" s="46"/>
      <c r="B248" s="45"/>
      <c r="C248" s="45"/>
      <c r="D248" s="47"/>
      <c r="E248" s="1364"/>
      <c r="F248" s="1364"/>
      <c r="G248" s="47"/>
      <c r="H248" s="47"/>
      <c r="I248" s="75"/>
      <c r="J248" s="1362"/>
    </row>
    <row r="249" spans="1:10" ht="16.5" thickTop="1" thickBot="1" x14ac:dyDescent="0.3">
      <c r="A249" s="2530"/>
      <c r="B249" s="2530"/>
      <c r="C249" s="94"/>
      <c r="D249" s="95"/>
      <c r="E249" s="1364"/>
      <c r="F249" s="1364"/>
      <c r="G249" s="101"/>
      <c r="H249" s="47"/>
      <c r="I249" s="75"/>
      <c r="J249" s="1362"/>
    </row>
    <row r="250" spans="1:10" ht="16.5" thickTop="1" thickBot="1" x14ac:dyDescent="0.3">
      <c r="A250" s="2530"/>
      <c r="B250" s="2530"/>
      <c r="C250" s="94"/>
      <c r="D250" s="95"/>
      <c r="E250" s="1364"/>
      <c r="F250" s="1364"/>
      <c r="G250" s="102"/>
      <c r="H250" s="47"/>
      <c r="I250" s="75"/>
      <c r="J250" s="1362"/>
    </row>
    <row r="251" spans="1:10" ht="16.5" thickTop="1" thickBot="1" x14ac:dyDescent="0.3">
      <c r="A251" s="2530"/>
      <c r="B251" s="2530"/>
      <c r="C251" s="94"/>
      <c r="D251" s="95"/>
      <c r="E251" s="1364"/>
      <c r="F251" s="1364"/>
      <c r="G251" s="102"/>
      <c r="H251" s="47"/>
      <c r="I251" s="75"/>
      <c r="J251" s="1362"/>
    </row>
    <row r="252" spans="1:10" ht="16.5" thickTop="1" thickBot="1" x14ac:dyDescent="0.3">
      <c r="A252" s="2530"/>
      <c r="B252" s="2530"/>
      <c r="C252" s="94"/>
      <c r="D252" s="95"/>
      <c r="E252" s="1364"/>
      <c r="F252" s="1364"/>
      <c r="G252" s="102"/>
      <c r="H252" s="47"/>
      <c r="I252" s="75"/>
      <c r="J252" s="1362"/>
    </row>
    <row r="253" spans="1:10" ht="16.5" thickTop="1" thickBot="1" x14ac:dyDescent="0.3">
      <c r="A253" s="2530"/>
      <c r="B253" s="2530"/>
      <c r="C253" s="94"/>
      <c r="D253" s="95"/>
      <c r="E253" s="1364"/>
      <c r="F253" s="1364"/>
      <c r="G253" s="102"/>
      <c r="H253" s="47"/>
      <c r="I253" s="75"/>
      <c r="J253" s="1362"/>
    </row>
    <row r="254" spans="1:10" ht="16.5" thickTop="1" thickBot="1" x14ac:dyDescent="0.3">
      <c r="A254" s="2530"/>
      <c r="B254" s="2530"/>
      <c r="C254" s="94"/>
      <c r="D254" s="95"/>
      <c r="E254" s="1364"/>
      <c r="F254" s="1364"/>
      <c r="G254" s="102"/>
      <c r="H254" s="47"/>
      <c r="I254" s="75"/>
      <c r="J254" s="1362"/>
    </row>
    <row r="255" spans="1:10" ht="16.5" thickTop="1" thickBot="1" x14ac:dyDescent="0.3">
      <c r="A255" s="2530"/>
      <c r="B255" s="2530"/>
      <c r="C255" s="94"/>
      <c r="D255" s="95"/>
      <c r="E255" s="1364"/>
      <c r="F255" s="1364"/>
      <c r="G255" s="102"/>
      <c r="H255" s="47"/>
      <c r="I255" s="75"/>
      <c r="J255" s="1362"/>
    </row>
    <row r="256" spans="1:10" ht="16.5" thickTop="1" thickBot="1" x14ac:dyDescent="0.3">
      <c r="A256" s="2530"/>
      <c r="B256" s="2530"/>
      <c r="C256" s="94"/>
      <c r="D256" s="95"/>
      <c r="E256" s="1364"/>
      <c r="F256" s="1364"/>
      <c r="G256" s="102"/>
      <c r="H256" s="47"/>
      <c r="I256" s="75"/>
      <c r="J256" s="1362"/>
    </row>
    <row r="257" spans="1:10" ht="16.5" thickTop="1" thickBot="1" x14ac:dyDescent="0.3">
      <c r="A257" s="2530"/>
      <c r="B257" s="2530"/>
      <c r="C257" s="94"/>
      <c r="D257" s="95"/>
      <c r="E257" s="1364"/>
      <c r="F257" s="1364"/>
      <c r="G257" s="102"/>
      <c r="H257" s="47"/>
      <c r="I257" s="75"/>
      <c r="J257" s="1362"/>
    </row>
    <row r="258" spans="1:10" ht="16.5" thickTop="1" thickBot="1" x14ac:dyDescent="0.3">
      <c r="A258" s="2530"/>
      <c r="B258" s="2530"/>
      <c r="C258" s="94"/>
      <c r="D258" s="95"/>
      <c r="E258" s="1364"/>
      <c r="F258" s="1364"/>
      <c r="G258" s="102"/>
      <c r="H258" s="47"/>
      <c r="I258" s="75"/>
      <c r="J258" s="1362"/>
    </row>
    <row r="259" spans="1:10" ht="16.5" thickTop="1" thickBot="1" x14ac:dyDescent="0.3">
      <c r="A259" s="2530"/>
      <c r="B259" s="2530"/>
      <c r="C259" s="94"/>
      <c r="D259" s="95"/>
      <c r="E259" s="1364"/>
      <c r="F259" s="1364"/>
      <c r="G259" s="102"/>
      <c r="H259" s="47"/>
      <c r="I259" s="75"/>
      <c r="J259" s="1362"/>
    </row>
    <row r="260" spans="1:10" ht="16.5" thickTop="1" thickBot="1" x14ac:dyDescent="0.3">
      <c r="A260" s="2530"/>
      <c r="B260" s="2530"/>
      <c r="C260" s="94"/>
      <c r="D260" s="95"/>
      <c r="E260" s="1364"/>
      <c r="F260" s="1364"/>
      <c r="G260" s="102"/>
      <c r="H260" s="47"/>
      <c r="I260" s="75"/>
      <c r="J260" s="1362"/>
    </row>
    <row r="261" spans="1:10" ht="16.5" thickTop="1" thickBot="1" x14ac:dyDescent="0.3">
      <c r="A261" s="2530"/>
      <c r="B261" s="2530"/>
      <c r="C261" s="94"/>
      <c r="D261" s="95"/>
      <c r="E261" s="1364"/>
      <c r="F261" s="1364"/>
      <c r="G261" s="102"/>
      <c r="H261" s="47"/>
      <c r="I261" s="75"/>
      <c r="J261" s="1362"/>
    </row>
    <row r="262" spans="1:10" ht="16.5" thickTop="1" thickBot="1" x14ac:dyDescent="0.3">
      <c r="A262" s="2530"/>
      <c r="B262" s="2530"/>
      <c r="C262" s="94"/>
      <c r="D262" s="95"/>
      <c r="E262" s="1364"/>
      <c r="F262" s="1364"/>
      <c r="G262" s="102"/>
      <c r="H262" s="47"/>
      <c r="I262" s="75"/>
      <c r="J262" s="1362"/>
    </row>
    <row r="263" spans="1:10" ht="16.5" thickTop="1" thickBot="1" x14ac:dyDescent="0.3">
      <c r="A263" s="2530"/>
      <c r="B263" s="2530"/>
      <c r="C263" s="94"/>
      <c r="D263" s="95"/>
      <c r="E263" s="1364"/>
      <c r="F263" s="1364"/>
      <c r="G263" s="102"/>
      <c r="H263" s="47"/>
      <c r="I263" s="75"/>
      <c r="J263" s="1362"/>
    </row>
    <row r="264" spans="1:10" ht="16.5" thickTop="1" thickBot="1" x14ac:dyDescent="0.3">
      <c r="A264" s="2530"/>
      <c r="B264" s="2530"/>
      <c r="C264" s="94"/>
      <c r="D264" s="95"/>
      <c r="E264" s="1364"/>
      <c r="F264" s="1364"/>
      <c r="G264" s="102"/>
      <c r="H264" s="47"/>
      <c r="I264" s="75"/>
      <c r="J264" s="1362"/>
    </row>
    <row r="265" spans="1:10" ht="16.5" thickTop="1" thickBot="1" x14ac:dyDescent="0.3">
      <c r="A265" s="2530"/>
      <c r="B265" s="2530"/>
      <c r="C265" s="94"/>
      <c r="D265" s="95"/>
      <c r="E265" s="1364"/>
      <c r="F265" s="1364"/>
      <c r="G265" s="102"/>
      <c r="H265" s="47"/>
      <c r="I265" s="75"/>
      <c r="J265" s="1362"/>
    </row>
    <row r="266" spans="1:10" ht="16.5" thickTop="1" thickBot="1" x14ac:dyDescent="0.3">
      <c r="A266" s="2530"/>
      <c r="B266" s="2530"/>
      <c r="C266" s="94"/>
      <c r="D266" s="95"/>
      <c r="E266" s="1364"/>
      <c r="F266" s="1364"/>
      <c r="G266" s="102"/>
      <c r="H266" s="47"/>
      <c r="I266" s="75"/>
      <c r="J266" s="1362"/>
    </row>
    <row r="267" spans="1:10" ht="16.5" thickTop="1" thickBot="1" x14ac:dyDescent="0.3">
      <c r="A267" s="2530"/>
      <c r="B267" s="2530"/>
      <c r="C267" s="94"/>
      <c r="D267" s="95"/>
      <c r="E267" s="1364"/>
      <c r="F267" s="1364"/>
      <c r="G267" s="102"/>
      <c r="H267" s="47"/>
      <c r="I267" s="75"/>
      <c r="J267" s="1362"/>
    </row>
    <row r="268" spans="1:10" ht="16.5" thickTop="1" thickBot="1" x14ac:dyDescent="0.3">
      <c r="A268" s="2530"/>
      <c r="B268" s="2530"/>
      <c r="C268" s="94"/>
      <c r="D268" s="95"/>
      <c r="E268" s="1364"/>
      <c r="F268" s="1364"/>
      <c r="G268" s="102"/>
      <c r="H268" s="47"/>
      <c r="I268" s="75"/>
      <c r="J268" s="1362"/>
    </row>
    <row r="269" spans="1:10" ht="16.5" thickTop="1" thickBot="1" x14ac:dyDescent="0.3">
      <c r="A269" s="2530"/>
      <c r="B269" s="2530"/>
      <c r="C269" s="94"/>
      <c r="D269" s="95"/>
      <c r="E269" s="1364"/>
      <c r="F269" s="1364"/>
      <c r="G269" s="102"/>
      <c r="H269" s="47"/>
      <c r="I269" s="75"/>
      <c r="J269" s="1362"/>
    </row>
    <row r="270" spans="1:10" ht="16.5" thickTop="1" thickBot="1" x14ac:dyDescent="0.3">
      <c r="A270" s="2530"/>
      <c r="B270" s="2530"/>
      <c r="C270" s="94"/>
      <c r="D270" s="95"/>
      <c r="E270" s="1364"/>
      <c r="F270" s="1364"/>
      <c r="G270" s="102"/>
      <c r="H270" s="47"/>
      <c r="I270" s="75"/>
      <c r="J270" s="1362"/>
    </row>
    <row r="271" spans="1:10" ht="16.5" thickTop="1" thickBot="1" x14ac:dyDescent="0.3">
      <c r="A271" s="2530"/>
      <c r="B271" s="2530"/>
      <c r="C271" s="94"/>
      <c r="D271" s="95"/>
      <c r="E271" s="1364"/>
      <c r="F271" s="1364"/>
      <c r="G271" s="102"/>
      <c r="H271" s="47"/>
      <c r="I271" s="75"/>
      <c r="J271" s="1362"/>
    </row>
    <row r="272" spans="1:10" ht="16.5" thickTop="1" thickBot="1" x14ac:dyDescent="0.3">
      <c r="A272" s="2530"/>
      <c r="B272" s="2530"/>
      <c r="C272" s="94"/>
      <c r="D272" s="95"/>
      <c r="E272" s="1364"/>
      <c r="F272" s="1364"/>
      <c r="G272" s="102"/>
      <c r="H272" s="47"/>
      <c r="I272" s="75"/>
      <c r="J272" s="1362"/>
    </row>
    <row r="273" spans="1:10" ht="16.5" thickTop="1" thickBot="1" x14ac:dyDescent="0.3">
      <c r="A273" s="2530"/>
      <c r="B273" s="2530"/>
      <c r="C273" s="94"/>
      <c r="D273" s="95"/>
      <c r="E273" s="1364"/>
      <c r="F273" s="1364"/>
      <c r="G273" s="102"/>
      <c r="H273" s="47"/>
      <c r="I273" s="75"/>
      <c r="J273" s="1362"/>
    </row>
    <row r="274" spans="1:10" ht="16.5" thickTop="1" thickBot="1" x14ac:dyDescent="0.3">
      <c r="A274" s="2530"/>
      <c r="B274" s="2530"/>
      <c r="C274" s="94"/>
      <c r="D274" s="95"/>
      <c r="E274" s="1364"/>
      <c r="F274" s="1364"/>
      <c r="G274" s="102"/>
      <c r="H274" s="47"/>
      <c r="I274" s="75"/>
      <c r="J274" s="1362"/>
    </row>
    <row r="275" spans="1:10" ht="16.5" thickTop="1" thickBot="1" x14ac:dyDescent="0.3">
      <c r="A275" s="2530"/>
      <c r="B275" s="2530"/>
      <c r="C275" s="94"/>
      <c r="D275" s="95"/>
      <c r="E275" s="1364"/>
      <c r="F275" s="1364"/>
      <c r="G275" s="102"/>
      <c r="H275" s="47"/>
      <c r="I275" s="75"/>
      <c r="J275" s="1362"/>
    </row>
    <row r="276" spans="1:10" ht="16.5" thickTop="1" thickBot="1" x14ac:dyDescent="0.3">
      <c r="A276" s="2530"/>
      <c r="B276" s="2530"/>
      <c r="C276" s="94"/>
      <c r="D276" s="95"/>
      <c r="E276" s="1364"/>
      <c r="F276" s="1364"/>
      <c r="G276" s="102"/>
      <c r="H276" s="47"/>
      <c r="I276" s="75"/>
      <c r="J276" s="1362"/>
    </row>
    <row r="277" spans="1:10" ht="16.5" thickTop="1" thickBot="1" x14ac:dyDescent="0.3">
      <c r="A277" s="2530"/>
      <c r="B277" s="2530"/>
      <c r="C277" s="94"/>
      <c r="D277" s="95"/>
      <c r="E277" s="1364"/>
      <c r="F277" s="1364"/>
      <c r="G277" s="102"/>
      <c r="H277" s="47"/>
      <c r="I277" s="75"/>
      <c r="J277" s="1362"/>
    </row>
    <row r="278" spans="1:10" ht="16.5" thickTop="1" thickBot="1" x14ac:dyDescent="0.3">
      <c r="A278" s="2530"/>
      <c r="B278" s="2530"/>
      <c r="C278" s="94"/>
      <c r="D278" s="95"/>
      <c r="E278" s="1364"/>
      <c r="F278" s="1364"/>
      <c r="G278" s="103"/>
      <c r="H278" s="47"/>
      <c r="I278" s="75"/>
      <c r="J278" s="1362"/>
    </row>
    <row r="279" spans="1:10" ht="15.75" thickTop="1" x14ac:dyDescent="0.25">
      <c r="A279" s="45"/>
      <c r="B279" s="45"/>
      <c r="C279" s="45"/>
      <c r="D279" s="47"/>
      <c r="E279" s="1364"/>
      <c r="F279" s="1364"/>
      <c r="G279" s="104"/>
      <c r="H279" s="47"/>
      <c r="I279" s="75"/>
      <c r="J279" s="1362"/>
    </row>
    <row r="280" spans="1:10" ht="15" x14ac:dyDescent="0.25">
      <c r="A280" s="46" t="s">
        <v>940</v>
      </c>
      <c r="B280" s="45"/>
      <c r="C280" s="45"/>
      <c r="D280" s="47"/>
      <c r="E280" s="1364"/>
      <c r="F280" s="1364"/>
      <c r="G280" s="104"/>
      <c r="H280" s="47"/>
      <c r="I280" s="75"/>
      <c r="J280" s="1362"/>
    </row>
    <row r="281" spans="1:10" ht="15" x14ac:dyDescent="0.25">
      <c r="A281" s="45"/>
      <c r="B281" s="45"/>
      <c r="C281" s="45"/>
      <c r="D281" s="47"/>
      <c r="E281" s="1364"/>
      <c r="F281" s="1364"/>
      <c r="G281" s="104"/>
      <c r="H281" s="47"/>
      <c r="I281" s="75"/>
      <c r="J281" s="1362"/>
    </row>
    <row r="282" spans="1:10" ht="15.75" thickBot="1" x14ac:dyDescent="0.3">
      <c r="A282" s="2550" t="s">
        <v>941</v>
      </c>
      <c r="B282" s="2551"/>
      <c r="C282" s="77" t="s">
        <v>988</v>
      </c>
      <c r="D282" s="65">
        <v>4.4000000000000003E-3</v>
      </c>
      <c r="E282" s="1364"/>
      <c r="F282" s="1364"/>
      <c r="G282" s="105"/>
      <c r="H282" s="1364"/>
      <c r="I282" s="1364"/>
      <c r="J282" s="1362"/>
    </row>
    <row r="283" spans="1:10" ht="16.5" thickTop="1" thickBot="1" x14ac:dyDescent="0.3">
      <c r="A283" s="2550" t="s">
        <v>942</v>
      </c>
      <c r="B283" s="2551"/>
      <c r="C283" s="78" t="s">
        <v>988</v>
      </c>
      <c r="D283" s="66">
        <v>1.2999999999999999E-3</v>
      </c>
      <c r="E283" s="1364"/>
      <c r="F283" s="1364"/>
      <c r="G283" s="105"/>
      <c r="H283" s="1364"/>
      <c r="I283" s="1364"/>
      <c r="J283" s="1362"/>
    </row>
    <row r="284" spans="1:10" ht="16.5" thickTop="1" thickBot="1" x14ac:dyDescent="0.3">
      <c r="A284" s="2550" t="s">
        <v>943</v>
      </c>
      <c r="B284" s="2551"/>
      <c r="C284" s="79" t="s">
        <v>217</v>
      </c>
      <c r="D284" s="67">
        <v>0.25</v>
      </c>
      <c r="E284" s="1364"/>
      <c r="F284" s="1364"/>
      <c r="G284" s="105"/>
      <c r="H284" s="1364"/>
      <c r="I284" s="1364"/>
      <c r="J284" s="1362"/>
    </row>
    <row r="285" spans="1:10" ht="18.75" thickTop="1" x14ac:dyDescent="0.25">
      <c r="A285" s="2531" t="s">
        <v>2382</v>
      </c>
      <c r="B285" s="2531"/>
      <c r="C285" s="2531"/>
      <c r="D285" s="2532"/>
      <c r="E285" s="124"/>
      <c r="F285" s="124"/>
      <c r="G285" s="124"/>
      <c r="H285" s="124"/>
      <c r="I285" s="124"/>
      <c r="J285" s="1362"/>
    </row>
    <row r="286" spans="1:10" ht="15" x14ac:dyDescent="0.25">
      <c r="A286" s="68"/>
      <c r="B286" s="68"/>
      <c r="C286" s="68"/>
      <c r="D286" s="125"/>
      <c r="E286" s="125"/>
      <c r="F286" s="125"/>
      <c r="G286" s="125"/>
      <c r="H286" s="125"/>
      <c r="I286" s="125"/>
      <c r="J286" s="1363"/>
    </row>
    <row r="287" spans="1:10" ht="87" customHeight="1" x14ac:dyDescent="0.25">
      <c r="A287" s="2533"/>
      <c r="B287" s="2533"/>
      <c r="C287" s="2533"/>
      <c r="D287" s="2534"/>
      <c r="E287" s="1364"/>
      <c r="F287" s="1364"/>
      <c r="G287" s="1364"/>
      <c r="H287" s="1364"/>
      <c r="I287" s="1364"/>
      <c r="J287" s="1362"/>
    </row>
    <row r="288" spans="1:10" ht="15" x14ac:dyDescent="0.25">
      <c r="A288" s="46" t="s">
        <v>939</v>
      </c>
      <c r="B288" s="45"/>
      <c r="C288" s="45"/>
      <c r="D288" s="47"/>
      <c r="E288" s="47"/>
      <c r="F288" s="47"/>
      <c r="G288" s="47"/>
      <c r="H288" s="47"/>
      <c r="I288" s="47"/>
      <c r="J288" s="1362"/>
    </row>
    <row r="289" spans="1:10" ht="15" x14ac:dyDescent="0.25">
      <c r="A289" s="45"/>
      <c r="B289" s="45"/>
      <c r="C289" s="45"/>
      <c r="D289" s="47"/>
      <c r="E289" s="47"/>
      <c r="F289" s="47"/>
      <c r="G289" s="47"/>
      <c r="H289" s="47"/>
      <c r="I289" s="47"/>
      <c r="J289" s="1362"/>
    </row>
    <row r="290" spans="1:10" ht="87" customHeight="1" x14ac:dyDescent="0.25">
      <c r="A290" s="2533"/>
      <c r="B290" s="2533"/>
      <c r="C290" s="2533"/>
      <c r="D290" s="2534"/>
      <c r="E290" s="1364"/>
      <c r="F290" s="1364"/>
      <c r="G290" s="1364"/>
      <c r="H290" s="1364"/>
      <c r="I290" s="1364"/>
      <c r="J290" s="1362"/>
    </row>
    <row r="291" spans="1:10" ht="87" customHeight="1" x14ac:dyDescent="0.25">
      <c r="A291" s="2533"/>
      <c r="B291" s="2533"/>
      <c r="C291" s="2533"/>
      <c r="D291" s="2534"/>
      <c r="E291" s="1364"/>
      <c r="F291" s="1364"/>
      <c r="G291" s="1364"/>
      <c r="H291" s="1364"/>
      <c r="I291" s="1364"/>
      <c r="J291" s="1362"/>
    </row>
    <row r="292" spans="1:10" ht="87" customHeight="1" x14ac:dyDescent="0.25">
      <c r="A292" s="2533"/>
      <c r="B292" s="2533"/>
      <c r="C292" s="2533"/>
      <c r="D292" s="2534"/>
      <c r="E292" s="1364"/>
      <c r="F292" s="1364"/>
      <c r="G292" s="1364"/>
      <c r="H292" s="47"/>
      <c r="I292" s="75"/>
      <c r="J292" s="1362"/>
    </row>
    <row r="293" spans="1:10" ht="87" customHeight="1" x14ac:dyDescent="0.25">
      <c r="A293" s="2533"/>
      <c r="B293" s="2533"/>
      <c r="C293" s="2533"/>
      <c r="D293" s="2534"/>
      <c r="E293" s="1364"/>
      <c r="F293" s="1364"/>
      <c r="G293" s="1364"/>
      <c r="H293" s="47"/>
      <c r="I293" s="75"/>
      <c r="J293" s="1362"/>
    </row>
    <row r="294" spans="1:10" ht="15" x14ac:dyDescent="0.25">
      <c r="A294" s="1362"/>
      <c r="B294" s="1362"/>
      <c r="C294" s="1362"/>
      <c r="D294" s="1364"/>
      <c r="E294" s="1364"/>
      <c r="F294" s="1364"/>
      <c r="G294" s="1365"/>
      <c r="H294" s="47"/>
      <c r="I294" s="75"/>
      <c r="J294" s="1362"/>
    </row>
    <row r="295" spans="1:10" ht="15" x14ac:dyDescent="0.25">
      <c r="A295" s="46" t="s">
        <v>1397</v>
      </c>
      <c r="B295" s="45"/>
      <c r="C295" s="45"/>
      <c r="D295" s="47"/>
      <c r="E295" s="1364"/>
      <c r="F295" s="1364"/>
      <c r="G295" s="47"/>
      <c r="H295" s="47"/>
      <c r="I295" s="75"/>
      <c r="J295" s="1362"/>
    </row>
    <row r="296" spans="1:10" ht="15.75" thickBot="1" x14ac:dyDescent="0.3">
      <c r="A296" s="46"/>
      <c r="B296" s="45"/>
      <c r="C296" s="45"/>
      <c r="D296" s="47"/>
      <c r="E296" s="1364"/>
      <c r="F296" s="1364"/>
      <c r="G296" s="47"/>
      <c r="H296" s="47"/>
      <c r="I296" s="75"/>
      <c r="J296" s="1362"/>
    </row>
    <row r="297" spans="1:10" ht="16.5" thickTop="1" thickBot="1" x14ac:dyDescent="0.3">
      <c r="A297" s="2530"/>
      <c r="B297" s="2530"/>
      <c r="C297" s="94"/>
      <c r="D297" s="95"/>
      <c r="E297" s="1364"/>
      <c r="F297" s="1364"/>
      <c r="G297" s="101"/>
      <c r="H297" s="47"/>
      <c r="I297" s="75"/>
      <c r="J297" s="1362"/>
    </row>
    <row r="298" spans="1:10" ht="16.5" thickTop="1" thickBot="1" x14ac:dyDescent="0.3">
      <c r="A298" s="2530"/>
      <c r="B298" s="2530"/>
      <c r="C298" s="94"/>
      <c r="D298" s="95"/>
      <c r="E298" s="1364"/>
      <c r="F298" s="1364"/>
      <c r="G298" s="102"/>
      <c r="H298" s="47"/>
      <c r="I298" s="75"/>
      <c r="J298" s="1362"/>
    </row>
    <row r="299" spans="1:10" ht="16.5" thickTop="1" thickBot="1" x14ac:dyDescent="0.3">
      <c r="A299" s="2530"/>
      <c r="B299" s="2530"/>
      <c r="C299" s="94"/>
      <c r="D299" s="95"/>
      <c r="E299" s="1364"/>
      <c r="F299" s="1364"/>
      <c r="G299" s="102"/>
      <c r="H299" s="47"/>
      <c r="I299" s="75"/>
      <c r="J299" s="1362"/>
    </row>
    <row r="300" spans="1:10" ht="16.5" thickTop="1" thickBot="1" x14ac:dyDescent="0.3">
      <c r="A300" s="2530"/>
      <c r="B300" s="2530"/>
      <c r="C300" s="94"/>
      <c r="D300" s="95"/>
      <c r="E300" s="1364"/>
      <c r="F300" s="1364"/>
      <c r="G300" s="102"/>
      <c r="H300" s="47"/>
      <c r="I300" s="75"/>
      <c r="J300" s="1362"/>
    </row>
    <row r="301" spans="1:10" ht="16.5" thickTop="1" thickBot="1" x14ac:dyDescent="0.3">
      <c r="A301" s="2530"/>
      <c r="B301" s="2530"/>
      <c r="C301" s="94"/>
      <c r="D301" s="95"/>
      <c r="E301" s="1364"/>
      <c r="F301" s="1364"/>
      <c r="G301" s="102"/>
      <c r="H301" s="47"/>
      <c r="I301" s="75"/>
      <c r="J301" s="1362"/>
    </row>
    <row r="302" spans="1:10" ht="16.5" thickTop="1" thickBot="1" x14ac:dyDescent="0.3">
      <c r="A302" s="2530"/>
      <c r="B302" s="2530"/>
      <c r="C302" s="94"/>
      <c r="D302" s="95"/>
      <c r="E302" s="1364"/>
      <c r="F302" s="1364"/>
      <c r="G302" s="102"/>
      <c r="H302" s="47"/>
      <c r="I302" s="75"/>
      <c r="J302" s="1362"/>
    </row>
    <row r="303" spans="1:10" ht="16.5" thickTop="1" thickBot="1" x14ac:dyDescent="0.3">
      <c r="A303" s="2530"/>
      <c r="B303" s="2530"/>
      <c r="C303" s="94"/>
      <c r="D303" s="95"/>
      <c r="E303" s="1364"/>
      <c r="F303" s="1364"/>
      <c r="G303" s="102"/>
      <c r="H303" s="47"/>
      <c r="I303" s="75"/>
      <c r="J303" s="1362"/>
    </row>
    <row r="304" spans="1:10" ht="16.5" thickTop="1" thickBot="1" x14ac:dyDescent="0.3">
      <c r="A304" s="2530"/>
      <c r="B304" s="2530"/>
      <c r="C304" s="94"/>
      <c r="D304" s="95"/>
      <c r="E304" s="1364"/>
      <c r="F304" s="1364"/>
      <c r="G304" s="102"/>
      <c r="H304" s="47"/>
      <c r="I304" s="75"/>
      <c r="J304" s="1362"/>
    </row>
    <row r="305" spans="1:10" ht="16.5" thickTop="1" thickBot="1" x14ac:dyDescent="0.3">
      <c r="A305" s="2530"/>
      <c r="B305" s="2530"/>
      <c r="C305" s="94"/>
      <c r="D305" s="95"/>
      <c r="E305" s="1364"/>
      <c r="F305" s="1364"/>
      <c r="G305" s="102"/>
      <c r="H305" s="47"/>
      <c r="I305" s="75"/>
      <c r="J305" s="1362"/>
    </row>
    <row r="306" spans="1:10" ht="16.5" thickTop="1" thickBot="1" x14ac:dyDescent="0.3">
      <c r="A306" s="2530"/>
      <c r="B306" s="2530"/>
      <c r="C306" s="94"/>
      <c r="D306" s="95"/>
      <c r="E306" s="1364"/>
      <c r="F306" s="1364"/>
      <c r="G306" s="102"/>
      <c r="H306" s="47"/>
      <c r="I306" s="75"/>
      <c r="J306" s="1362"/>
    </row>
    <row r="307" spans="1:10" ht="16.5" thickTop="1" thickBot="1" x14ac:dyDescent="0.3">
      <c r="A307" s="2530"/>
      <c r="B307" s="2530"/>
      <c r="C307" s="94"/>
      <c r="D307" s="95"/>
      <c r="E307" s="1364"/>
      <c r="F307" s="1364"/>
      <c r="G307" s="102"/>
      <c r="H307" s="47"/>
      <c r="I307" s="75"/>
      <c r="J307" s="1362"/>
    </row>
    <row r="308" spans="1:10" ht="16.5" thickTop="1" thickBot="1" x14ac:dyDescent="0.3">
      <c r="A308" s="2530"/>
      <c r="B308" s="2530"/>
      <c r="C308" s="94"/>
      <c r="D308" s="95"/>
      <c r="E308" s="1364"/>
      <c r="F308" s="1364"/>
      <c r="G308" s="102"/>
      <c r="H308" s="47"/>
      <c r="I308" s="75"/>
      <c r="J308" s="1362"/>
    </row>
    <row r="309" spans="1:10" ht="16.5" thickTop="1" thickBot="1" x14ac:dyDescent="0.3">
      <c r="A309" s="2530"/>
      <c r="B309" s="2530"/>
      <c r="C309" s="94"/>
      <c r="D309" s="95"/>
      <c r="E309" s="1364"/>
      <c r="F309" s="1364"/>
      <c r="G309" s="102"/>
      <c r="H309" s="47"/>
      <c r="I309" s="75"/>
      <c r="J309" s="1362"/>
    </row>
    <row r="310" spans="1:10" ht="16.5" thickTop="1" thickBot="1" x14ac:dyDescent="0.3">
      <c r="A310" s="2530"/>
      <c r="B310" s="2530"/>
      <c r="C310" s="94"/>
      <c r="D310" s="95"/>
      <c r="E310" s="1364"/>
      <c r="F310" s="1364"/>
      <c r="G310" s="102"/>
      <c r="H310" s="47"/>
      <c r="I310" s="75"/>
      <c r="J310" s="1362"/>
    </row>
    <row r="311" spans="1:10" ht="16.5" thickTop="1" thickBot="1" x14ac:dyDescent="0.3">
      <c r="A311" s="2530"/>
      <c r="B311" s="2530"/>
      <c r="C311" s="94"/>
      <c r="D311" s="95"/>
      <c r="E311" s="1364"/>
      <c r="F311" s="1364"/>
      <c r="G311" s="102"/>
      <c r="H311" s="47"/>
      <c r="I311" s="75"/>
      <c r="J311" s="1362"/>
    </row>
    <row r="312" spans="1:10" ht="16.5" thickTop="1" thickBot="1" x14ac:dyDescent="0.3">
      <c r="A312" s="2530"/>
      <c r="B312" s="2530"/>
      <c r="C312" s="94"/>
      <c r="D312" s="95"/>
      <c r="E312" s="1364"/>
      <c r="F312" s="1364"/>
      <c r="G312" s="102"/>
      <c r="H312" s="47"/>
      <c r="I312" s="75"/>
      <c r="J312" s="1362"/>
    </row>
    <row r="313" spans="1:10" ht="16.5" thickTop="1" thickBot="1" x14ac:dyDescent="0.3">
      <c r="A313" s="2530"/>
      <c r="B313" s="2530"/>
      <c r="C313" s="94"/>
      <c r="D313" s="95"/>
      <c r="E313" s="1364"/>
      <c r="F313" s="1364"/>
      <c r="G313" s="102"/>
      <c r="H313" s="47"/>
      <c r="I313" s="75"/>
      <c r="J313" s="1362"/>
    </row>
    <row r="314" spans="1:10" ht="16.5" thickTop="1" thickBot="1" x14ac:dyDescent="0.3">
      <c r="A314" s="2530"/>
      <c r="B314" s="2530"/>
      <c r="C314" s="94"/>
      <c r="D314" s="95"/>
      <c r="E314" s="1364"/>
      <c r="F314" s="1364"/>
      <c r="G314" s="102"/>
      <c r="H314" s="47"/>
      <c r="I314" s="75"/>
      <c r="J314" s="1362"/>
    </row>
    <row r="315" spans="1:10" ht="16.5" thickTop="1" thickBot="1" x14ac:dyDescent="0.3">
      <c r="A315" s="2530"/>
      <c r="B315" s="2530"/>
      <c r="C315" s="94"/>
      <c r="D315" s="95"/>
      <c r="E315" s="1364"/>
      <c r="F315" s="1364"/>
      <c r="G315" s="102"/>
      <c r="H315" s="47"/>
      <c r="I315" s="75"/>
      <c r="J315" s="1362"/>
    </row>
    <row r="316" spans="1:10" ht="16.5" thickTop="1" thickBot="1" x14ac:dyDescent="0.3">
      <c r="A316" s="2530"/>
      <c r="B316" s="2530"/>
      <c r="C316" s="94"/>
      <c r="D316" s="95"/>
      <c r="E316" s="1364"/>
      <c r="F316" s="1364"/>
      <c r="G316" s="102"/>
      <c r="H316" s="47"/>
      <c r="I316" s="75"/>
      <c r="J316" s="1362"/>
    </row>
    <row r="317" spans="1:10" ht="16.5" thickTop="1" thickBot="1" x14ac:dyDescent="0.3">
      <c r="A317" s="2530"/>
      <c r="B317" s="2530"/>
      <c r="C317" s="94"/>
      <c r="D317" s="95"/>
      <c r="E317" s="1364"/>
      <c r="F317" s="1364"/>
      <c r="G317" s="102"/>
      <c r="H317" s="47"/>
      <c r="I317" s="75"/>
      <c r="J317" s="1362"/>
    </row>
    <row r="318" spans="1:10" ht="16.5" thickTop="1" thickBot="1" x14ac:dyDescent="0.3">
      <c r="A318" s="2530"/>
      <c r="B318" s="2530"/>
      <c r="C318" s="94"/>
      <c r="D318" s="95"/>
      <c r="E318" s="1364"/>
      <c r="F318" s="1364"/>
      <c r="G318" s="102"/>
      <c r="H318" s="47"/>
      <c r="I318" s="75"/>
      <c r="J318" s="1362"/>
    </row>
    <row r="319" spans="1:10" ht="16.5" thickTop="1" thickBot="1" x14ac:dyDescent="0.3">
      <c r="A319" s="2530"/>
      <c r="B319" s="2530"/>
      <c r="C319" s="94"/>
      <c r="D319" s="95"/>
      <c r="E319" s="1364"/>
      <c r="F319" s="1364"/>
      <c r="G319" s="102"/>
      <c r="H319" s="47"/>
      <c r="I319" s="75"/>
      <c r="J319" s="1362"/>
    </row>
    <row r="320" spans="1:10" ht="16.5" thickTop="1" thickBot="1" x14ac:dyDescent="0.3">
      <c r="A320" s="2530"/>
      <c r="B320" s="2530"/>
      <c r="C320" s="94"/>
      <c r="D320" s="95"/>
      <c r="E320" s="1364"/>
      <c r="F320" s="1364"/>
      <c r="G320" s="102"/>
      <c r="H320" s="47"/>
      <c r="I320" s="75"/>
      <c r="J320" s="1362"/>
    </row>
    <row r="321" spans="1:10" ht="16.5" thickTop="1" thickBot="1" x14ac:dyDescent="0.3">
      <c r="A321" s="2530"/>
      <c r="B321" s="2530"/>
      <c r="C321" s="94"/>
      <c r="D321" s="95"/>
      <c r="E321" s="1364"/>
      <c r="F321" s="1364"/>
      <c r="G321" s="102"/>
      <c r="H321" s="47"/>
      <c r="I321" s="75"/>
      <c r="J321" s="1362"/>
    </row>
    <row r="322" spans="1:10" ht="16.5" thickTop="1" thickBot="1" x14ac:dyDescent="0.3">
      <c r="A322" s="2530"/>
      <c r="B322" s="2530"/>
      <c r="C322" s="94"/>
      <c r="D322" s="95"/>
      <c r="E322" s="1364"/>
      <c r="F322" s="1364"/>
      <c r="G322" s="102"/>
      <c r="H322" s="47"/>
      <c r="I322" s="75"/>
      <c r="J322" s="1362"/>
    </row>
    <row r="323" spans="1:10" ht="16.5" thickTop="1" thickBot="1" x14ac:dyDescent="0.3">
      <c r="A323" s="2530"/>
      <c r="B323" s="2530"/>
      <c r="C323" s="94"/>
      <c r="D323" s="95"/>
      <c r="E323" s="1364"/>
      <c r="F323" s="1364"/>
      <c r="G323" s="102"/>
      <c r="H323" s="47"/>
      <c r="I323" s="75"/>
      <c r="J323" s="1362"/>
    </row>
    <row r="324" spans="1:10" ht="16.5" thickTop="1" thickBot="1" x14ac:dyDescent="0.3">
      <c r="A324" s="2530"/>
      <c r="B324" s="2530"/>
      <c r="C324" s="94"/>
      <c r="D324" s="95"/>
      <c r="E324" s="1364"/>
      <c r="F324" s="1364"/>
      <c r="G324" s="102"/>
      <c r="H324" s="47"/>
      <c r="I324" s="75"/>
      <c r="J324" s="1362"/>
    </row>
    <row r="325" spans="1:10" ht="16.5" thickTop="1" thickBot="1" x14ac:dyDescent="0.3">
      <c r="A325" s="2530"/>
      <c r="B325" s="2530"/>
      <c r="C325" s="94"/>
      <c r="D325" s="95"/>
      <c r="E325" s="1364"/>
      <c r="F325" s="1364"/>
      <c r="G325" s="102"/>
      <c r="H325" s="47"/>
      <c r="I325" s="75"/>
      <c r="J325" s="1362"/>
    </row>
    <row r="326" spans="1:10" ht="16.5" thickTop="1" thickBot="1" x14ac:dyDescent="0.3">
      <c r="A326" s="2530"/>
      <c r="B326" s="2530"/>
      <c r="C326" s="94"/>
      <c r="D326" s="95"/>
      <c r="E326" s="1364"/>
      <c r="F326" s="1364"/>
      <c r="G326" s="103"/>
      <c r="H326" s="47"/>
      <c r="I326" s="75"/>
      <c r="J326" s="1362"/>
    </row>
    <row r="327" spans="1:10" ht="15.75" thickTop="1" x14ac:dyDescent="0.25">
      <c r="A327" s="45"/>
      <c r="B327" s="45"/>
      <c r="C327" s="45"/>
      <c r="D327" s="47"/>
      <c r="E327" s="1364"/>
      <c r="F327" s="1364"/>
      <c r="G327" s="104"/>
      <c r="H327" s="47"/>
      <c r="I327" s="75"/>
      <c r="J327" s="1362"/>
    </row>
    <row r="328" spans="1:10" ht="15" x14ac:dyDescent="0.25">
      <c r="A328" s="46" t="s">
        <v>940</v>
      </c>
      <c r="B328" s="45"/>
      <c r="C328" s="45"/>
      <c r="D328" s="47"/>
      <c r="E328" s="1364"/>
      <c r="F328" s="1364"/>
      <c r="G328" s="104"/>
      <c r="H328" s="47"/>
      <c r="I328" s="75"/>
      <c r="J328" s="1362"/>
    </row>
    <row r="329" spans="1:10" ht="15" x14ac:dyDescent="0.25">
      <c r="A329" s="45"/>
      <c r="B329" s="45"/>
      <c r="C329" s="45"/>
      <c r="D329" s="47"/>
      <c r="E329" s="1364"/>
      <c r="F329" s="1364"/>
      <c r="G329" s="104"/>
      <c r="H329" s="47"/>
      <c r="I329" s="75"/>
      <c r="J329" s="1362"/>
    </row>
    <row r="330" spans="1:10" ht="15.75" thickBot="1" x14ac:dyDescent="0.3">
      <c r="A330" s="2550" t="s">
        <v>941</v>
      </c>
      <c r="B330" s="2551"/>
      <c r="C330" s="77" t="s">
        <v>988</v>
      </c>
      <c r="D330" s="65">
        <v>4.4000000000000003E-3</v>
      </c>
      <c r="E330" s="1364"/>
      <c r="F330" s="1364"/>
      <c r="G330" s="105"/>
      <c r="H330" s="1364"/>
      <c r="I330" s="1364"/>
      <c r="J330" s="1362"/>
    </row>
    <row r="331" spans="1:10" ht="16.5" thickTop="1" thickBot="1" x14ac:dyDescent="0.3">
      <c r="A331" s="2550" t="s">
        <v>942</v>
      </c>
      <c r="B331" s="2551"/>
      <c r="C331" s="78" t="s">
        <v>988</v>
      </c>
      <c r="D331" s="66">
        <v>1.2999999999999999E-3</v>
      </c>
      <c r="E331" s="1364"/>
      <c r="F331" s="1364"/>
      <c r="G331" s="105"/>
      <c r="H331" s="1364"/>
      <c r="I331" s="1364"/>
      <c r="J331" s="1362"/>
    </row>
    <row r="332" spans="1:10" ht="16.5" thickTop="1" thickBot="1" x14ac:dyDescent="0.3">
      <c r="A332" s="2550" t="s">
        <v>943</v>
      </c>
      <c r="B332" s="2551"/>
      <c r="C332" s="79" t="s">
        <v>217</v>
      </c>
      <c r="D332" s="67">
        <v>0.25</v>
      </c>
      <c r="E332" s="1364"/>
      <c r="F332" s="1364"/>
      <c r="G332" s="105"/>
      <c r="H332" s="1364"/>
      <c r="I332" s="1364"/>
      <c r="J332" s="1362"/>
    </row>
    <row r="333" spans="1:10" ht="18.75" thickTop="1" x14ac:dyDescent="0.25">
      <c r="A333" s="2531" t="s">
        <v>2383</v>
      </c>
      <c r="B333" s="2531"/>
      <c r="C333" s="2531"/>
      <c r="D333" s="2532"/>
      <c r="E333" s="124"/>
      <c r="F333" s="124"/>
      <c r="G333" s="124"/>
      <c r="H333" s="124"/>
      <c r="I333" s="124"/>
      <c r="J333" s="1362"/>
    </row>
    <row r="334" spans="1:10" ht="15" x14ac:dyDescent="0.25">
      <c r="A334" s="68"/>
      <c r="B334" s="68"/>
      <c r="C334" s="68"/>
      <c r="D334" s="125"/>
      <c r="E334" s="125"/>
      <c r="F334" s="125"/>
      <c r="G334" s="125"/>
      <c r="H334" s="125"/>
      <c r="I334" s="125"/>
      <c r="J334" s="1363"/>
    </row>
    <row r="335" spans="1:10" ht="87" customHeight="1" x14ac:dyDescent="0.25">
      <c r="A335" s="2533"/>
      <c r="B335" s="2533"/>
      <c r="C335" s="2533"/>
      <c r="D335" s="2534"/>
      <c r="E335" s="1364"/>
      <c r="F335" s="1364"/>
      <c r="G335" s="1364"/>
      <c r="H335" s="1364"/>
      <c r="I335" s="1364"/>
      <c r="J335" s="1362"/>
    </row>
    <row r="336" spans="1:10" ht="15" x14ac:dyDescent="0.25">
      <c r="A336" s="46" t="s">
        <v>939</v>
      </c>
      <c r="B336" s="45"/>
      <c r="C336" s="45"/>
      <c r="D336" s="47"/>
      <c r="E336" s="47"/>
      <c r="F336" s="47"/>
      <c r="G336" s="47"/>
      <c r="H336" s="47"/>
      <c r="I336" s="47"/>
      <c r="J336" s="1362"/>
    </row>
    <row r="337" spans="1:10" ht="15" x14ac:dyDescent="0.25">
      <c r="A337" s="45"/>
      <c r="B337" s="45"/>
      <c r="C337" s="45"/>
      <c r="D337" s="47"/>
      <c r="E337" s="47"/>
      <c r="F337" s="47"/>
      <c r="G337" s="47"/>
      <c r="H337" s="47"/>
      <c r="I337" s="47"/>
      <c r="J337" s="1362"/>
    </row>
    <row r="338" spans="1:10" ht="87" customHeight="1" x14ac:dyDescent="0.25">
      <c r="A338" s="2533"/>
      <c r="B338" s="2533"/>
      <c r="C338" s="2533"/>
      <c r="D338" s="2534"/>
      <c r="E338" s="1364"/>
      <c r="F338" s="1364"/>
      <c r="G338" s="1364"/>
      <c r="H338" s="1364"/>
      <c r="I338" s="1364"/>
      <c r="J338" s="1362"/>
    </row>
    <row r="339" spans="1:10" ht="87" customHeight="1" x14ac:dyDescent="0.25">
      <c r="A339" s="2533"/>
      <c r="B339" s="2533"/>
      <c r="C339" s="2533"/>
      <c r="D339" s="2534"/>
      <c r="E339" s="1364"/>
      <c r="F339" s="1364"/>
      <c r="G339" s="1364"/>
      <c r="H339" s="1364"/>
      <c r="I339" s="1364"/>
      <c r="J339" s="1362"/>
    </row>
    <row r="340" spans="1:10" ht="87" customHeight="1" x14ac:dyDescent="0.25">
      <c r="A340" s="2533"/>
      <c r="B340" s="2533"/>
      <c r="C340" s="2533"/>
      <c r="D340" s="2534"/>
      <c r="E340" s="1364"/>
      <c r="F340" s="1364"/>
      <c r="G340" s="1364"/>
      <c r="H340" s="47"/>
      <c r="I340" s="75"/>
      <c r="J340" s="1362"/>
    </row>
    <row r="341" spans="1:10" ht="87" customHeight="1" x14ac:dyDescent="0.25">
      <c r="A341" s="2533"/>
      <c r="B341" s="2533"/>
      <c r="C341" s="2533"/>
      <c r="D341" s="2534"/>
      <c r="E341" s="1364"/>
      <c r="F341" s="1364"/>
      <c r="G341" s="1364"/>
      <c r="H341" s="47"/>
      <c r="I341" s="75"/>
      <c r="J341" s="1362"/>
    </row>
    <row r="342" spans="1:10" ht="15" x14ac:dyDescent="0.25">
      <c r="A342" s="1362"/>
      <c r="B342" s="1362"/>
      <c r="C342" s="1362"/>
      <c r="D342" s="1364"/>
      <c r="E342" s="1364"/>
      <c r="F342" s="1364"/>
      <c r="G342" s="1365"/>
      <c r="H342" s="47"/>
      <c r="I342" s="75"/>
      <c r="J342" s="1362"/>
    </row>
    <row r="343" spans="1:10" ht="15" x14ac:dyDescent="0.25">
      <c r="A343" s="46" t="s">
        <v>1397</v>
      </c>
      <c r="B343" s="45"/>
      <c r="C343" s="45"/>
      <c r="D343" s="47"/>
      <c r="E343" s="1364"/>
      <c r="F343" s="1364"/>
      <c r="G343" s="47"/>
      <c r="H343" s="47"/>
      <c r="I343" s="75"/>
      <c r="J343" s="1362"/>
    </row>
    <row r="344" spans="1:10" ht="15.75" thickBot="1" x14ac:dyDescent="0.3">
      <c r="A344" s="46"/>
      <c r="B344" s="45"/>
      <c r="C344" s="45"/>
      <c r="D344" s="47"/>
      <c r="E344" s="1364"/>
      <c r="F344" s="1364"/>
      <c r="G344" s="47"/>
      <c r="H344" s="47"/>
      <c r="I344" s="75"/>
      <c r="J344" s="1362"/>
    </row>
    <row r="345" spans="1:10" ht="16.5" thickTop="1" thickBot="1" x14ac:dyDescent="0.3">
      <c r="A345" s="2530"/>
      <c r="B345" s="2530"/>
      <c r="C345" s="94"/>
      <c r="D345" s="95"/>
      <c r="E345" s="1364"/>
      <c r="F345" s="1364"/>
      <c r="G345" s="101"/>
      <c r="H345" s="47"/>
      <c r="I345" s="75"/>
      <c r="J345" s="1362"/>
    </row>
    <row r="346" spans="1:10" ht="16.5" thickTop="1" thickBot="1" x14ac:dyDescent="0.3">
      <c r="A346" s="2530"/>
      <c r="B346" s="2530"/>
      <c r="C346" s="94"/>
      <c r="D346" s="95"/>
      <c r="E346" s="1364"/>
      <c r="F346" s="1364"/>
      <c r="G346" s="102"/>
      <c r="H346" s="47"/>
      <c r="I346" s="75"/>
      <c r="J346" s="1362"/>
    </row>
    <row r="347" spans="1:10" ht="16.5" thickTop="1" thickBot="1" x14ac:dyDescent="0.3">
      <c r="A347" s="2530"/>
      <c r="B347" s="2530"/>
      <c r="C347" s="94"/>
      <c r="D347" s="95"/>
      <c r="E347" s="1364"/>
      <c r="F347" s="1364"/>
      <c r="G347" s="102"/>
      <c r="H347" s="47"/>
      <c r="I347" s="75"/>
      <c r="J347" s="1362"/>
    </row>
    <row r="348" spans="1:10" ht="16.5" thickTop="1" thickBot="1" x14ac:dyDescent="0.3">
      <c r="A348" s="2530"/>
      <c r="B348" s="2530"/>
      <c r="C348" s="94"/>
      <c r="D348" s="95"/>
      <c r="E348" s="1364"/>
      <c r="F348" s="1364"/>
      <c r="G348" s="102"/>
      <c r="H348" s="47"/>
      <c r="I348" s="75"/>
      <c r="J348" s="1362"/>
    </row>
    <row r="349" spans="1:10" ht="16.5" thickTop="1" thickBot="1" x14ac:dyDescent="0.3">
      <c r="A349" s="2530"/>
      <c r="B349" s="2530"/>
      <c r="C349" s="94"/>
      <c r="D349" s="95"/>
      <c r="E349" s="1364"/>
      <c r="F349" s="1364"/>
      <c r="G349" s="102"/>
      <c r="H349" s="47"/>
      <c r="I349" s="75"/>
      <c r="J349" s="1362"/>
    </row>
    <row r="350" spans="1:10" ht="16.5" thickTop="1" thickBot="1" x14ac:dyDescent="0.3">
      <c r="A350" s="2530"/>
      <c r="B350" s="2530"/>
      <c r="C350" s="94"/>
      <c r="D350" s="95"/>
      <c r="E350" s="1364"/>
      <c r="F350" s="1364"/>
      <c r="G350" s="102"/>
      <c r="H350" s="47"/>
      <c r="I350" s="75"/>
      <c r="J350" s="1362"/>
    </row>
    <row r="351" spans="1:10" ht="16.5" thickTop="1" thickBot="1" x14ac:dyDescent="0.3">
      <c r="A351" s="2530"/>
      <c r="B351" s="2530"/>
      <c r="C351" s="94"/>
      <c r="D351" s="95"/>
      <c r="E351" s="1364"/>
      <c r="F351" s="1364"/>
      <c r="G351" s="102"/>
      <c r="H351" s="47"/>
      <c r="I351" s="75"/>
      <c r="J351" s="1362"/>
    </row>
    <row r="352" spans="1:10" ht="16.5" thickTop="1" thickBot="1" x14ac:dyDescent="0.3">
      <c r="A352" s="2530"/>
      <c r="B352" s="2530"/>
      <c r="C352" s="94"/>
      <c r="D352" s="95"/>
      <c r="E352" s="1364"/>
      <c r="F352" s="1364"/>
      <c r="G352" s="102"/>
      <c r="H352" s="47"/>
      <c r="I352" s="75"/>
      <c r="J352" s="1362"/>
    </row>
    <row r="353" spans="1:10" ht="16.5" thickTop="1" thickBot="1" x14ac:dyDescent="0.3">
      <c r="A353" s="2530"/>
      <c r="B353" s="2530"/>
      <c r="C353" s="94"/>
      <c r="D353" s="95"/>
      <c r="E353" s="1364"/>
      <c r="F353" s="1364"/>
      <c r="G353" s="102"/>
      <c r="H353" s="47"/>
      <c r="I353" s="75"/>
      <c r="J353" s="1362"/>
    </row>
    <row r="354" spans="1:10" ht="16.5" thickTop="1" thickBot="1" x14ac:dyDescent="0.3">
      <c r="A354" s="2530"/>
      <c r="B354" s="2530"/>
      <c r="C354" s="94"/>
      <c r="D354" s="95"/>
      <c r="E354" s="1364"/>
      <c r="F354" s="1364"/>
      <c r="G354" s="102"/>
      <c r="H354" s="47"/>
      <c r="I354" s="75"/>
      <c r="J354" s="1362"/>
    </row>
    <row r="355" spans="1:10" ht="16.5" thickTop="1" thickBot="1" x14ac:dyDescent="0.3">
      <c r="A355" s="2530"/>
      <c r="B355" s="2530"/>
      <c r="C355" s="94"/>
      <c r="D355" s="95"/>
      <c r="E355" s="1364"/>
      <c r="F355" s="1364"/>
      <c r="G355" s="102"/>
      <c r="H355" s="47"/>
      <c r="I355" s="75"/>
      <c r="J355" s="1362"/>
    </row>
    <row r="356" spans="1:10" ht="16.5" thickTop="1" thickBot="1" x14ac:dyDescent="0.3">
      <c r="A356" s="2530"/>
      <c r="B356" s="2530"/>
      <c r="C356" s="94"/>
      <c r="D356" s="95"/>
      <c r="E356" s="1364"/>
      <c r="F356" s="1364"/>
      <c r="G356" s="102"/>
      <c r="H356" s="47"/>
      <c r="I356" s="75"/>
      <c r="J356" s="1362"/>
    </row>
    <row r="357" spans="1:10" ht="16.5" thickTop="1" thickBot="1" x14ac:dyDescent="0.3">
      <c r="A357" s="2530"/>
      <c r="B357" s="2530"/>
      <c r="C357" s="94"/>
      <c r="D357" s="95"/>
      <c r="E357" s="1364"/>
      <c r="F357" s="1364"/>
      <c r="G357" s="102"/>
      <c r="H357" s="47"/>
      <c r="I357" s="75"/>
      <c r="J357" s="1362"/>
    </row>
    <row r="358" spans="1:10" ht="16.5" thickTop="1" thickBot="1" x14ac:dyDescent="0.3">
      <c r="A358" s="2530"/>
      <c r="B358" s="2530"/>
      <c r="C358" s="94"/>
      <c r="D358" s="95"/>
      <c r="E358" s="1364"/>
      <c r="F358" s="1364"/>
      <c r="G358" s="102"/>
      <c r="H358" s="47"/>
      <c r="I358" s="75"/>
      <c r="J358" s="1362"/>
    </row>
    <row r="359" spans="1:10" ht="16.5" thickTop="1" thickBot="1" x14ac:dyDescent="0.3">
      <c r="A359" s="2530"/>
      <c r="B359" s="2530"/>
      <c r="C359" s="94"/>
      <c r="D359" s="95"/>
      <c r="E359" s="1364"/>
      <c r="F359" s="1364"/>
      <c r="G359" s="102"/>
      <c r="H359" s="47"/>
      <c r="I359" s="75"/>
      <c r="J359" s="1362"/>
    </row>
    <row r="360" spans="1:10" ht="16.5" thickTop="1" thickBot="1" x14ac:dyDescent="0.3">
      <c r="A360" s="2530"/>
      <c r="B360" s="2530"/>
      <c r="C360" s="94"/>
      <c r="D360" s="95"/>
      <c r="E360" s="1364"/>
      <c r="F360" s="1364"/>
      <c r="G360" s="102"/>
      <c r="H360" s="47"/>
      <c r="I360" s="75"/>
      <c r="J360" s="1362"/>
    </row>
    <row r="361" spans="1:10" ht="16.5" thickTop="1" thickBot="1" x14ac:dyDescent="0.3">
      <c r="A361" s="2530"/>
      <c r="B361" s="2530"/>
      <c r="C361" s="94"/>
      <c r="D361" s="95"/>
      <c r="E361" s="1364"/>
      <c r="F361" s="1364"/>
      <c r="G361" s="102"/>
      <c r="H361" s="47"/>
      <c r="I361" s="75"/>
      <c r="J361" s="1362"/>
    </row>
    <row r="362" spans="1:10" ht="16.5" thickTop="1" thickBot="1" x14ac:dyDescent="0.3">
      <c r="A362" s="2530"/>
      <c r="B362" s="2530"/>
      <c r="C362" s="94"/>
      <c r="D362" s="95"/>
      <c r="E362" s="1364"/>
      <c r="F362" s="1364"/>
      <c r="G362" s="102"/>
      <c r="H362" s="47"/>
      <c r="I362" s="75"/>
      <c r="J362" s="1362"/>
    </row>
    <row r="363" spans="1:10" ht="16.5" thickTop="1" thickBot="1" x14ac:dyDescent="0.3">
      <c r="A363" s="2530"/>
      <c r="B363" s="2530"/>
      <c r="C363" s="94"/>
      <c r="D363" s="95"/>
      <c r="E363" s="1364"/>
      <c r="F363" s="1364"/>
      <c r="G363" s="102"/>
      <c r="H363" s="47"/>
      <c r="I363" s="75"/>
      <c r="J363" s="1362"/>
    </row>
    <row r="364" spans="1:10" ht="16.5" thickTop="1" thickBot="1" x14ac:dyDescent="0.3">
      <c r="A364" s="2530"/>
      <c r="B364" s="2530"/>
      <c r="C364" s="94"/>
      <c r="D364" s="95"/>
      <c r="E364" s="1364"/>
      <c r="F364" s="1364"/>
      <c r="G364" s="102"/>
      <c r="H364" s="47"/>
      <c r="I364" s="75"/>
      <c r="J364" s="1362"/>
    </row>
    <row r="365" spans="1:10" ht="16.5" thickTop="1" thickBot="1" x14ac:dyDescent="0.3">
      <c r="A365" s="2530"/>
      <c r="B365" s="2530"/>
      <c r="C365" s="94"/>
      <c r="D365" s="95"/>
      <c r="E365" s="1364"/>
      <c r="F365" s="1364"/>
      <c r="G365" s="102"/>
      <c r="H365" s="47"/>
      <c r="I365" s="75"/>
      <c r="J365" s="1362"/>
    </row>
    <row r="366" spans="1:10" ht="16.5" thickTop="1" thickBot="1" x14ac:dyDescent="0.3">
      <c r="A366" s="2530"/>
      <c r="B366" s="2530"/>
      <c r="C366" s="94"/>
      <c r="D366" s="95"/>
      <c r="E366" s="1364"/>
      <c r="F366" s="1364"/>
      <c r="G366" s="102"/>
      <c r="H366" s="47"/>
      <c r="I366" s="75"/>
      <c r="J366" s="1362"/>
    </row>
    <row r="367" spans="1:10" ht="16.5" thickTop="1" thickBot="1" x14ac:dyDescent="0.3">
      <c r="A367" s="2530"/>
      <c r="B367" s="2530"/>
      <c r="C367" s="94"/>
      <c r="D367" s="95"/>
      <c r="E367" s="1364"/>
      <c r="F367" s="1364"/>
      <c r="G367" s="102"/>
      <c r="H367" s="47"/>
      <c r="I367" s="75"/>
      <c r="J367" s="1362"/>
    </row>
    <row r="368" spans="1:10" ht="16.5" thickTop="1" thickBot="1" x14ac:dyDescent="0.3">
      <c r="A368" s="2530"/>
      <c r="B368" s="2530"/>
      <c r="C368" s="94"/>
      <c r="D368" s="95"/>
      <c r="E368" s="1364"/>
      <c r="F368" s="1364"/>
      <c r="G368" s="102"/>
      <c r="H368" s="47"/>
      <c r="I368" s="75"/>
      <c r="J368" s="1362"/>
    </row>
    <row r="369" spans="1:10" ht="16.5" thickTop="1" thickBot="1" x14ac:dyDescent="0.3">
      <c r="A369" s="2530"/>
      <c r="B369" s="2530"/>
      <c r="C369" s="94"/>
      <c r="D369" s="95"/>
      <c r="E369" s="1364"/>
      <c r="F369" s="1364"/>
      <c r="G369" s="102"/>
      <c r="H369" s="47"/>
      <c r="I369" s="75"/>
      <c r="J369" s="1362"/>
    </row>
    <row r="370" spans="1:10" ht="16.5" thickTop="1" thickBot="1" x14ac:dyDescent="0.3">
      <c r="A370" s="2530"/>
      <c r="B370" s="2530"/>
      <c r="C370" s="94"/>
      <c r="D370" s="95"/>
      <c r="E370" s="1364"/>
      <c r="F370" s="1364"/>
      <c r="G370" s="102"/>
      <c r="H370" s="47"/>
      <c r="I370" s="75"/>
      <c r="J370" s="1362"/>
    </row>
    <row r="371" spans="1:10" ht="16.5" thickTop="1" thickBot="1" x14ac:dyDescent="0.3">
      <c r="A371" s="2530"/>
      <c r="B371" s="2530"/>
      <c r="C371" s="94"/>
      <c r="D371" s="95"/>
      <c r="E371" s="1364"/>
      <c r="F371" s="1364"/>
      <c r="G371" s="102"/>
      <c r="H371" s="47"/>
      <c r="I371" s="75"/>
      <c r="J371" s="1362"/>
    </row>
    <row r="372" spans="1:10" ht="16.5" thickTop="1" thickBot="1" x14ac:dyDescent="0.3">
      <c r="A372" s="2530"/>
      <c r="B372" s="2530"/>
      <c r="C372" s="94"/>
      <c r="D372" s="95"/>
      <c r="E372" s="1364"/>
      <c r="F372" s="1364"/>
      <c r="G372" s="102"/>
      <c r="H372" s="47"/>
      <c r="I372" s="75"/>
      <c r="J372" s="1362"/>
    </row>
    <row r="373" spans="1:10" ht="16.5" thickTop="1" thickBot="1" x14ac:dyDescent="0.3">
      <c r="A373" s="2530"/>
      <c r="B373" s="2530"/>
      <c r="C373" s="94"/>
      <c r="D373" s="95"/>
      <c r="E373" s="1364"/>
      <c r="F373" s="1364"/>
      <c r="G373" s="102"/>
      <c r="H373" s="47"/>
      <c r="I373" s="75"/>
      <c r="J373" s="1362"/>
    </row>
    <row r="374" spans="1:10" ht="16.5" thickTop="1" thickBot="1" x14ac:dyDescent="0.3">
      <c r="A374" s="2530"/>
      <c r="B374" s="2530"/>
      <c r="C374" s="94"/>
      <c r="D374" s="95"/>
      <c r="E374" s="1364"/>
      <c r="F374" s="1364"/>
      <c r="G374" s="103"/>
      <c r="H374" s="47"/>
      <c r="I374" s="75"/>
      <c r="J374" s="1362"/>
    </row>
    <row r="375" spans="1:10" ht="15.75" thickTop="1" x14ac:dyDescent="0.25">
      <c r="A375" s="45"/>
      <c r="B375" s="45"/>
      <c r="C375" s="45"/>
      <c r="D375" s="47"/>
      <c r="E375" s="1364"/>
      <c r="F375" s="1364"/>
      <c r="G375" s="104"/>
      <c r="H375" s="47"/>
      <c r="I375" s="75"/>
      <c r="J375" s="1362"/>
    </row>
    <row r="376" spans="1:10" ht="15" x14ac:dyDescent="0.25">
      <c r="A376" s="46" t="s">
        <v>940</v>
      </c>
      <c r="B376" s="45"/>
      <c r="C376" s="45"/>
      <c r="D376" s="47"/>
      <c r="E376" s="1364"/>
      <c r="F376" s="1364"/>
      <c r="G376" s="104"/>
      <c r="H376" s="47"/>
      <c r="I376" s="75"/>
      <c r="J376" s="1362"/>
    </row>
    <row r="377" spans="1:10" ht="15" x14ac:dyDescent="0.25">
      <c r="A377" s="45"/>
      <c r="B377" s="45"/>
      <c r="C377" s="45"/>
      <c r="D377" s="47"/>
      <c r="E377" s="1364"/>
      <c r="F377" s="1364"/>
      <c r="G377" s="104"/>
      <c r="H377" s="47"/>
      <c r="I377" s="75"/>
      <c r="J377" s="1362"/>
    </row>
    <row r="378" spans="1:10" ht="15.75" thickBot="1" x14ac:dyDescent="0.3">
      <c r="A378" s="2550" t="s">
        <v>941</v>
      </c>
      <c r="B378" s="2551"/>
      <c r="C378" s="77" t="s">
        <v>988</v>
      </c>
      <c r="D378" s="65">
        <v>4.4000000000000003E-3</v>
      </c>
      <c r="E378" s="1364"/>
      <c r="F378" s="1364"/>
      <c r="G378" s="105"/>
      <c r="H378" s="1364"/>
      <c r="I378" s="1364"/>
      <c r="J378" s="1362"/>
    </row>
    <row r="379" spans="1:10" ht="16.5" thickTop="1" thickBot="1" x14ac:dyDescent="0.3">
      <c r="A379" s="2550" t="s">
        <v>942</v>
      </c>
      <c r="B379" s="2551"/>
      <c r="C379" s="78" t="s">
        <v>988</v>
      </c>
      <c r="D379" s="66">
        <v>1.2999999999999999E-3</v>
      </c>
      <c r="E379" s="1364"/>
      <c r="F379" s="1364"/>
      <c r="G379" s="105"/>
      <c r="H379" s="1364"/>
      <c r="I379" s="1364"/>
      <c r="J379" s="1362"/>
    </row>
    <row r="380" spans="1:10" ht="16.5" thickTop="1" thickBot="1" x14ac:dyDescent="0.3">
      <c r="A380" s="2550" t="s">
        <v>943</v>
      </c>
      <c r="B380" s="2551"/>
      <c r="C380" s="79" t="s">
        <v>217</v>
      </c>
      <c r="D380" s="67">
        <v>0.25</v>
      </c>
      <c r="E380" s="1364"/>
      <c r="F380" s="1364"/>
      <c r="G380" s="105"/>
      <c r="H380" s="1364"/>
      <c r="I380" s="1364"/>
      <c r="J380" s="1362"/>
    </row>
    <row r="381" spans="1:10" ht="18.75" thickTop="1" x14ac:dyDescent="0.25">
      <c r="A381" s="2531" t="s">
        <v>2384</v>
      </c>
      <c r="B381" s="2531"/>
      <c r="C381" s="2531"/>
      <c r="D381" s="2532"/>
      <c r="E381" s="124"/>
      <c r="F381" s="124"/>
      <c r="G381" s="124"/>
      <c r="H381" s="124"/>
      <c r="I381" s="124"/>
      <c r="J381" s="1362"/>
    </row>
    <row r="382" spans="1:10" ht="15" x14ac:dyDescent="0.25">
      <c r="A382" s="68"/>
      <c r="B382" s="68"/>
      <c r="C382" s="68"/>
      <c r="D382" s="125"/>
      <c r="E382" s="125"/>
      <c r="F382" s="125"/>
      <c r="G382" s="125"/>
      <c r="H382" s="125"/>
      <c r="I382" s="125"/>
      <c r="J382" s="1363"/>
    </row>
    <row r="383" spans="1:10" ht="87" customHeight="1" x14ac:dyDescent="0.25">
      <c r="A383" s="2533"/>
      <c r="B383" s="2533"/>
      <c r="C383" s="2533"/>
      <c r="D383" s="2534"/>
      <c r="E383" s="1364"/>
      <c r="F383" s="1364"/>
      <c r="G383" s="1364"/>
      <c r="H383" s="1364"/>
      <c r="I383" s="1364"/>
      <c r="J383" s="1362"/>
    </row>
    <row r="384" spans="1:10" ht="15" x14ac:dyDescent="0.25">
      <c r="A384" s="46" t="s">
        <v>939</v>
      </c>
      <c r="B384" s="45"/>
      <c r="C384" s="45"/>
      <c r="D384" s="47"/>
      <c r="E384" s="47"/>
      <c r="F384" s="47"/>
      <c r="G384" s="47"/>
      <c r="H384" s="47"/>
      <c r="I384" s="47"/>
      <c r="J384" s="1362"/>
    </row>
    <row r="385" spans="1:10" ht="15" x14ac:dyDescent="0.25">
      <c r="A385" s="45"/>
      <c r="B385" s="45"/>
      <c r="C385" s="45"/>
      <c r="D385" s="47"/>
      <c r="E385" s="47"/>
      <c r="F385" s="47"/>
      <c r="G385" s="47"/>
      <c r="H385" s="47"/>
      <c r="I385" s="47"/>
      <c r="J385" s="1362"/>
    </row>
    <row r="386" spans="1:10" ht="87" customHeight="1" x14ac:dyDescent="0.25">
      <c r="A386" s="2533"/>
      <c r="B386" s="2533"/>
      <c r="C386" s="2533"/>
      <c r="D386" s="2534"/>
      <c r="E386" s="1364"/>
      <c r="F386" s="1364"/>
      <c r="G386" s="1364"/>
      <c r="H386" s="1364"/>
      <c r="I386" s="1364"/>
      <c r="J386" s="1362"/>
    </row>
    <row r="387" spans="1:10" ht="87" customHeight="1" x14ac:dyDescent="0.25">
      <c r="A387" s="2533"/>
      <c r="B387" s="2533"/>
      <c r="C387" s="2533"/>
      <c r="D387" s="2534"/>
      <c r="E387" s="1364"/>
      <c r="F387" s="1364"/>
      <c r="G387" s="1364"/>
      <c r="H387" s="1364"/>
      <c r="I387" s="1364"/>
      <c r="J387" s="1362"/>
    </row>
    <row r="388" spans="1:10" ht="87" customHeight="1" x14ac:dyDescent="0.25">
      <c r="A388" s="2533"/>
      <c r="B388" s="2533"/>
      <c r="C388" s="2533"/>
      <c r="D388" s="2534"/>
      <c r="E388" s="1364"/>
      <c r="F388" s="1364"/>
      <c r="G388" s="1364"/>
      <c r="H388" s="47"/>
      <c r="I388" s="75"/>
      <c r="J388" s="1362"/>
    </row>
    <row r="389" spans="1:10" ht="87" customHeight="1" x14ac:dyDescent="0.25">
      <c r="A389" s="2533"/>
      <c r="B389" s="2533"/>
      <c r="C389" s="2533"/>
      <c r="D389" s="2534"/>
      <c r="E389" s="1364"/>
      <c r="F389" s="1364"/>
      <c r="G389" s="1364"/>
      <c r="H389" s="47"/>
      <c r="I389" s="75"/>
      <c r="J389" s="1362"/>
    </row>
    <row r="390" spans="1:10" ht="15" x14ac:dyDescent="0.25">
      <c r="A390" s="1362"/>
      <c r="B390" s="1362"/>
      <c r="C390" s="1362"/>
      <c r="D390" s="1364"/>
      <c r="E390" s="1364"/>
      <c r="F390" s="1364"/>
      <c r="G390" s="1365"/>
      <c r="H390" s="47"/>
      <c r="I390" s="75"/>
      <c r="J390" s="1362"/>
    </row>
    <row r="391" spans="1:10" ht="15" x14ac:dyDescent="0.25">
      <c r="A391" s="46" t="s">
        <v>1397</v>
      </c>
      <c r="B391" s="45"/>
      <c r="C391" s="45"/>
      <c r="D391" s="47"/>
      <c r="E391" s="1364"/>
      <c r="F391" s="1364"/>
      <c r="G391" s="47"/>
      <c r="H391" s="47"/>
      <c r="I391" s="75"/>
      <c r="J391" s="1362"/>
    </row>
    <row r="392" spans="1:10" ht="15.75" thickBot="1" x14ac:dyDescent="0.3">
      <c r="A392" s="46"/>
      <c r="B392" s="45"/>
      <c r="C392" s="45"/>
      <c r="D392" s="47"/>
      <c r="E392" s="1364"/>
      <c r="F392" s="1364"/>
      <c r="G392" s="47"/>
      <c r="H392" s="47"/>
      <c r="I392" s="75"/>
      <c r="J392" s="1362"/>
    </row>
    <row r="393" spans="1:10" ht="16.5" thickTop="1" thickBot="1" x14ac:dyDescent="0.3">
      <c r="A393" s="2530"/>
      <c r="B393" s="2530"/>
      <c r="C393" s="94"/>
      <c r="D393" s="95"/>
      <c r="E393" s="1364"/>
      <c r="F393" s="1364"/>
      <c r="G393" s="101"/>
      <c r="H393" s="47"/>
      <c r="I393" s="75"/>
      <c r="J393" s="1362"/>
    </row>
    <row r="394" spans="1:10" ht="16.5" thickTop="1" thickBot="1" x14ac:dyDescent="0.3">
      <c r="A394" s="2530"/>
      <c r="B394" s="2530"/>
      <c r="C394" s="94"/>
      <c r="D394" s="95"/>
      <c r="E394" s="1364"/>
      <c r="F394" s="1364"/>
      <c r="G394" s="102"/>
      <c r="H394" s="47"/>
      <c r="I394" s="75"/>
      <c r="J394" s="1362"/>
    </row>
    <row r="395" spans="1:10" ht="16.5" thickTop="1" thickBot="1" x14ac:dyDescent="0.3">
      <c r="A395" s="2530"/>
      <c r="B395" s="2530"/>
      <c r="C395" s="94"/>
      <c r="D395" s="95"/>
      <c r="E395" s="1364"/>
      <c r="F395" s="1364"/>
      <c r="G395" s="102"/>
      <c r="H395" s="47"/>
      <c r="I395" s="75"/>
      <c r="J395" s="1362"/>
    </row>
    <row r="396" spans="1:10" ht="16.5" thickTop="1" thickBot="1" x14ac:dyDescent="0.3">
      <c r="A396" s="2530"/>
      <c r="B396" s="2530"/>
      <c r="C396" s="94"/>
      <c r="D396" s="95"/>
      <c r="E396" s="1364"/>
      <c r="F396" s="1364"/>
      <c r="G396" s="102"/>
      <c r="H396" s="47"/>
      <c r="I396" s="75"/>
      <c r="J396" s="1362"/>
    </row>
    <row r="397" spans="1:10" ht="16.5" thickTop="1" thickBot="1" x14ac:dyDescent="0.3">
      <c r="A397" s="2530"/>
      <c r="B397" s="2530"/>
      <c r="C397" s="94"/>
      <c r="D397" s="95"/>
      <c r="E397" s="1364"/>
      <c r="F397" s="1364"/>
      <c r="G397" s="102"/>
      <c r="H397" s="47"/>
      <c r="I397" s="75"/>
      <c r="J397" s="1362"/>
    </row>
    <row r="398" spans="1:10" ht="16.5" thickTop="1" thickBot="1" x14ac:dyDescent="0.3">
      <c r="A398" s="2530"/>
      <c r="B398" s="2530"/>
      <c r="C398" s="94"/>
      <c r="D398" s="95"/>
      <c r="E398" s="1364"/>
      <c r="F398" s="1364"/>
      <c r="G398" s="102"/>
      <c r="H398" s="47"/>
      <c r="I398" s="75"/>
      <c r="J398" s="1362"/>
    </row>
    <row r="399" spans="1:10" ht="16.5" thickTop="1" thickBot="1" x14ac:dyDescent="0.3">
      <c r="A399" s="2530"/>
      <c r="B399" s="2530"/>
      <c r="C399" s="94"/>
      <c r="D399" s="95"/>
      <c r="E399" s="1364"/>
      <c r="F399" s="1364"/>
      <c r="G399" s="102"/>
      <c r="H399" s="47"/>
      <c r="I399" s="75"/>
      <c r="J399" s="1362"/>
    </row>
    <row r="400" spans="1:10" ht="16.5" thickTop="1" thickBot="1" x14ac:dyDescent="0.3">
      <c r="A400" s="2530"/>
      <c r="B400" s="2530"/>
      <c r="C400" s="94"/>
      <c r="D400" s="95"/>
      <c r="E400" s="1364"/>
      <c r="F400" s="1364"/>
      <c r="G400" s="102"/>
      <c r="H400" s="47"/>
      <c r="I400" s="75"/>
      <c r="J400" s="1362"/>
    </row>
    <row r="401" spans="1:10" ht="16.5" thickTop="1" thickBot="1" x14ac:dyDescent="0.3">
      <c r="A401" s="2530"/>
      <c r="B401" s="2530"/>
      <c r="C401" s="94"/>
      <c r="D401" s="95"/>
      <c r="E401" s="1364"/>
      <c r="F401" s="1364"/>
      <c r="G401" s="102"/>
      <c r="H401" s="47"/>
      <c r="I401" s="75"/>
      <c r="J401" s="1362"/>
    </row>
    <row r="402" spans="1:10" ht="16.5" thickTop="1" thickBot="1" x14ac:dyDescent="0.3">
      <c r="A402" s="2530"/>
      <c r="B402" s="2530"/>
      <c r="C402" s="94"/>
      <c r="D402" s="95"/>
      <c r="E402" s="1364"/>
      <c r="F402" s="1364"/>
      <c r="G402" s="102"/>
      <c r="H402" s="47"/>
      <c r="I402" s="75"/>
      <c r="J402" s="1362"/>
    </row>
    <row r="403" spans="1:10" ht="16.5" thickTop="1" thickBot="1" x14ac:dyDescent="0.3">
      <c r="A403" s="2530"/>
      <c r="B403" s="2530"/>
      <c r="C403" s="94"/>
      <c r="D403" s="95"/>
      <c r="E403" s="1364"/>
      <c r="F403" s="1364"/>
      <c r="G403" s="102"/>
      <c r="H403" s="47"/>
      <c r="I403" s="75"/>
      <c r="J403" s="1362"/>
    </row>
    <row r="404" spans="1:10" ht="16.5" thickTop="1" thickBot="1" x14ac:dyDescent="0.3">
      <c r="A404" s="2530"/>
      <c r="B404" s="2530"/>
      <c r="C404" s="94"/>
      <c r="D404" s="95"/>
      <c r="E404" s="1364"/>
      <c r="F404" s="1364"/>
      <c r="G404" s="102"/>
      <c r="H404" s="47"/>
      <c r="I404" s="75"/>
      <c r="J404" s="1362"/>
    </row>
    <row r="405" spans="1:10" ht="16.5" thickTop="1" thickBot="1" x14ac:dyDescent="0.3">
      <c r="A405" s="2530"/>
      <c r="B405" s="2530"/>
      <c r="C405" s="94"/>
      <c r="D405" s="95"/>
      <c r="E405" s="1364"/>
      <c r="F405" s="1364"/>
      <c r="G405" s="102"/>
      <c r="H405" s="47"/>
      <c r="I405" s="75"/>
      <c r="J405" s="1362"/>
    </row>
    <row r="406" spans="1:10" ht="16.5" thickTop="1" thickBot="1" x14ac:dyDescent="0.3">
      <c r="A406" s="2530"/>
      <c r="B406" s="2530"/>
      <c r="C406" s="94"/>
      <c r="D406" s="95"/>
      <c r="E406" s="1364"/>
      <c r="F406" s="1364"/>
      <c r="G406" s="102"/>
      <c r="H406" s="47"/>
      <c r="I406" s="75"/>
      <c r="J406" s="1362"/>
    </row>
    <row r="407" spans="1:10" ht="16.5" thickTop="1" thickBot="1" x14ac:dyDescent="0.3">
      <c r="A407" s="2530"/>
      <c r="B407" s="2530"/>
      <c r="C407" s="94"/>
      <c r="D407" s="95"/>
      <c r="E407" s="1364"/>
      <c r="F407" s="1364"/>
      <c r="G407" s="102"/>
      <c r="H407" s="47"/>
      <c r="I407" s="75"/>
      <c r="J407" s="1362"/>
    </row>
    <row r="408" spans="1:10" ht="16.5" thickTop="1" thickBot="1" x14ac:dyDescent="0.3">
      <c r="A408" s="2530"/>
      <c r="B408" s="2530"/>
      <c r="C408" s="94"/>
      <c r="D408" s="95"/>
      <c r="E408" s="1364"/>
      <c r="F408" s="1364"/>
      <c r="G408" s="102"/>
      <c r="H408" s="47"/>
      <c r="I408" s="75"/>
      <c r="J408" s="1362"/>
    </row>
    <row r="409" spans="1:10" ht="16.5" thickTop="1" thickBot="1" x14ac:dyDescent="0.3">
      <c r="A409" s="2530"/>
      <c r="B409" s="2530"/>
      <c r="C409" s="94"/>
      <c r="D409" s="95"/>
      <c r="E409" s="1364"/>
      <c r="F409" s="1364"/>
      <c r="G409" s="102"/>
      <c r="H409" s="47"/>
      <c r="I409" s="75"/>
      <c r="J409" s="1362"/>
    </row>
    <row r="410" spans="1:10" ht="16.5" thickTop="1" thickBot="1" x14ac:dyDescent="0.3">
      <c r="A410" s="2530"/>
      <c r="B410" s="2530"/>
      <c r="C410" s="94"/>
      <c r="D410" s="95"/>
      <c r="E410" s="1364"/>
      <c r="F410" s="1364"/>
      <c r="G410" s="102"/>
      <c r="H410" s="47"/>
      <c r="I410" s="75"/>
      <c r="J410" s="1362"/>
    </row>
    <row r="411" spans="1:10" ht="16.5" thickTop="1" thickBot="1" x14ac:dyDescent="0.3">
      <c r="A411" s="2530"/>
      <c r="B411" s="2530"/>
      <c r="C411" s="94"/>
      <c r="D411" s="95"/>
      <c r="E411" s="1364"/>
      <c r="F411" s="1364"/>
      <c r="G411" s="102"/>
      <c r="H411" s="47"/>
      <c r="I411" s="75"/>
      <c r="J411" s="1362"/>
    </row>
    <row r="412" spans="1:10" ht="16.5" thickTop="1" thickBot="1" x14ac:dyDescent="0.3">
      <c r="A412" s="2530"/>
      <c r="B412" s="2530"/>
      <c r="C412" s="94"/>
      <c r="D412" s="95"/>
      <c r="E412" s="1364"/>
      <c r="F412" s="1364"/>
      <c r="G412" s="102"/>
      <c r="H412" s="47"/>
      <c r="I412" s="75"/>
      <c r="J412" s="1362"/>
    </row>
    <row r="413" spans="1:10" ht="16.5" thickTop="1" thickBot="1" x14ac:dyDescent="0.3">
      <c r="A413" s="2530"/>
      <c r="B413" s="2530"/>
      <c r="C413" s="94"/>
      <c r="D413" s="95"/>
      <c r="E413" s="1364"/>
      <c r="F413" s="1364"/>
      <c r="G413" s="102"/>
      <c r="H413" s="47"/>
      <c r="I413" s="75"/>
      <c r="J413" s="1362"/>
    </row>
    <row r="414" spans="1:10" ht="16.5" thickTop="1" thickBot="1" x14ac:dyDescent="0.3">
      <c r="A414" s="2530"/>
      <c r="B414" s="2530"/>
      <c r="C414" s="94"/>
      <c r="D414" s="95"/>
      <c r="E414" s="1364"/>
      <c r="F414" s="1364"/>
      <c r="G414" s="102"/>
      <c r="H414" s="47"/>
      <c r="I414" s="75"/>
      <c r="J414" s="1362"/>
    </row>
    <row r="415" spans="1:10" ht="16.5" thickTop="1" thickBot="1" x14ac:dyDescent="0.3">
      <c r="A415" s="2530"/>
      <c r="B415" s="2530"/>
      <c r="C415" s="94"/>
      <c r="D415" s="95"/>
      <c r="E415" s="1364"/>
      <c r="F415" s="1364"/>
      <c r="G415" s="102"/>
      <c r="H415" s="47"/>
      <c r="I415" s="75"/>
      <c r="J415" s="1362"/>
    </row>
    <row r="416" spans="1:10" ht="16.5" thickTop="1" thickBot="1" x14ac:dyDescent="0.3">
      <c r="A416" s="2530"/>
      <c r="B416" s="2530"/>
      <c r="C416" s="94"/>
      <c r="D416" s="95"/>
      <c r="E416" s="1364"/>
      <c r="F416" s="1364"/>
      <c r="G416" s="102"/>
      <c r="H416" s="47"/>
      <c r="I416" s="75"/>
      <c r="J416" s="1362"/>
    </row>
    <row r="417" spans="1:10" ht="16.5" thickTop="1" thickBot="1" x14ac:dyDescent="0.3">
      <c r="A417" s="2530"/>
      <c r="B417" s="2530"/>
      <c r="C417" s="94"/>
      <c r="D417" s="95"/>
      <c r="E417" s="1364"/>
      <c r="F417" s="1364"/>
      <c r="G417" s="102"/>
      <c r="H417" s="47"/>
      <c r="I417" s="75"/>
      <c r="J417" s="1362"/>
    </row>
    <row r="418" spans="1:10" ht="16.5" thickTop="1" thickBot="1" x14ac:dyDescent="0.3">
      <c r="A418" s="2530"/>
      <c r="B418" s="2530"/>
      <c r="C418" s="94"/>
      <c r="D418" s="95"/>
      <c r="E418" s="1364"/>
      <c r="F418" s="1364"/>
      <c r="G418" s="102"/>
      <c r="H418" s="47"/>
      <c r="I418" s="75"/>
      <c r="J418" s="1362"/>
    </row>
    <row r="419" spans="1:10" ht="16.5" thickTop="1" thickBot="1" x14ac:dyDescent="0.3">
      <c r="A419" s="2530"/>
      <c r="B419" s="2530"/>
      <c r="C419" s="94"/>
      <c r="D419" s="95"/>
      <c r="E419" s="1364"/>
      <c r="F419" s="1364"/>
      <c r="G419" s="102"/>
      <c r="H419" s="47"/>
      <c r="I419" s="75"/>
      <c r="J419" s="1362"/>
    </row>
    <row r="420" spans="1:10" ht="16.5" thickTop="1" thickBot="1" x14ac:dyDescent="0.3">
      <c r="A420" s="2530"/>
      <c r="B420" s="2530"/>
      <c r="C420" s="94"/>
      <c r="D420" s="95"/>
      <c r="E420" s="1364"/>
      <c r="F420" s="1364"/>
      <c r="G420" s="102"/>
      <c r="H420" s="47"/>
      <c r="I420" s="75"/>
      <c r="J420" s="1362"/>
    </row>
    <row r="421" spans="1:10" ht="16.5" thickTop="1" thickBot="1" x14ac:dyDescent="0.3">
      <c r="A421" s="2530"/>
      <c r="B421" s="2530"/>
      <c r="C421" s="94"/>
      <c r="D421" s="95"/>
      <c r="E421" s="1364"/>
      <c r="F421" s="1364"/>
      <c r="G421" s="102"/>
      <c r="H421" s="47"/>
      <c r="I421" s="75"/>
      <c r="J421" s="1362"/>
    </row>
    <row r="422" spans="1:10" ht="16.5" thickTop="1" thickBot="1" x14ac:dyDescent="0.3">
      <c r="A422" s="2530"/>
      <c r="B422" s="2530"/>
      <c r="C422" s="94"/>
      <c r="D422" s="95"/>
      <c r="E422" s="1364"/>
      <c r="F422" s="1364"/>
      <c r="G422" s="103"/>
      <c r="H422" s="47"/>
      <c r="I422" s="75"/>
      <c r="J422" s="1362"/>
    </row>
    <row r="423" spans="1:10" ht="15.75" thickTop="1" x14ac:dyDescent="0.25">
      <c r="A423" s="45"/>
      <c r="B423" s="45"/>
      <c r="C423" s="45"/>
      <c r="D423" s="47"/>
      <c r="E423" s="1364"/>
      <c r="F423" s="1364"/>
      <c r="G423" s="104"/>
      <c r="H423" s="47"/>
      <c r="I423" s="75"/>
      <c r="J423" s="1362"/>
    </row>
    <row r="424" spans="1:10" ht="15" x14ac:dyDescent="0.25">
      <c r="A424" s="46" t="s">
        <v>940</v>
      </c>
      <c r="B424" s="45"/>
      <c r="C424" s="45"/>
      <c r="D424" s="47"/>
      <c r="E424" s="1364"/>
      <c r="F424" s="1364"/>
      <c r="G424" s="104"/>
      <c r="H424" s="47"/>
      <c r="I424" s="75"/>
      <c r="J424" s="1362"/>
    </row>
    <row r="425" spans="1:10" ht="15" x14ac:dyDescent="0.25">
      <c r="A425" s="45"/>
      <c r="B425" s="45"/>
      <c r="C425" s="45"/>
      <c r="D425" s="47"/>
      <c r="E425" s="1364"/>
      <c r="F425" s="1364"/>
      <c r="G425" s="104"/>
      <c r="H425" s="47"/>
      <c r="I425" s="75"/>
      <c r="J425" s="1362"/>
    </row>
    <row r="426" spans="1:10" ht="15.75" thickBot="1" x14ac:dyDescent="0.3">
      <c r="A426" s="2550" t="s">
        <v>941</v>
      </c>
      <c r="B426" s="2551"/>
      <c r="C426" s="77" t="s">
        <v>988</v>
      </c>
      <c r="D426" s="65">
        <v>4.4000000000000003E-3</v>
      </c>
      <c r="E426" s="1364"/>
      <c r="F426" s="1364"/>
      <c r="G426" s="105"/>
      <c r="H426" s="1364"/>
      <c r="I426" s="1364"/>
      <c r="J426" s="1362"/>
    </row>
    <row r="427" spans="1:10" ht="16.5" thickTop="1" thickBot="1" x14ac:dyDescent="0.3">
      <c r="A427" s="2550" t="s">
        <v>942</v>
      </c>
      <c r="B427" s="2551"/>
      <c r="C427" s="78" t="s">
        <v>988</v>
      </c>
      <c r="D427" s="66">
        <v>1.2999999999999999E-3</v>
      </c>
      <c r="E427" s="1364"/>
      <c r="F427" s="1364"/>
      <c r="G427" s="105"/>
      <c r="H427" s="1364"/>
      <c r="I427" s="1364"/>
      <c r="J427" s="1362"/>
    </row>
    <row r="428" spans="1:10" ht="16.5" thickTop="1" thickBot="1" x14ac:dyDescent="0.3">
      <c r="A428" s="2550" t="s">
        <v>943</v>
      </c>
      <c r="B428" s="2551"/>
      <c r="C428" s="79" t="s">
        <v>217</v>
      </c>
      <c r="D428" s="67">
        <v>0.25</v>
      </c>
      <c r="E428" s="1364"/>
      <c r="F428" s="1364"/>
      <c r="G428" s="105"/>
      <c r="H428" s="1364"/>
      <c r="I428" s="1364"/>
      <c r="J428" s="1362"/>
    </row>
    <row r="429" spans="1:10" ht="18.75" thickTop="1" x14ac:dyDescent="0.25">
      <c r="A429" s="2531" t="s">
        <v>2385</v>
      </c>
      <c r="B429" s="2531"/>
      <c r="C429" s="2531"/>
      <c r="D429" s="2532"/>
      <c r="E429" s="124"/>
      <c r="F429" s="124"/>
      <c r="G429" s="124"/>
      <c r="H429" s="124"/>
      <c r="I429" s="124"/>
      <c r="J429" s="1362"/>
    </row>
    <row r="430" spans="1:10" ht="15" x14ac:dyDescent="0.25">
      <c r="A430" s="68"/>
      <c r="B430" s="68"/>
      <c r="C430" s="68"/>
      <c r="D430" s="125"/>
      <c r="E430" s="125"/>
      <c r="F430" s="125"/>
      <c r="G430" s="125"/>
      <c r="H430" s="125"/>
      <c r="I430" s="125"/>
      <c r="J430" s="1363"/>
    </row>
    <row r="431" spans="1:10" ht="87" customHeight="1" x14ac:dyDescent="0.25">
      <c r="A431" s="2533"/>
      <c r="B431" s="2533"/>
      <c r="C431" s="2533"/>
      <c r="D431" s="2534"/>
      <c r="E431" s="1364"/>
      <c r="F431" s="1364"/>
      <c r="G431" s="1364"/>
      <c r="H431" s="1364"/>
      <c r="I431" s="1364"/>
      <c r="J431" s="1362"/>
    </row>
    <row r="432" spans="1:10" ht="15" x14ac:dyDescent="0.25">
      <c r="A432" s="46" t="s">
        <v>939</v>
      </c>
      <c r="B432" s="45"/>
      <c r="C432" s="45"/>
      <c r="D432" s="47"/>
      <c r="E432" s="47"/>
      <c r="F432" s="47"/>
      <c r="G432" s="47"/>
      <c r="H432" s="47"/>
      <c r="I432" s="47"/>
      <c r="J432" s="1362"/>
    </row>
    <row r="433" spans="1:10" ht="15" x14ac:dyDescent="0.25">
      <c r="A433" s="45"/>
      <c r="B433" s="45"/>
      <c r="C433" s="45"/>
      <c r="D433" s="47"/>
      <c r="E433" s="47"/>
      <c r="F433" s="47"/>
      <c r="G433" s="47"/>
      <c r="H433" s="47"/>
      <c r="I433" s="47"/>
      <c r="J433" s="1362"/>
    </row>
    <row r="434" spans="1:10" ht="87" customHeight="1" x14ac:dyDescent="0.25">
      <c r="A434" s="2533"/>
      <c r="B434" s="2533"/>
      <c r="C434" s="2533"/>
      <c r="D434" s="2534"/>
      <c r="E434" s="1364"/>
      <c r="F434" s="1364"/>
      <c r="G434" s="1364"/>
      <c r="H434" s="1364"/>
      <c r="I434" s="1364"/>
      <c r="J434" s="1362"/>
    </row>
    <row r="435" spans="1:10" ht="87" customHeight="1" x14ac:dyDescent="0.25">
      <c r="A435" s="2533"/>
      <c r="B435" s="2533"/>
      <c r="C435" s="2533"/>
      <c r="D435" s="2534"/>
      <c r="E435" s="1364"/>
      <c r="F435" s="1364"/>
      <c r="G435" s="1364"/>
      <c r="H435" s="1364"/>
      <c r="I435" s="1364"/>
      <c r="J435" s="1362"/>
    </row>
    <row r="436" spans="1:10" ht="87" customHeight="1" x14ac:dyDescent="0.25">
      <c r="A436" s="2533"/>
      <c r="B436" s="2533"/>
      <c r="C436" s="2533"/>
      <c r="D436" s="2534"/>
      <c r="E436" s="1364"/>
      <c r="F436" s="1364"/>
      <c r="G436" s="1364"/>
      <c r="H436" s="47"/>
      <c r="I436" s="75"/>
      <c r="J436" s="1362"/>
    </row>
    <row r="437" spans="1:10" ht="87" customHeight="1" x14ac:dyDescent="0.25">
      <c r="A437" s="2533"/>
      <c r="B437" s="2533"/>
      <c r="C437" s="2533"/>
      <c r="D437" s="2534"/>
      <c r="E437" s="1364"/>
      <c r="F437" s="1364"/>
      <c r="G437" s="1364"/>
      <c r="H437" s="47"/>
      <c r="I437" s="75"/>
      <c r="J437" s="1362"/>
    </row>
    <row r="438" spans="1:10" ht="15" x14ac:dyDescent="0.25">
      <c r="A438" s="1362"/>
      <c r="B438" s="1362"/>
      <c r="C438" s="1362"/>
      <c r="D438" s="1364"/>
      <c r="E438" s="1364"/>
      <c r="F438" s="1364"/>
      <c r="G438" s="1365"/>
      <c r="H438" s="47"/>
      <c r="I438" s="75"/>
      <c r="J438" s="1362"/>
    </row>
    <row r="439" spans="1:10" ht="15" x14ac:dyDescent="0.25">
      <c r="A439" s="46" t="s">
        <v>1397</v>
      </c>
      <c r="B439" s="45"/>
      <c r="C439" s="45"/>
      <c r="D439" s="47"/>
      <c r="E439" s="1364"/>
      <c r="F439" s="1364"/>
      <c r="G439" s="47"/>
      <c r="H439" s="47"/>
      <c r="I439" s="75"/>
      <c r="J439" s="1362"/>
    </row>
    <row r="440" spans="1:10" ht="15.75" thickBot="1" x14ac:dyDescent="0.3">
      <c r="A440" s="46"/>
      <c r="B440" s="45"/>
      <c r="C440" s="45"/>
      <c r="D440" s="47"/>
      <c r="E440" s="1364"/>
      <c r="F440" s="1364"/>
      <c r="G440" s="47"/>
      <c r="H440" s="47"/>
      <c r="I440" s="75"/>
      <c r="J440" s="1362"/>
    </row>
    <row r="441" spans="1:10" ht="16.5" thickTop="1" thickBot="1" x14ac:dyDescent="0.3">
      <c r="A441" s="2530"/>
      <c r="B441" s="2530"/>
      <c r="C441" s="94"/>
      <c r="D441" s="95"/>
      <c r="E441" s="1364"/>
      <c r="F441" s="1364"/>
      <c r="G441" s="101"/>
      <c r="H441" s="47"/>
      <c r="I441" s="75"/>
      <c r="J441" s="1362"/>
    </row>
    <row r="442" spans="1:10" ht="16.5" thickTop="1" thickBot="1" x14ac:dyDescent="0.3">
      <c r="A442" s="2530"/>
      <c r="B442" s="2530"/>
      <c r="C442" s="94"/>
      <c r="D442" s="95"/>
      <c r="E442" s="1364"/>
      <c r="F442" s="1364"/>
      <c r="G442" s="102"/>
      <c r="H442" s="47"/>
      <c r="I442" s="75"/>
      <c r="J442" s="1362"/>
    </row>
    <row r="443" spans="1:10" ht="16.5" thickTop="1" thickBot="1" x14ac:dyDescent="0.3">
      <c r="A443" s="2530"/>
      <c r="B443" s="2530"/>
      <c r="C443" s="94"/>
      <c r="D443" s="95"/>
      <c r="E443" s="1364"/>
      <c r="F443" s="1364"/>
      <c r="G443" s="102"/>
      <c r="H443" s="47"/>
      <c r="I443" s="75"/>
      <c r="J443" s="1362"/>
    </row>
    <row r="444" spans="1:10" ht="16.5" thickTop="1" thickBot="1" x14ac:dyDescent="0.3">
      <c r="A444" s="2530"/>
      <c r="B444" s="2530"/>
      <c r="C444" s="94"/>
      <c r="D444" s="95"/>
      <c r="E444" s="1364"/>
      <c r="F444" s="1364"/>
      <c r="G444" s="102"/>
      <c r="H444" s="47"/>
      <c r="I444" s="75"/>
      <c r="J444" s="1362"/>
    </row>
    <row r="445" spans="1:10" ht="16.5" thickTop="1" thickBot="1" x14ac:dyDescent="0.3">
      <c r="A445" s="2530"/>
      <c r="B445" s="2530"/>
      <c r="C445" s="94"/>
      <c r="D445" s="95"/>
      <c r="E445" s="1364"/>
      <c r="F445" s="1364"/>
      <c r="G445" s="102"/>
      <c r="H445" s="47"/>
      <c r="I445" s="75"/>
      <c r="J445" s="1362"/>
    </row>
    <row r="446" spans="1:10" ht="16.5" thickTop="1" thickBot="1" x14ac:dyDescent="0.3">
      <c r="A446" s="2530"/>
      <c r="B446" s="2530"/>
      <c r="C446" s="94"/>
      <c r="D446" s="95"/>
      <c r="E446" s="1364"/>
      <c r="F446" s="1364"/>
      <c r="G446" s="102"/>
      <c r="H446" s="47"/>
      <c r="I446" s="75"/>
      <c r="J446" s="1362"/>
    </row>
    <row r="447" spans="1:10" ht="16.5" thickTop="1" thickBot="1" x14ac:dyDescent="0.3">
      <c r="A447" s="2530"/>
      <c r="B447" s="2530"/>
      <c r="C447" s="94"/>
      <c r="D447" s="95"/>
      <c r="E447" s="1364"/>
      <c r="F447" s="1364"/>
      <c r="G447" s="102"/>
      <c r="H447" s="47"/>
      <c r="I447" s="75"/>
      <c r="J447" s="1362"/>
    </row>
    <row r="448" spans="1:10" ht="16.5" thickTop="1" thickBot="1" x14ac:dyDescent="0.3">
      <c r="A448" s="2530"/>
      <c r="B448" s="2530"/>
      <c r="C448" s="94"/>
      <c r="D448" s="95"/>
      <c r="E448" s="1364"/>
      <c r="F448" s="1364"/>
      <c r="G448" s="102"/>
      <c r="H448" s="47"/>
      <c r="I448" s="75"/>
      <c r="J448" s="1362"/>
    </row>
    <row r="449" spans="1:10" ht="16.5" thickTop="1" thickBot="1" x14ac:dyDescent="0.3">
      <c r="A449" s="2530"/>
      <c r="B449" s="2530"/>
      <c r="C449" s="94"/>
      <c r="D449" s="95"/>
      <c r="E449" s="1364"/>
      <c r="F449" s="1364"/>
      <c r="G449" s="102"/>
      <c r="H449" s="47"/>
      <c r="I449" s="75"/>
      <c r="J449" s="1362"/>
    </row>
    <row r="450" spans="1:10" ht="16.5" thickTop="1" thickBot="1" x14ac:dyDescent="0.3">
      <c r="A450" s="2530"/>
      <c r="B450" s="2530"/>
      <c r="C450" s="94"/>
      <c r="D450" s="95"/>
      <c r="E450" s="1364"/>
      <c r="F450" s="1364"/>
      <c r="G450" s="102"/>
      <c r="H450" s="47"/>
      <c r="I450" s="75"/>
      <c r="J450" s="1362"/>
    </row>
    <row r="451" spans="1:10" ht="16.5" thickTop="1" thickBot="1" x14ac:dyDescent="0.3">
      <c r="A451" s="2530"/>
      <c r="B451" s="2530"/>
      <c r="C451" s="94"/>
      <c r="D451" s="95"/>
      <c r="E451" s="1364"/>
      <c r="F451" s="1364"/>
      <c r="G451" s="102"/>
      <c r="H451" s="47"/>
      <c r="I451" s="75"/>
      <c r="J451" s="1362"/>
    </row>
    <row r="452" spans="1:10" ht="16.5" thickTop="1" thickBot="1" x14ac:dyDescent="0.3">
      <c r="A452" s="2530"/>
      <c r="B452" s="2530"/>
      <c r="C452" s="94"/>
      <c r="D452" s="95"/>
      <c r="E452" s="1364"/>
      <c r="F452" s="1364"/>
      <c r="G452" s="102"/>
      <c r="H452" s="47"/>
      <c r="I452" s="75"/>
      <c r="J452" s="1362"/>
    </row>
    <row r="453" spans="1:10" ht="16.5" thickTop="1" thickBot="1" x14ac:dyDescent="0.3">
      <c r="A453" s="2530"/>
      <c r="B453" s="2530"/>
      <c r="C453" s="94"/>
      <c r="D453" s="95"/>
      <c r="E453" s="1364"/>
      <c r="F453" s="1364"/>
      <c r="G453" s="102"/>
      <c r="H453" s="47"/>
      <c r="I453" s="75"/>
      <c r="J453" s="1362"/>
    </row>
    <row r="454" spans="1:10" ht="16.5" thickTop="1" thickBot="1" x14ac:dyDescent="0.3">
      <c r="A454" s="2530"/>
      <c r="B454" s="2530"/>
      <c r="C454" s="94"/>
      <c r="D454" s="95"/>
      <c r="E454" s="1364"/>
      <c r="F454" s="1364"/>
      <c r="G454" s="102"/>
      <c r="H454" s="47"/>
      <c r="I454" s="75"/>
      <c r="J454" s="1362"/>
    </row>
    <row r="455" spans="1:10" ht="16.5" thickTop="1" thickBot="1" x14ac:dyDescent="0.3">
      <c r="A455" s="2530"/>
      <c r="B455" s="2530"/>
      <c r="C455" s="94"/>
      <c r="D455" s="95"/>
      <c r="E455" s="1364"/>
      <c r="F455" s="1364"/>
      <c r="G455" s="102"/>
      <c r="H455" s="47"/>
      <c r="I455" s="75"/>
      <c r="J455" s="1362"/>
    </row>
    <row r="456" spans="1:10" ht="16.5" thickTop="1" thickBot="1" x14ac:dyDescent="0.3">
      <c r="A456" s="2530"/>
      <c r="B456" s="2530"/>
      <c r="C456" s="94"/>
      <c r="D456" s="95"/>
      <c r="E456" s="1364"/>
      <c r="F456" s="1364"/>
      <c r="G456" s="102"/>
      <c r="H456" s="47"/>
      <c r="I456" s="75"/>
      <c r="J456" s="1362"/>
    </row>
    <row r="457" spans="1:10" ht="16.5" thickTop="1" thickBot="1" x14ac:dyDescent="0.3">
      <c r="A457" s="2530"/>
      <c r="B457" s="2530"/>
      <c r="C457" s="94"/>
      <c r="D457" s="95"/>
      <c r="E457" s="1364"/>
      <c r="F457" s="1364"/>
      <c r="G457" s="102"/>
      <c r="H457" s="47"/>
      <c r="I457" s="75"/>
      <c r="J457" s="1362"/>
    </row>
    <row r="458" spans="1:10" ht="16.5" thickTop="1" thickBot="1" x14ac:dyDescent="0.3">
      <c r="A458" s="2530"/>
      <c r="B458" s="2530"/>
      <c r="C458" s="94"/>
      <c r="D458" s="95"/>
      <c r="E458" s="1364"/>
      <c r="F458" s="1364"/>
      <c r="G458" s="102"/>
      <c r="H458" s="47"/>
      <c r="I458" s="75"/>
      <c r="J458" s="1362"/>
    </row>
    <row r="459" spans="1:10" ht="16.5" thickTop="1" thickBot="1" x14ac:dyDescent="0.3">
      <c r="A459" s="2530"/>
      <c r="B459" s="2530"/>
      <c r="C459" s="94"/>
      <c r="D459" s="95"/>
      <c r="E459" s="1364"/>
      <c r="F459" s="1364"/>
      <c r="G459" s="102"/>
      <c r="H459" s="47"/>
      <c r="I459" s="75"/>
      <c r="J459" s="1362"/>
    </row>
    <row r="460" spans="1:10" ht="16.5" thickTop="1" thickBot="1" x14ac:dyDescent="0.3">
      <c r="A460" s="2530"/>
      <c r="B460" s="2530"/>
      <c r="C460" s="94"/>
      <c r="D460" s="95"/>
      <c r="E460" s="1364"/>
      <c r="F460" s="1364"/>
      <c r="G460" s="102"/>
      <c r="H460" s="47"/>
      <c r="I460" s="75"/>
      <c r="J460" s="1362"/>
    </row>
    <row r="461" spans="1:10" ht="16.5" thickTop="1" thickBot="1" x14ac:dyDescent="0.3">
      <c r="A461" s="2530"/>
      <c r="B461" s="2530"/>
      <c r="C461" s="94"/>
      <c r="D461" s="95"/>
      <c r="E461" s="1364"/>
      <c r="F461" s="1364"/>
      <c r="G461" s="102"/>
      <c r="H461" s="47"/>
      <c r="I461" s="75"/>
      <c r="J461" s="1362"/>
    </row>
    <row r="462" spans="1:10" ht="16.5" thickTop="1" thickBot="1" x14ac:dyDescent="0.3">
      <c r="A462" s="2530"/>
      <c r="B462" s="2530"/>
      <c r="C462" s="94"/>
      <c r="D462" s="95"/>
      <c r="E462" s="1364"/>
      <c r="F462" s="1364"/>
      <c r="G462" s="102"/>
      <c r="H462" s="47"/>
      <c r="I462" s="75"/>
      <c r="J462" s="1362"/>
    </row>
    <row r="463" spans="1:10" ht="16.5" thickTop="1" thickBot="1" x14ac:dyDescent="0.3">
      <c r="A463" s="2530"/>
      <c r="B463" s="2530"/>
      <c r="C463" s="94"/>
      <c r="D463" s="95"/>
      <c r="E463" s="1364"/>
      <c r="F463" s="1364"/>
      <c r="G463" s="102"/>
      <c r="H463" s="47"/>
      <c r="I463" s="75"/>
      <c r="J463" s="1362"/>
    </row>
    <row r="464" spans="1:10" ht="16.5" thickTop="1" thickBot="1" x14ac:dyDescent="0.3">
      <c r="A464" s="2530"/>
      <c r="B464" s="2530"/>
      <c r="C464" s="94"/>
      <c r="D464" s="95"/>
      <c r="E464" s="1364"/>
      <c r="F464" s="1364"/>
      <c r="G464" s="102"/>
      <c r="H464" s="47"/>
      <c r="I464" s="75"/>
      <c r="J464" s="1362"/>
    </row>
    <row r="465" spans="1:10" ht="16.5" thickTop="1" thickBot="1" x14ac:dyDescent="0.3">
      <c r="A465" s="2530"/>
      <c r="B465" s="2530"/>
      <c r="C465" s="94"/>
      <c r="D465" s="95"/>
      <c r="E465" s="1364"/>
      <c r="F465" s="1364"/>
      <c r="G465" s="102"/>
      <c r="H465" s="47"/>
      <c r="I465" s="75"/>
      <c r="J465" s="1362"/>
    </row>
    <row r="466" spans="1:10" ht="16.5" thickTop="1" thickBot="1" x14ac:dyDescent="0.3">
      <c r="A466" s="2530"/>
      <c r="B466" s="2530"/>
      <c r="C466" s="94"/>
      <c r="D466" s="95"/>
      <c r="E466" s="1364"/>
      <c r="F466" s="1364"/>
      <c r="G466" s="102"/>
      <c r="H466" s="47"/>
      <c r="I466" s="75"/>
      <c r="J466" s="1362"/>
    </row>
    <row r="467" spans="1:10" ht="16.5" thickTop="1" thickBot="1" x14ac:dyDescent="0.3">
      <c r="A467" s="2530"/>
      <c r="B467" s="2530"/>
      <c r="C467" s="94"/>
      <c r="D467" s="95"/>
      <c r="E467" s="1364"/>
      <c r="F467" s="1364"/>
      <c r="G467" s="102"/>
      <c r="H467" s="47"/>
      <c r="I467" s="75"/>
      <c r="J467" s="1362"/>
    </row>
    <row r="468" spans="1:10" ht="16.5" thickTop="1" thickBot="1" x14ac:dyDescent="0.3">
      <c r="A468" s="2530"/>
      <c r="B468" s="2530"/>
      <c r="C468" s="94"/>
      <c r="D468" s="95"/>
      <c r="E468" s="1364"/>
      <c r="F468" s="1364"/>
      <c r="G468" s="102"/>
      <c r="H468" s="47"/>
      <c r="I468" s="75"/>
      <c r="J468" s="1362"/>
    </row>
    <row r="469" spans="1:10" ht="16.5" thickTop="1" thickBot="1" x14ac:dyDescent="0.3">
      <c r="A469" s="2530"/>
      <c r="B469" s="2530"/>
      <c r="C469" s="94"/>
      <c r="D469" s="95"/>
      <c r="E469" s="1364"/>
      <c r="F469" s="1364"/>
      <c r="G469" s="102"/>
      <c r="H469" s="47"/>
      <c r="I469" s="75"/>
      <c r="J469" s="1362"/>
    </row>
    <row r="470" spans="1:10" ht="16.5" thickTop="1" thickBot="1" x14ac:dyDescent="0.3">
      <c r="A470" s="2530"/>
      <c r="B470" s="2530"/>
      <c r="C470" s="94"/>
      <c r="D470" s="95"/>
      <c r="E470" s="1364"/>
      <c r="F470" s="1364"/>
      <c r="G470" s="103"/>
      <c r="H470" s="47"/>
      <c r="I470" s="75"/>
      <c r="J470" s="1362"/>
    </row>
    <row r="471" spans="1:10" ht="15.75" thickTop="1" x14ac:dyDescent="0.25">
      <c r="A471" s="45"/>
      <c r="B471" s="45"/>
      <c r="C471" s="45"/>
      <c r="D471" s="47"/>
      <c r="E471" s="1364"/>
      <c r="F471" s="1364"/>
      <c r="G471" s="104"/>
      <c r="H471" s="47"/>
      <c r="I471" s="75"/>
      <c r="J471" s="1362"/>
    </row>
    <row r="472" spans="1:10" ht="15" x14ac:dyDescent="0.25">
      <c r="A472" s="46" t="s">
        <v>940</v>
      </c>
      <c r="B472" s="45"/>
      <c r="C472" s="45"/>
      <c r="D472" s="47"/>
      <c r="E472" s="1364"/>
      <c r="F472" s="1364"/>
      <c r="G472" s="104"/>
      <c r="H472" s="47"/>
      <c r="I472" s="75"/>
      <c r="J472" s="1362"/>
    </row>
    <row r="473" spans="1:10" ht="15" x14ac:dyDescent="0.25">
      <c r="A473" s="45"/>
      <c r="B473" s="45"/>
      <c r="C473" s="45"/>
      <c r="D473" s="47"/>
      <c r="E473" s="1364"/>
      <c r="F473" s="1364"/>
      <c r="G473" s="104"/>
      <c r="H473" s="47"/>
      <c r="I473" s="75"/>
      <c r="J473" s="1362"/>
    </row>
    <row r="474" spans="1:10" ht="15.75" thickBot="1" x14ac:dyDescent="0.3">
      <c r="A474" s="2550" t="s">
        <v>941</v>
      </c>
      <c r="B474" s="2551"/>
      <c r="C474" s="77" t="s">
        <v>988</v>
      </c>
      <c r="D474" s="65">
        <v>4.4000000000000003E-3</v>
      </c>
      <c r="E474" s="1364"/>
      <c r="F474" s="1364"/>
      <c r="G474" s="105"/>
      <c r="H474" s="1364"/>
      <c r="I474" s="1364"/>
      <c r="J474" s="1362"/>
    </row>
    <row r="475" spans="1:10" ht="16.5" thickTop="1" thickBot="1" x14ac:dyDescent="0.3">
      <c r="A475" s="2550" t="s">
        <v>942</v>
      </c>
      <c r="B475" s="2551"/>
      <c r="C475" s="78" t="s">
        <v>988</v>
      </c>
      <c r="D475" s="66">
        <v>1.2999999999999999E-3</v>
      </c>
      <c r="E475" s="1364"/>
      <c r="F475" s="1364"/>
      <c r="G475" s="105"/>
      <c r="H475" s="1364"/>
      <c r="I475" s="1364"/>
      <c r="J475" s="1362"/>
    </row>
    <row r="476" spans="1:10" ht="16.5" thickTop="1" thickBot="1" x14ac:dyDescent="0.3">
      <c r="A476" s="2550" t="s">
        <v>943</v>
      </c>
      <c r="B476" s="2551"/>
      <c r="C476" s="79" t="s">
        <v>217</v>
      </c>
      <c r="D476" s="67">
        <v>0.25</v>
      </c>
      <c r="E476" s="1364"/>
      <c r="F476" s="1364"/>
      <c r="G476" s="105"/>
      <c r="H476" s="1364"/>
      <c r="I476" s="1364"/>
      <c r="J476" s="1362"/>
    </row>
    <row r="477" spans="1:10" ht="13.5" thickTop="1" x14ac:dyDescent="0.2">
      <c r="D477" s="110"/>
      <c r="E477" s="110"/>
      <c r="F477" s="110"/>
      <c r="G477" s="110"/>
      <c r="H477" s="110"/>
      <c r="I477" s="110"/>
    </row>
    <row r="478" spans="1:10" ht="18" x14ac:dyDescent="0.25">
      <c r="A478" s="1366" t="s">
        <v>944</v>
      </c>
      <c r="B478" s="48"/>
      <c r="C478" s="48"/>
      <c r="D478" s="1367"/>
      <c r="E478" s="110"/>
      <c r="F478" s="110"/>
      <c r="G478" s="1368"/>
      <c r="H478" s="1369"/>
      <c r="I478" s="106"/>
      <c r="J478" s="1362"/>
    </row>
    <row r="479" spans="1:10" ht="15" x14ac:dyDescent="0.25">
      <c r="A479" s="49"/>
      <c r="B479" s="48"/>
      <c r="C479" s="48"/>
      <c r="D479" s="1367"/>
      <c r="E479" s="110"/>
      <c r="F479" s="110"/>
      <c r="G479" s="1368"/>
      <c r="H479" s="1369"/>
      <c r="I479" s="106"/>
      <c r="J479" s="1362"/>
    </row>
    <row r="480" spans="1:10" ht="15" x14ac:dyDescent="0.25">
      <c r="A480" s="2552" t="s">
        <v>945</v>
      </c>
      <c r="B480" s="2553"/>
      <c r="C480" s="96"/>
      <c r="D480" s="107"/>
      <c r="E480" s="1364"/>
      <c r="F480" s="1364"/>
      <c r="G480" s="108"/>
      <c r="H480" s="1364"/>
      <c r="I480" s="1364"/>
      <c r="J480" s="1362"/>
    </row>
    <row r="481" spans="1:10" ht="15" x14ac:dyDescent="0.25">
      <c r="A481" s="2554"/>
      <c r="B481" s="2555"/>
      <c r="C481" s="96"/>
      <c r="D481" s="107"/>
      <c r="E481" s="1364"/>
      <c r="F481" s="1364"/>
      <c r="G481" s="1370"/>
      <c r="H481" s="1364"/>
      <c r="I481" s="1364"/>
      <c r="J481" s="1362"/>
    </row>
    <row r="482" spans="1:10" ht="15" x14ac:dyDescent="0.25">
      <c r="A482" s="2556"/>
      <c r="B482" s="2557"/>
      <c r="C482" s="96"/>
      <c r="D482" s="107"/>
      <c r="E482" s="1364"/>
      <c r="F482" s="1364"/>
      <c r="G482" s="1370"/>
      <c r="H482" s="1364"/>
      <c r="I482" s="1364"/>
      <c r="J482" s="1362"/>
    </row>
    <row r="483" spans="1:10" ht="15" x14ac:dyDescent="0.25">
      <c r="A483" s="2552" t="s">
        <v>946</v>
      </c>
      <c r="B483" s="2553"/>
      <c r="C483" s="97"/>
      <c r="D483" s="109"/>
      <c r="E483" s="1364"/>
      <c r="F483" s="1364"/>
      <c r="G483" s="108"/>
      <c r="H483" s="1364"/>
      <c r="I483" s="1364"/>
      <c r="J483" s="1362"/>
    </row>
    <row r="484" spans="1:10" ht="15" x14ac:dyDescent="0.25">
      <c r="A484" s="49"/>
      <c r="B484" s="48"/>
      <c r="C484" s="48"/>
      <c r="D484" s="112"/>
      <c r="E484" s="110"/>
      <c r="F484" s="110"/>
      <c r="G484" s="110"/>
      <c r="H484" s="1371"/>
      <c r="I484" s="110"/>
      <c r="J484" s="1362"/>
    </row>
    <row r="485" spans="1:10" ht="18" x14ac:dyDescent="0.25">
      <c r="A485" s="1366" t="s">
        <v>947</v>
      </c>
      <c r="B485" s="48"/>
      <c r="C485" s="48"/>
      <c r="D485" s="112"/>
      <c r="E485" s="110"/>
      <c r="F485" s="110"/>
      <c r="G485" s="110"/>
      <c r="H485" s="110"/>
      <c r="I485" s="110"/>
      <c r="J485" s="1362"/>
    </row>
    <row r="486" spans="1:10" ht="15" x14ac:dyDescent="0.25">
      <c r="A486" s="49"/>
      <c r="B486" s="48"/>
      <c r="C486" s="48"/>
      <c r="D486" s="112"/>
      <c r="E486" s="110"/>
      <c r="F486" s="110"/>
      <c r="G486" s="110"/>
      <c r="H486" s="110"/>
      <c r="I486" s="110"/>
      <c r="J486" s="1362"/>
    </row>
    <row r="487" spans="1:10" ht="15" x14ac:dyDescent="0.25">
      <c r="A487" s="49" t="s">
        <v>939</v>
      </c>
      <c r="B487" s="48"/>
      <c r="C487" s="48"/>
      <c r="D487" s="112"/>
      <c r="E487" s="110"/>
      <c r="F487" s="110"/>
      <c r="G487" s="110"/>
      <c r="H487" s="110"/>
      <c r="I487" s="110"/>
      <c r="J487" s="1362"/>
    </row>
    <row r="488" spans="1:10" ht="15" x14ac:dyDescent="0.25">
      <c r="A488" s="49"/>
      <c r="B488" s="48"/>
      <c r="C488" s="48"/>
      <c r="D488" s="112"/>
      <c r="E488" s="110"/>
      <c r="F488" s="110"/>
      <c r="G488" s="110"/>
      <c r="H488" s="110"/>
      <c r="I488" s="110"/>
      <c r="J488" s="1362"/>
    </row>
    <row r="489" spans="1:10" ht="38.25" customHeight="1" x14ac:dyDescent="0.25">
      <c r="A489" s="2558" t="s">
        <v>1384</v>
      </c>
      <c r="B489" s="2558"/>
      <c r="C489" s="2558"/>
      <c r="D489" s="2559"/>
      <c r="E489" s="1372"/>
      <c r="F489" s="1372"/>
      <c r="G489" s="1372"/>
      <c r="H489" s="1372"/>
      <c r="I489" s="1372"/>
      <c r="J489" s="1362"/>
    </row>
    <row r="490" spans="1:10" ht="15" x14ac:dyDescent="0.25">
      <c r="A490" s="1373"/>
      <c r="B490" s="1803"/>
      <c r="C490" s="1803"/>
      <c r="D490" s="1374"/>
      <c r="E490" s="111"/>
      <c r="F490" s="111"/>
      <c r="G490" s="111"/>
      <c r="H490" s="111"/>
      <c r="I490" s="111"/>
      <c r="J490" s="1362"/>
    </row>
    <row r="491" spans="1:10" ht="38.25" customHeight="1" x14ac:dyDescent="0.25">
      <c r="A491" s="2558" t="s">
        <v>1385</v>
      </c>
      <c r="B491" s="2558"/>
      <c r="C491" s="2558"/>
      <c r="D491" s="2559"/>
      <c r="E491" s="2559"/>
      <c r="F491" s="2559"/>
      <c r="G491" s="2559"/>
      <c r="H491" s="2559"/>
      <c r="I491" s="1804"/>
      <c r="J491" s="1362"/>
    </row>
    <row r="492" spans="1:10" ht="15" x14ac:dyDescent="0.25">
      <c r="A492" s="1373"/>
      <c r="B492" s="1803"/>
      <c r="C492" s="1803"/>
      <c r="D492" s="1374"/>
      <c r="E492" s="111"/>
      <c r="F492" s="111"/>
      <c r="G492" s="111"/>
      <c r="H492" s="111"/>
      <c r="I492" s="111"/>
      <c r="J492" s="1362"/>
    </row>
    <row r="493" spans="1:10" ht="39" customHeight="1" x14ac:dyDescent="0.25">
      <c r="A493" s="2558" t="s">
        <v>1386</v>
      </c>
      <c r="B493" s="2558"/>
      <c r="C493" s="2558"/>
      <c r="D493" s="2559"/>
      <c r="E493" s="2559"/>
      <c r="F493" s="2559"/>
      <c r="G493" s="2559"/>
      <c r="H493" s="2559"/>
      <c r="I493" s="1804"/>
      <c r="J493" s="1362"/>
    </row>
    <row r="494" spans="1:10" ht="15" x14ac:dyDescent="0.25">
      <c r="A494" s="1375"/>
      <c r="B494" s="1376"/>
      <c r="C494" s="1376"/>
      <c r="D494" s="1377"/>
      <c r="E494" s="111"/>
      <c r="F494" s="111"/>
      <c r="G494" s="111"/>
      <c r="H494" s="111"/>
      <c r="I494" s="111"/>
      <c r="J494" s="1362"/>
    </row>
    <row r="495" spans="1:10" ht="15" x14ac:dyDescent="0.25">
      <c r="A495" s="49" t="s">
        <v>948</v>
      </c>
      <c r="B495" s="48"/>
      <c r="C495" s="48"/>
      <c r="D495" s="112"/>
      <c r="E495" s="110"/>
      <c r="F495" s="110"/>
      <c r="G495" s="110"/>
      <c r="H495" s="110"/>
      <c r="I495" s="110"/>
      <c r="J495" s="1362"/>
    </row>
    <row r="496" spans="1:10" ht="15" x14ac:dyDescent="0.25">
      <c r="A496" s="49"/>
      <c r="B496" s="48"/>
      <c r="C496" s="48"/>
      <c r="D496" s="112"/>
      <c r="E496" s="110"/>
      <c r="F496" s="110"/>
      <c r="G496" s="110"/>
      <c r="H496" s="110"/>
      <c r="I496" s="110"/>
      <c r="J496" s="1362"/>
    </row>
    <row r="497" spans="1:10" ht="15" x14ac:dyDescent="0.25">
      <c r="A497" s="2560"/>
      <c r="B497" s="2560"/>
      <c r="C497" s="1378"/>
      <c r="D497" s="1379"/>
      <c r="E497" s="110"/>
      <c r="F497" s="110"/>
      <c r="G497" s="110"/>
      <c r="H497" s="1364"/>
      <c r="I497" s="1364"/>
      <c r="J497" s="1362"/>
    </row>
    <row r="498" spans="1:10" ht="15" x14ac:dyDescent="0.25">
      <c r="A498" s="2560"/>
      <c r="B498" s="2560"/>
      <c r="C498" s="1378"/>
      <c r="D498" s="1379"/>
      <c r="E498" s="110"/>
      <c r="F498" s="110"/>
      <c r="G498" s="110"/>
      <c r="H498" s="1364"/>
      <c r="I498" s="1364"/>
      <c r="J498" s="1362"/>
    </row>
    <row r="499" spans="1:10" ht="15" x14ac:dyDescent="0.25">
      <c r="A499" s="2560"/>
      <c r="B499" s="2560"/>
      <c r="C499" s="1378"/>
      <c r="D499" s="1379"/>
      <c r="E499" s="110"/>
      <c r="F499" s="110"/>
      <c r="G499" s="110"/>
      <c r="H499" s="1364"/>
      <c r="I499" s="1364"/>
      <c r="J499" s="1362"/>
    </row>
    <row r="500" spans="1:10" ht="15" x14ac:dyDescent="0.25">
      <c r="A500" s="2560"/>
      <c r="B500" s="2560"/>
      <c r="C500" s="1378"/>
      <c r="D500" s="1379"/>
      <c r="E500" s="110"/>
      <c r="F500" s="110"/>
      <c r="G500" s="110"/>
      <c r="H500" s="1364"/>
      <c r="I500" s="1364"/>
      <c r="J500" s="1362"/>
    </row>
    <row r="501" spans="1:10" ht="15" x14ac:dyDescent="0.25">
      <c r="A501" s="2560"/>
      <c r="B501" s="2560"/>
      <c r="C501" s="1378"/>
      <c r="D501" s="1379"/>
      <c r="E501" s="110"/>
      <c r="F501" s="110"/>
      <c r="G501" s="110"/>
      <c r="H501" s="1364"/>
      <c r="I501" s="1364"/>
      <c r="J501" s="1362"/>
    </row>
    <row r="502" spans="1:10" ht="15" x14ac:dyDescent="0.25">
      <c r="A502" s="2560"/>
      <c r="B502" s="2560"/>
      <c r="C502" s="1378"/>
      <c r="D502" s="1379"/>
      <c r="E502" s="110"/>
      <c r="F502" s="110"/>
      <c r="G502" s="110"/>
      <c r="H502" s="1364"/>
      <c r="I502" s="1364"/>
      <c r="J502" s="1362"/>
    </row>
    <row r="503" spans="1:10" ht="15" x14ac:dyDescent="0.25">
      <c r="A503" s="2560"/>
      <c r="B503" s="2560"/>
      <c r="C503" s="1378"/>
      <c r="D503" s="1379"/>
      <c r="E503" s="110"/>
      <c r="F503" s="110"/>
      <c r="G503" s="110"/>
      <c r="H503" s="1364"/>
      <c r="I503" s="1364"/>
      <c r="J503" s="1362"/>
    </row>
    <row r="504" spans="1:10" ht="15" x14ac:dyDescent="0.25">
      <c r="A504" s="2560"/>
      <c r="B504" s="2560"/>
      <c r="C504" s="1378"/>
      <c r="D504" s="1379"/>
      <c r="E504" s="110"/>
      <c r="F504" s="110"/>
      <c r="G504" s="110"/>
      <c r="H504" s="1364"/>
      <c r="I504" s="1364"/>
      <c r="J504" s="1362"/>
    </row>
    <row r="505" spans="1:10" ht="15" x14ac:dyDescent="0.25">
      <c r="A505" s="2560"/>
      <c r="B505" s="2560"/>
      <c r="C505" s="1378"/>
      <c r="D505" s="1379"/>
      <c r="E505" s="110"/>
      <c r="F505" s="110"/>
      <c r="G505" s="110"/>
      <c r="H505" s="1364"/>
      <c r="I505" s="1364"/>
      <c r="J505" s="1362"/>
    </row>
    <row r="506" spans="1:10" ht="15" x14ac:dyDescent="0.25">
      <c r="A506" s="2560"/>
      <c r="B506" s="2560"/>
      <c r="C506" s="1378"/>
      <c r="D506" s="1379"/>
      <c r="E506" s="110"/>
      <c r="F506" s="110"/>
      <c r="G506" s="110"/>
      <c r="H506" s="1364"/>
      <c r="I506" s="1364"/>
      <c r="J506" s="1362"/>
    </row>
    <row r="507" spans="1:10" ht="15" x14ac:dyDescent="0.25">
      <c r="A507" s="2560"/>
      <c r="B507" s="2560"/>
      <c r="C507" s="1378"/>
      <c r="D507" s="1379"/>
      <c r="E507" s="110"/>
      <c r="F507" s="110"/>
      <c r="G507" s="110"/>
      <c r="H507" s="1364"/>
      <c r="I507" s="1364"/>
      <c r="J507" s="1362"/>
    </row>
    <row r="508" spans="1:10" ht="15" x14ac:dyDescent="0.25">
      <c r="A508" s="2560"/>
      <c r="B508" s="2560"/>
      <c r="C508" s="1378"/>
      <c r="D508" s="1379"/>
      <c r="E508" s="110"/>
      <c r="F508" s="110"/>
      <c r="G508" s="110"/>
      <c r="H508" s="1364"/>
      <c r="I508" s="1364"/>
      <c r="J508" s="1362"/>
    </row>
    <row r="509" spans="1:10" ht="15" x14ac:dyDescent="0.25">
      <c r="A509" s="2560"/>
      <c r="B509" s="2560"/>
      <c r="C509" s="1378"/>
      <c r="D509" s="1379"/>
      <c r="E509" s="110"/>
      <c r="F509" s="110"/>
      <c r="G509" s="110"/>
      <c r="H509" s="1364"/>
      <c r="I509" s="1364"/>
      <c r="J509" s="1362"/>
    </row>
    <row r="510" spans="1:10" ht="15" x14ac:dyDescent="0.25">
      <c r="A510" s="2560"/>
      <c r="B510" s="2560"/>
      <c r="C510" s="1378"/>
      <c r="D510" s="1379"/>
      <c r="E510" s="110"/>
      <c r="F510" s="110"/>
      <c r="G510" s="110"/>
      <c r="H510" s="1364"/>
      <c r="I510" s="1364"/>
      <c r="J510" s="1362"/>
    </row>
    <row r="511" spans="1:10" ht="15" x14ac:dyDescent="0.25">
      <c r="A511" s="2560"/>
      <c r="B511" s="2560"/>
      <c r="C511" s="1378"/>
      <c r="D511" s="1379"/>
      <c r="E511" s="110"/>
      <c r="F511" s="110"/>
      <c r="G511" s="110"/>
      <c r="H511" s="1364"/>
      <c r="I511" s="1364"/>
      <c r="J511" s="1362"/>
    </row>
    <row r="512" spans="1:10" ht="15" x14ac:dyDescent="0.25">
      <c r="A512" s="2560"/>
      <c r="B512" s="2560"/>
      <c r="C512" s="1378"/>
      <c r="D512" s="1379"/>
      <c r="E512" s="110"/>
      <c r="F512" s="110"/>
      <c r="G512" s="110"/>
      <c r="H512" s="1364"/>
      <c r="I512" s="1364"/>
      <c r="J512" s="1362"/>
    </row>
    <row r="513" spans="1:10" ht="15" x14ac:dyDescent="0.25">
      <c r="A513" s="2560"/>
      <c r="B513" s="2560"/>
      <c r="C513" s="1378"/>
      <c r="D513" s="1379"/>
      <c r="E513" s="110"/>
      <c r="F513" s="110"/>
      <c r="G513" s="110"/>
      <c r="H513" s="1364"/>
      <c r="I513" s="1364"/>
      <c r="J513" s="1362"/>
    </row>
    <row r="514" spans="1:10" ht="15" x14ac:dyDescent="0.25">
      <c r="A514" s="2560"/>
      <c r="B514" s="2560"/>
      <c r="C514" s="1378"/>
      <c r="D514" s="1379"/>
      <c r="E514" s="110"/>
      <c r="F514" s="110"/>
      <c r="G514" s="110"/>
      <c r="H514" s="1364"/>
      <c r="I514" s="1364"/>
      <c r="J514" s="1362"/>
    </row>
    <row r="515" spans="1:10" ht="15" x14ac:dyDescent="0.25">
      <c r="A515" s="2560"/>
      <c r="B515" s="2560"/>
      <c r="C515" s="1378"/>
      <c r="D515" s="1379"/>
      <c r="E515" s="110"/>
      <c r="F515" s="110"/>
      <c r="G515" s="110"/>
      <c r="H515" s="1364"/>
      <c r="I515" s="1364"/>
      <c r="J515" s="1362"/>
    </row>
    <row r="516" spans="1:10" ht="15" x14ac:dyDescent="0.25">
      <c r="A516" s="2560"/>
      <c r="B516" s="2560"/>
      <c r="C516" s="1378"/>
      <c r="D516" s="1379"/>
      <c r="E516" s="110"/>
      <c r="F516" s="110"/>
      <c r="G516" s="110"/>
      <c r="H516" s="1364"/>
      <c r="I516" s="1364"/>
      <c r="J516" s="1362"/>
    </row>
    <row r="517" spans="1:10" ht="15" x14ac:dyDescent="0.25">
      <c r="A517" s="2560"/>
      <c r="B517" s="2560"/>
      <c r="C517" s="1378"/>
      <c r="D517" s="1379"/>
      <c r="E517" s="110"/>
      <c r="F517" s="110"/>
      <c r="G517" s="110"/>
      <c r="H517" s="1364"/>
      <c r="I517" s="1364"/>
      <c r="J517" s="1362"/>
    </row>
    <row r="518" spans="1:10" ht="15" x14ac:dyDescent="0.25">
      <c r="A518" s="2560"/>
      <c r="B518" s="2560"/>
      <c r="C518" s="1378"/>
      <c r="D518" s="1379"/>
      <c r="E518" s="110"/>
      <c r="F518" s="110"/>
      <c r="G518" s="110"/>
      <c r="H518" s="1364"/>
      <c r="I518" s="1364"/>
      <c r="J518" s="1362"/>
    </row>
    <row r="519" spans="1:10" ht="15" x14ac:dyDescent="0.25">
      <c r="A519" s="2560"/>
      <c r="B519" s="2560"/>
      <c r="C519" s="1378"/>
      <c r="D519" s="1379"/>
      <c r="E519" s="110"/>
      <c r="F519" s="110"/>
      <c r="G519" s="110"/>
      <c r="H519" s="1364"/>
      <c r="I519" s="1364"/>
      <c r="J519" s="1362"/>
    </row>
    <row r="520" spans="1:10" ht="15" x14ac:dyDescent="0.25">
      <c r="A520" s="2560"/>
      <c r="B520" s="2560"/>
      <c r="C520" s="1378"/>
      <c r="D520" s="1379"/>
      <c r="E520" s="110"/>
      <c r="F520" s="110"/>
      <c r="G520" s="110"/>
      <c r="H520" s="1364"/>
      <c r="I520" s="1364"/>
      <c r="J520" s="1362"/>
    </row>
    <row r="521" spans="1:10" ht="15" x14ac:dyDescent="0.25">
      <c r="A521" s="2560"/>
      <c r="B521" s="2560"/>
      <c r="C521" s="1378"/>
      <c r="D521" s="1379"/>
      <c r="E521" s="110"/>
      <c r="F521" s="110"/>
      <c r="G521" s="110"/>
      <c r="H521" s="1364"/>
      <c r="I521" s="1364"/>
      <c r="J521" s="1362"/>
    </row>
    <row r="522" spans="1:10" ht="15" x14ac:dyDescent="0.25">
      <c r="A522" s="2560"/>
      <c r="B522" s="2560"/>
      <c r="C522" s="1378"/>
      <c r="D522" s="1379"/>
      <c r="E522" s="110"/>
      <c r="F522" s="110"/>
      <c r="G522" s="110"/>
      <c r="H522" s="1364"/>
      <c r="I522" s="1364"/>
      <c r="J522" s="1362"/>
    </row>
    <row r="523" spans="1:10" ht="15" x14ac:dyDescent="0.25">
      <c r="A523" s="2560"/>
      <c r="B523" s="2560"/>
      <c r="C523" s="1378"/>
      <c r="D523" s="1379"/>
      <c r="E523" s="110"/>
      <c r="F523" s="110"/>
      <c r="G523" s="110"/>
      <c r="H523" s="1364"/>
      <c r="I523" s="1364"/>
      <c r="J523" s="1362"/>
    </row>
    <row r="524" spans="1:10" ht="15" x14ac:dyDescent="0.25">
      <c r="A524" s="2560"/>
      <c r="B524" s="2560"/>
      <c r="C524" s="1378"/>
      <c r="D524" s="1379"/>
      <c r="E524" s="110"/>
      <c r="F524" s="110"/>
      <c r="G524" s="110"/>
      <c r="H524" s="1364"/>
      <c r="I524" s="1364"/>
      <c r="J524" s="1362"/>
    </row>
    <row r="525" spans="1:10" ht="15" x14ac:dyDescent="0.25">
      <c r="A525" s="2560"/>
      <c r="B525" s="2560"/>
      <c r="C525" s="1378"/>
      <c r="D525" s="1379"/>
      <c r="E525" s="110"/>
      <c r="F525" s="110"/>
      <c r="G525" s="110"/>
      <c r="H525" s="1364"/>
      <c r="I525" s="1364"/>
      <c r="J525" s="1362"/>
    </row>
    <row r="526" spans="1:10" ht="15" x14ac:dyDescent="0.25">
      <c r="A526" s="2561"/>
      <c r="B526" s="2562"/>
      <c r="C526" s="1378"/>
      <c r="D526" s="1379"/>
      <c r="E526" s="1364"/>
      <c r="F526" s="1364"/>
      <c r="G526" s="1364"/>
      <c r="H526" s="1364"/>
      <c r="I526" s="1364"/>
      <c r="J526" s="1362"/>
    </row>
    <row r="527" spans="1:10" ht="15" x14ac:dyDescent="0.25">
      <c r="A527" s="2563"/>
      <c r="B527" s="2564"/>
      <c r="C527" s="1378"/>
      <c r="D527" s="1379"/>
      <c r="E527" s="1364"/>
      <c r="F527" s="1364"/>
      <c r="G527" s="1364"/>
      <c r="H527" s="1364"/>
      <c r="I527" s="1364"/>
      <c r="J527" s="1362"/>
    </row>
    <row r="528" spans="1:10" ht="15" x14ac:dyDescent="0.25">
      <c r="A528" s="2563"/>
      <c r="B528" s="2564"/>
      <c r="C528" s="1378"/>
      <c r="D528" s="1379"/>
      <c r="E528" s="1364"/>
      <c r="F528" s="1364"/>
      <c r="G528" s="1364"/>
      <c r="H528" s="1364"/>
      <c r="I528" s="1364"/>
      <c r="J528" s="1362"/>
    </row>
    <row r="529" spans="1:10" ht="15" x14ac:dyDescent="0.25">
      <c r="A529" s="2563"/>
      <c r="B529" s="2564"/>
      <c r="C529" s="1378"/>
      <c r="D529" s="1379"/>
      <c r="E529" s="1364"/>
      <c r="F529" s="1364"/>
      <c r="G529" s="1364"/>
      <c r="H529" s="1364"/>
      <c r="I529" s="1364"/>
      <c r="J529" s="1362"/>
    </row>
    <row r="530" spans="1:10" ht="15" x14ac:dyDescent="0.25">
      <c r="A530" s="2563"/>
      <c r="B530" s="2564"/>
      <c r="C530" s="1378"/>
      <c r="D530" s="1379"/>
      <c r="E530" s="1364"/>
      <c r="F530" s="1364"/>
      <c r="G530" s="1364"/>
      <c r="H530" s="1364"/>
      <c r="I530" s="1364"/>
      <c r="J530" s="1362"/>
    </row>
    <row r="531" spans="1:10" ht="15.75" thickBot="1" x14ac:dyDescent="0.3">
      <c r="A531" s="2565"/>
      <c r="B531" s="2566"/>
      <c r="C531" s="1378"/>
      <c r="D531" s="1379"/>
      <c r="E531" s="1364"/>
      <c r="F531" s="1364"/>
      <c r="G531" s="1364"/>
      <c r="H531" s="1364"/>
      <c r="I531" s="1364"/>
      <c r="J531" s="1362"/>
    </row>
    <row r="532" spans="1:10" ht="15.75" thickTop="1" x14ac:dyDescent="0.25">
      <c r="A532" s="49"/>
      <c r="B532" s="48"/>
      <c r="C532" s="48"/>
      <c r="D532" s="112"/>
      <c r="E532" s="110"/>
      <c r="F532" s="110"/>
      <c r="G532" s="110"/>
      <c r="H532" s="1380"/>
      <c r="I532" s="113"/>
      <c r="J532" s="1362"/>
    </row>
    <row r="533" spans="1:10" ht="15" x14ac:dyDescent="0.25">
      <c r="A533" s="49" t="s">
        <v>949</v>
      </c>
      <c r="B533" s="48"/>
      <c r="C533" s="48"/>
      <c r="D533" s="112"/>
      <c r="E533" s="110"/>
      <c r="F533" s="110"/>
      <c r="G533" s="110"/>
      <c r="H533" s="1380"/>
      <c r="I533" s="113"/>
      <c r="J533" s="1362"/>
    </row>
    <row r="534" spans="1:10" ht="15" x14ac:dyDescent="0.25">
      <c r="A534" s="51"/>
      <c r="B534" s="52"/>
      <c r="C534" s="52"/>
      <c r="D534" s="114"/>
      <c r="E534" s="110"/>
      <c r="F534" s="110"/>
      <c r="G534" s="110"/>
      <c r="H534" s="1380"/>
      <c r="I534" s="113"/>
      <c r="J534" s="1362"/>
    </row>
    <row r="535" spans="1:10" ht="15" x14ac:dyDescent="0.25">
      <c r="A535" s="2567"/>
      <c r="B535" s="2567"/>
      <c r="C535" s="1378"/>
      <c r="D535" s="1379"/>
      <c r="E535" s="110"/>
      <c r="F535" s="110"/>
      <c r="G535" s="110"/>
      <c r="H535" s="1380"/>
      <c r="I535" s="113"/>
      <c r="J535" s="1362"/>
    </row>
    <row r="536" spans="1:10" ht="15" x14ac:dyDescent="0.25">
      <c r="A536" s="2567"/>
      <c r="B536" s="2567"/>
      <c r="C536" s="1378"/>
      <c r="D536" s="1379"/>
      <c r="E536" s="110"/>
      <c r="F536" s="110"/>
      <c r="G536" s="110"/>
      <c r="H536" s="1380"/>
      <c r="I536" s="113"/>
      <c r="J536" s="1362"/>
    </row>
    <row r="537" spans="1:10" ht="15" x14ac:dyDescent="0.25">
      <c r="A537" s="2567"/>
      <c r="B537" s="2567"/>
      <c r="C537" s="1378"/>
      <c r="D537" s="1379"/>
      <c r="E537" s="110"/>
      <c r="F537" s="110"/>
      <c r="G537" s="110"/>
      <c r="H537" s="1380"/>
      <c r="I537" s="113"/>
      <c r="J537" s="1362"/>
    </row>
    <row r="538" spans="1:10" ht="15" x14ac:dyDescent="0.25">
      <c r="A538" s="2567"/>
      <c r="B538" s="2567"/>
      <c r="C538" s="1378"/>
      <c r="D538" s="1379"/>
      <c r="E538" s="110"/>
      <c r="F538" s="110"/>
      <c r="G538" s="110"/>
      <c r="H538" s="1380"/>
      <c r="I538" s="113"/>
      <c r="J538" s="1362"/>
    </row>
    <row r="539" spans="1:10" ht="15" x14ac:dyDescent="0.25">
      <c r="A539" s="2567"/>
      <c r="B539" s="2567"/>
      <c r="C539" s="1378"/>
      <c r="D539" s="1379"/>
      <c r="E539" s="110"/>
      <c r="F539" s="110"/>
      <c r="G539" s="110"/>
      <c r="H539" s="1380"/>
      <c r="I539" s="113"/>
      <c r="J539" s="1362"/>
    </row>
    <row r="540" spans="1:10" ht="15" x14ac:dyDescent="0.25">
      <c r="A540" s="2567"/>
      <c r="B540" s="2567"/>
      <c r="C540" s="1378"/>
      <c r="D540" s="1379"/>
      <c r="E540" s="110"/>
      <c r="F540" s="110"/>
      <c r="G540" s="110"/>
      <c r="H540" s="1380"/>
      <c r="I540" s="113"/>
      <c r="J540" s="1362"/>
    </row>
    <row r="541" spans="1:10" ht="15" x14ac:dyDescent="0.25">
      <c r="A541" s="2567"/>
      <c r="B541" s="2567"/>
      <c r="C541" s="1378"/>
      <c r="D541" s="1379"/>
      <c r="E541" s="110"/>
      <c r="F541" s="110"/>
      <c r="G541" s="110"/>
      <c r="H541" s="1380"/>
      <c r="I541" s="113"/>
      <c r="J541" s="1362"/>
    </row>
    <row r="542" spans="1:10" ht="15" x14ac:dyDescent="0.25">
      <c r="A542" s="2567"/>
      <c r="B542" s="2567"/>
      <c r="C542" s="1378"/>
      <c r="D542" s="1379"/>
      <c r="E542" s="110"/>
      <c r="F542" s="110"/>
      <c r="G542" s="110"/>
      <c r="H542" s="1380"/>
      <c r="I542" s="113"/>
      <c r="J542" s="1362"/>
    </row>
    <row r="543" spans="1:10" ht="15" x14ac:dyDescent="0.25">
      <c r="A543" s="2567"/>
      <c r="B543" s="2567"/>
      <c r="C543" s="1378"/>
      <c r="D543" s="1379"/>
      <c r="E543" s="110"/>
      <c r="F543" s="110"/>
      <c r="G543" s="110"/>
      <c r="H543" s="1380"/>
      <c r="I543" s="113"/>
      <c r="J543" s="1362"/>
    </row>
    <row r="544" spans="1:10" ht="15" x14ac:dyDescent="0.25">
      <c r="A544" s="2567"/>
      <c r="B544" s="2567"/>
      <c r="C544" s="1378"/>
      <c r="D544" s="1379"/>
      <c r="E544" s="110"/>
      <c r="F544" s="110"/>
      <c r="G544" s="110"/>
      <c r="H544" s="1380"/>
      <c r="I544" s="113"/>
      <c r="J544" s="1362"/>
    </row>
    <row r="545" spans="1:10" ht="15" x14ac:dyDescent="0.25">
      <c r="A545" s="2567"/>
      <c r="B545" s="2567"/>
      <c r="C545" s="1378"/>
      <c r="D545" s="1379"/>
      <c r="E545" s="110"/>
      <c r="F545" s="110"/>
      <c r="G545" s="110"/>
      <c r="H545" s="1380"/>
      <c r="I545" s="113"/>
      <c r="J545" s="1362"/>
    </row>
    <row r="546" spans="1:10" ht="15" x14ac:dyDescent="0.25">
      <c r="A546" s="2567"/>
      <c r="B546" s="2567"/>
      <c r="C546" s="1378"/>
      <c r="D546" s="1379"/>
      <c r="E546" s="110"/>
      <c r="F546" s="110"/>
      <c r="G546" s="110"/>
      <c r="H546" s="1380"/>
      <c r="I546" s="113"/>
      <c r="J546" s="1362"/>
    </row>
    <row r="547" spans="1:10" ht="15" x14ac:dyDescent="0.25">
      <c r="A547" s="2567"/>
      <c r="B547" s="2567"/>
      <c r="C547" s="1378"/>
      <c r="D547" s="1379"/>
      <c r="E547" s="110"/>
      <c r="F547" s="110"/>
      <c r="G547" s="110"/>
      <c r="H547" s="1380"/>
      <c r="I547" s="113"/>
      <c r="J547" s="1362"/>
    </row>
    <row r="548" spans="1:10" ht="15" x14ac:dyDescent="0.25">
      <c r="A548" s="2567"/>
      <c r="B548" s="2567"/>
      <c r="C548" s="1378"/>
      <c r="D548" s="1379"/>
      <c r="E548" s="110"/>
      <c r="F548" s="110"/>
      <c r="G548" s="110"/>
      <c r="H548" s="1380"/>
      <c r="I548" s="113"/>
      <c r="J548" s="1362"/>
    </row>
    <row r="549" spans="1:10" ht="15" x14ac:dyDescent="0.25">
      <c r="A549" s="2567"/>
      <c r="B549" s="2567"/>
      <c r="C549" s="1378"/>
      <c r="D549" s="1379"/>
      <c r="E549" s="110"/>
      <c r="F549" s="110"/>
      <c r="G549" s="110"/>
      <c r="H549" s="1380"/>
      <c r="I549" s="113"/>
      <c r="J549" s="1362"/>
    </row>
    <row r="550" spans="1:10" ht="15" x14ac:dyDescent="0.25">
      <c r="A550" s="2567"/>
      <c r="B550" s="2567"/>
      <c r="C550" s="1378"/>
      <c r="D550" s="1379"/>
      <c r="E550" s="110"/>
      <c r="F550" s="110"/>
      <c r="G550" s="110"/>
      <c r="H550" s="1380"/>
      <c r="I550" s="113"/>
      <c r="J550" s="1362"/>
    </row>
    <row r="551" spans="1:10" ht="15" x14ac:dyDescent="0.25">
      <c r="A551" s="2567"/>
      <c r="B551" s="2567"/>
      <c r="C551" s="1378"/>
      <c r="D551" s="1379"/>
      <c r="E551" s="110"/>
      <c r="F551" s="110"/>
      <c r="G551" s="110"/>
      <c r="H551" s="1380"/>
      <c r="I551" s="113"/>
      <c r="J551" s="1362"/>
    </row>
    <row r="552" spans="1:10" ht="15" x14ac:dyDescent="0.25">
      <c r="A552" s="2567"/>
      <c r="B552" s="2567"/>
      <c r="C552" s="1378"/>
      <c r="D552" s="1379"/>
      <c r="E552" s="110"/>
      <c r="F552" s="110"/>
      <c r="G552" s="110"/>
      <c r="H552" s="1380"/>
      <c r="I552" s="113"/>
      <c r="J552" s="1362"/>
    </row>
    <row r="553" spans="1:10" ht="15" x14ac:dyDescent="0.25">
      <c r="A553" s="2567"/>
      <c r="B553" s="2567"/>
      <c r="C553" s="1378"/>
      <c r="D553" s="1379"/>
      <c r="E553" s="110"/>
      <c r="F553" s="110"/>
      <c r="G553" s="110"/>
      <c r="H553" s="1380"/>
      <c r="I553" s="113"/>
      <c r="J553" s="1362"/>
    </row>
    <row r="554" spans="1:10" ht="15" x14ac:dyDescent="0.25">
      <c r="A554" s="2567"/>
      <c r="B554" s="2567"/>
      <c r="C554" s="1378"/>
      <c r="D554" s="1379"/>
      <c r="E554" s="110"/>
      <c r="F554" s="110"/>
      <c r="G554" s="110"/>
      <c r="H554" s="1380"/>
      <c r="I554" s="113"/>
      <c r="J554" s="1362"/>
    </row>
    <row r="555" spans="1:10" ht="15" x14ac:dyDescent="0.25">
      <c r="A555" s="2563"/>
      <c r="B555" s="2564"/>
      <c r="C555" s="1378"/>
      <c r="D555" s="115"/>
      <c r="E555" s="110"/>
      <c r="F555" s="110"/>
      <c r="G555" s="110"/>
      <c r="H555" s="1380"/>
      <c r="I555" s="113"/>
      <c r="J555" s="1362"/>
    </row>
    <row r="556" spans="1:10" ht="15" x14ac:dyDescent="0.25">
      <c r="A556" s="2563"/>
      <c r="B556" s="2564"/>
      <c r="C556" s="1378"/>
      <c r="D556" s="115"/>
      <c r="E556" s="110"/>
      <c r="F556" s="110"/>
      <c r="G556" s="110"/>
      <c r="H556" s="1380"/>
      <c r="I556" s="113"/>
      <c r="J556" s="1362"/>
    </row>
    <row r="557" spans="1:10" ht="15" x14ac:dyDescent="0.25">
      <c r="A557" s="2563"/>
      <c r="B557" s="2564"/>
      <c r="C557" s="1378"/>
      <c r="D557" s="115"/>
      <c r="E557" s="110"/>
      <c r="F557" s="110"/>
      <c r="G557" s="110"/>
      <c r="H557" s="1380"/>
      <c r="I557" s="113"/>
      <c r="J557" s="1362"/>
    </row>
    <row r="558" spans="1:10" ht="15" x14ac:dyDescent="0.25">
      <c r="A558" s="2563"/>
      <c r="B558" s="2564"/>
      <c r="C558" s="1378"/>
      <c r="D558" s="115"/>
      <c r="E558" s="110"/>
      <c r="F558" s="110"/>
      <c r="G558" s="110"/>
      <c r="H558" s="1380"/>
      <c r="I558" s="113"/>
      <c r="J558" s="1362"/>
    </row>
    <row r="559" spans="1:10" ht="15" x14ac:dyDescent="0.25">
      <c r="A559" s="2563"/>
      <c r="B559" s="2564"/>
      <c r="C559" s="1378"/>
      <c r="D559" s="115"/>
      <c r="E559" s="110"/>
      <c r="F559" s="110"/>
      <c r="G559" s="110"/>
      <c r="H559" s="1380"/>
      <c r="I559" s="113"/>
      <c r="J559" s="1362"/>
    </row>
    <row r="560" spans="1:10" ht="15" x14ac:dyDescent="0.25">
      <c r="A560" s="49"/>
      <c r="B560" s="48"/>
      <c r="C560" s="1381"/>
      <c r="D560" s="112"/>
      <c r="E560" s="110"/>
      <c r="F560" s="110"/>
      <c r="G560" s="110"/>
      <c r="H560" s="1380"/>
      <c r="I560" s="113"/>
      <c r="J560" s="1362"/>
    </row>
    <row r="561" spans="1:10" ht="15" x14ac:dyDescent="0.25">
      <c r="A561" s="49"/>
      <c r="B561" s="48"/>
      <c r="C561" s="48"/>
      <c r="D561" s="112"/>
      <c r="E561" s="110"/>
      <c r="F561" s="110"/>
      <c r="G561" s="110"/>
      <c r="H561" s="1380"/>
      <c r="I561" s="113"/>
      <c r="J561" s="1362"/>
    </row>
    <row r="562" spans="1:10" ht="15" x14ac:dyDescent="0.25">
      <c r="A562" s="2567"/>
      <c r="B562" s="2567"/>
      <c r="C562" s="1378"/>
      <c r="D562" s="1379"/>
      <c r="E562" s="110"/>
      <c r="F562" s="110"/>
      <c r="G562" s="110"/>
      <c r="H562" s="1364"/>
      <c r="I562" s="1364"/>
      <c r="J562" s="1362"/>
    </row>
    <row r="563" spans="1:10" ht="15" x14ac:dyDescent="0.25">
      <c r="A563" s="2567"/>
      <c r="B563" s="2567"/>
      <c r="C563" s="1378"/>
      <c r="D563" s="1379"/>
      <c r="E563" s="110"/>
      <c r="F563" s="110"/>
      <c r="G563" s="110"/>
      <c r="H563" s="1364"/>
      <c r="I563" s="1364"/>
      <c r="J563" s="1362"/>
    </row>
    <row r="564" spans="1:10" ht="15" x14ac:dyDescent="0.25">
      <c r="A564" s="2567"/>
      <c r="B564" s="2567"/>
      <c r="C564" s="1378"/>
      <c r="D564" s="1379"/>
      <c r="E564" s="110"/>
      <c r="F564" s="110"/>
      <c r="G564" s="110"/>
      <c r="H564" s="1364"/>
      <c r="I564" s="1364"/>
      <c r="J564" s="1362"/>
    </row>
    <row r="565" spans="1:10" ht="15" x14ac:dyDescent="0.25">
      <c r="A565" s="2567"/>
      <c r="B565" s="2567"/>
      <c r="C565" s="1378"/>
      <c r="D565" s="1379"/>
      <c r="E565" s="110"/>
      <c r="F565" s="110"/>
      <c r="G565" s="110"/>
      <c r="H565" s="1364"/>
      <c r="I565" s="1364"/>
      <c r="J565" s="1362"/>
    </row>
    <row r="566" spans="1:10" ht="15" x14ac:dyDescent="0.25">
      <c r="A566" s="2567"/>
      <c r="B566" s="2567"/>
      <c r="C566" s="1378"/>
      <c r="D566" s="1379"/>
      <c r="E566" s="110"/>
      <c r="F566" s="110"/>
      <c r="G566" s="110"/>
      <c r="H566" s="1364"/>
      <c r="I566" s="1364"/>
      <c r="J566" s="1362"/>
    </row>
    <row r="567" spans="1:10" ht="15" x14ac:dyDescent="0.25">
      <c r="A567" s="2567"/>
      <c r="B567" s="2567"/>
      <c r="C567" s="1378"/>
      <c r="D567" s="1379"/>
      <c r="E567" s="110"/>
      <c r="F567" s="110"/>
      <c r="G567" s="110"/>
      <c r="H567" s="1364"/>
      <c r="I567" s="1364"/>
      <c r="J567" s="1362"/>
    </row>
    <row r="568" spans="1:10" ht="15" x14ac:dyDescent="0.25">
      <c r="A568" s="2567"/>
      <c r="B568" s="2567"/>
      <c r="C568" s="1378"/>
      <c r="D568" s="1379"/>
      <c r="E568" s="110"/>
      <c r="F568" s="110"/>
      <c r="G568" s="110"/>
      <c r="H568" s="1364"/>
      <c r="I568" s="1364"/>
      <c r="J568" s="1362"/>
    </row>
    <row r="569" spans="1:10" ht="15" x14ac:dyDescent="0.25">
      <c r="A569" s="2567"/>
      <c r="B569" s="2567"/>
      <c r="C569" s="1378"/>
      <c r="D569" s="1379"/>
      <c r="E569" s="110"/>
      <c r="F569" s="110"/>
      <c r="G569" s="110"/>
      <c r="H569" s="1364"/>
      <c r="I569" s="1364"/>
      <c r="J569" s="1362"/>
    </row>
    <row r="570" spans="1:10" ht="15" x14ac:dyDescent="0.25">
      <c r="A570" s="2567"/>
      <c r="B570" s="2567"/>
      <c r="C570" s="1378"/>
      <c r="D570" s="1379"/>
      <c r="E570" s="110"/>
      <c r="F570" s="110"/>
      <c r="G570" s="110"/>
      <c r="H570" s="1364"/>
      <c r="I570" s="1364"/>
      <c r="J570" s="1362"/>
    </row>
    <row r="571" spans="1:10" ht="15" x14ac:dyDescent="0.25">
      <c r="A571" s="2567"/>
      <c r="B571" s="2567"/>
      <c r="C571" s="1378"/>
      <c r="D571" s="1379"/>
      <c r="E571" s="110"/>
      <c r="F571" s="110"/>
      <c r="G571" s="110"/>
      <c r="H571" s="1364"/>
      <c r="I571" s="1364"/>
      <c r="J571" s="1362"/>
    </row>
    <row r="572" spans="1:10" ht="15" x14ac:dyDescent="0.25">
      <c r="A572" s="2567"/>
      <c r="B572" s="2567"/>
      <c r="C572" s="1378"/>
      <c r="D572" s="1379"/>
      <c r="E572" s="110"/>
      <c r="F572" s="110"/>
      <c r="G572" s="110"/>
      <c r="H572" s="1364"/>
      <c r="I572" s="1364"/>
      <c r="J572" s="1362"/>
    </row>
    <row r="573" spans="1:10" ht="15" x14ac:dyDescent="0.25">
      <c r="A573" s="2567"/>
      <c r="B573" s="2567"/>
      <c r="C573" s="1378"/>
      <c r="D573" s="1379"/>
      <c r="E573" s="110"/>
      <c r="F573" s="110"/>
      <c r="G573" s="110"/>
      <c r="H573" s="1364"/>
      <c r="I573" s="1364"/>
      <c r="J573" s="1362"/>
    </row>
    <row r="574" spans="1:10" ht="15" x14ac:dyDescent="0.25">
      <c r="A574" s="2567"/>
      <c r="B574" s="2567"/>
      <c r="C574" s="1378"/>
      <c r="D574" s="1379"/>
      <c r="E574" s="110"/>
      <c r="F574" s="110"/>
      <c r="G574" s="110"/>
      <c r="H574" s="1364"/>
      <c r="I574" s="1364"/>
      <c r="J574" s="1362"/>
    </row>
    <row r="575" spans="1:10" ht="15" x14ac:dyDescent="0.25">
      <c r="A575" s="2567"/>
      <c r="B575" s="2567"/>
      <c r="C575" s="1378"/>
      <c r="D575" s="1379"/>
      <c r="E575" s="110"/>
      <c r="F575" s="110"/>
      <c r="G575" s="110"/>
      <c r="H575" s="1364"/>
      <c r="I575" s="1364"/>
      <c r="J575" s="1362"/>
    </row>
    <row r="576" spans="1:10" ht="15" x14ac:dyDescent="0.25">
      <c r="A576" s="2567"/>
      <c r="B576" s="2567"/>
      <c r="C576" s="1378"/>
      <c r="D576" s="1379"/>
      <c r="E576" s="110"/>
      <c r="F576" s="110"/>
      <c r="G576" s="110"/>
      <c r="H576" s="1364"/>
      <c r="I576" s="1364"/>
      <c r="J576" s="1362"/>
    </row>
    <row r="577" spans="1:10" ht="15" x14ac:dyDescent="0.25">
      <c r="A577" s="2567"/>
      <c r="B577" s="2567"/>
      <c r="C577" s="1378"/>
      <c r="D577" s="1379"/>
      <c r="E577" s="110"/>
      <c r="F577" s="110"/>
      <c r="G577" s="110"/>
      <c r="H577" s="1364"/>
      <c r="I577" s="1364"/>
      <c r="J577" s="1362"/>
    </row>
    <row r="578" spans="1:10" ht="15" x14ac:dyDescent="0.25">
      <c r="A578" s="2563"/>
      <c r="B578" s="2564"/>
      <c r="C578" s="1378"/>
      <c r="D578" s="1379"/>
      <c r="E578" s="110"/>
      <c r="F578" s="110"/>
      <c r="G578" s="110"/>
      <c r="H578" s="1364"/>
      <c r="I578" s="1364"/>
      <c r="J578" s="1362"/>
    </row>
    <row r="579" spans="1:10" ht="15" x14ac:dyDescent="0.25">
      <c r="A579" s="2563"/>
      <c r="B579" s="2564"/>
      <c r="C579" s="1378"/>
      <c r="D579" s="1379"/>
      <c r="E579" s="110"/>
      <c r="F579" s="110"/>
      <c r="G579" s="110"/>
      <c r="H579" s="1364"/>
      <c r="I579" s="1364"/>
      <c r="J579" s="1362"/>
    </row>
    <row r="580" spans="1:10" ht="15" x14ac:dyDescent="0.25">
      <c r="A580" s="2563"/>
      <c r="B580" s="2564"/>
      <c r="C580" s="1378"/>
      <c r="D580" s="1379"/>
      <c r="E580" s="110"/>
      <c r="F580" s="110"/>
      <c r="G580" s="110"/>
      <c r="H580" s="1364"/>
      <c r="I580" s="1364"/>
      <c r="J580" s="1362"/>
    </row>
    <row r="581" spans="1:10" ht="15" x14ac:dyDescent="0.25">
      <c r="A581" s="2563"/>
      <c r="B581" s="2564"/>
      <c r="C581" s="1378"/>
      <c r="D581" s="1379"/>
      <c r="E581" s="110"/>
      <c r="F581" s="110"/>
      <c r="G581" s="110"/>
      <c r="H581" s="1364"/>
      <c r="I581" s="1364"/>
      <c r="J581" s="1362"/>
    </row>
    <row r="582" spans="1:10" ht="15" x14ac:dyDescent="0.25">
      <c r="A582" s="2563"/>
      <c r="B582" s="2564"/>
      <c r="C582" s="1378"/>
      <c r="D582" s="1379"/>
      <c r="E582" s="110"/>
      <c r="F582" s="110"/>
      <c r="G582" s="110"/>
      <c r="H582" s="1364"/>
      <c r="I582" s="1364"/>
      <c r="J582" s="1362"/>
    </row>
    <row r="583" spans="1:10" ht="15" x14ac:dyDescent="0.25">
      <c r="A583" s="1382"/>
      <c r="B583" s="1383"/>
      <c r="C583" s="1383"/>
      <c r="D583" s="1384"/>
      <c r="E583" s="1385"/>
      <c r="F583" s="1385"/>
      <c r="G583" s="110"/>
      <c r="H583" s="1364"/>
      <c r="I583" s="1364"/>
      <c r="J583" s="1362"/>
    </row>
    <row r="584" spans="1:10" ht="18" x14ac:dyDescent="0.25">
      <c r="A584" s="1366" t="s">
        <v>950</v>
      </c>
      <c r="B584" s="48"/>
      <c r="C584" s="48"/>
      <c r="D584" s="112"/>
      <c r="E584" s="110"/>
      <c r="F584" s="110"/>
      <c r="G584" s="110"/>
      <c r="H584" s="110"/>
      <c r="I584" s="110"/>
      <c r="J584" s="1362"/>
    </row>
    <row r="585" spans="1:10" ht="15" x14ac:dyDescent="0.25">
      <c r="A585" s="49"/>
      <c r="B585" s="48"/>
      <c r="C585" s="48"/>
      <c r="D585" s="112"/>
      <c r="E585" s="110"/>
      <c r="F585" s="110"/>
      <c r="G585" s="110"/>
      <c r="H585" s="110"/>
      <c r="I585" s="110"/>
      <c r="J585" s="1362"/>
    </row>
    <row r="586" spans="1:10" ht="36.75" customHeight="1" x14ac:dyDescent="0.25">
      <c r="A586" s="2558" t="s">
        <v>1384</v>
      </c>
      <c r="B586" s="2558"/>
      <c r="C586" s="2558"/>
      <c r="D586" s="2559"/>
      <c r="E586" s="2559"/>
      <c r="F586" s="2559"/>
      <c r="G586" s="2559"/>
      <c r="H586" s="2559"/>
      <c r="I586" s="1804"/>
      <c r="J586" s="1362"/>
    </row>
    <row r="587" spans="1:10" ht="15" x14ac:dyDescent="0.25">
      <c r="A587" s="2558"/>
      <c r="B587" s="2558"/>
      <c r="C587" s="2558"/>
      <c r="D587" s="2559"/>
      <c r="E587" s="2559"/>
      <c r="F587" s="2559"/>
      <c r="G587" s="2559"/>
      <c r="H587" s="2559"/>
      <c r="I587" s="1804"/>
      <c r="J587" s="1362"/>
    </row>
    <row r="588" spans="1:10" ht="51" customHeight="1" x14ac:dyDescent="0.25">
      <c r="A588" s="2558" t="s">
        <v>1387</v>
      </c>
      <c r="B588" s="2558"/>
      <c r="C588" s="2558"/>
      <c r="D588" s="2559"/>
      <c r="E588" s="2559"/>
      <c r="F588" s="2559"/>
      <c r="G588" s="2559"/>
      <c r="H588" s="2559"/>
      <c r="I588" s="1804"/>
      <c r="J588" s="1362"/>
    </row>
    <row r="589" spans="1:10" ht="15" x14ac:dyDescent="0.25">
      <c r="A589" s="2558"/>
      <c r="B589" s="2558"/>
      <c r="C589" s="2558"/>
      <c r="D589" s="2559"/>
      <c r="E589" s="2559"/>
      <c r="F589" s="2559"/>
      <c r="G589" s="2559"/>
      <c r="H589" s="2559"/>
      <c r="I589" s="1804"/>
      <c r="J589" s="1362"/>
    </row>
    <row r="590" spans="1:10" ht="27" customHeight="1" x14ac:dyDescent="0.25">
      <c r="A590" s="2558" t="s">
        <v>1388</v>
      </c>
      <c r="B590" s="2558"/>
      <c r="C590" s="2558"/>
      <c r="D590" s="2559"/>
      <c r="E590" s="2559"/>
      <c r="F590" s="2559"/>
      <c r="G590" s="2559"/>
      <c r="H590" s="2559"/>
      <c r="I590" s="1804"/>
      <c r="J590" s="1362"/>
    </row>
    <row r="591" spans="1:10" ht="15" x14ac:dyDescent="0.25">
      <c r="A591" s="2558"/>
      <c r="B591" s="2558"/>
      <c r="C591" s="2558"/>
      <c r="D591" s="2559"/>
      <c r="E591" s="2559"/>
      <c r="F591" s="2559"/>
      <c r="G591" s="2559"/>
      <c r="H591" s="2559"/>
      <c r="I591" s="1804"/>
      <c r="J591" s="1362"/>
    </row>
    <row r="592" spans="1:10" ht="36.75" customHeight="1" x14ac:dyDescent="0.25">
      <c r="A592" s="2558" t="s">
        <v>1386</v>
      </c>
      <c r="B592" s="2558"/>
      <c r="C592" s="2558"/>
      <c r="D592" s="2559"/>
      <c r="E592" s="2559"/>
      <c r="F592" s="2559"/>
      <c r="G592" s="2559"/>
      <c r="H592" s="2559"/>
      <c r="I592" s="1804"/>
      <c r="J592" s="1362"/>
    </row>
    <row r="593" spans="1:10" ht="15" x14ac:dyDescent="0.25">
      <c r="A593" s="2558"/>
      <c r="B593" s="2558"/>
      <c r="C593" s="2558"/>
      <c r="D593" s="2559"/>
      <c r="E593" s="2559"/>
      <c r="F593" s="2559"/>
      <c r="G593" s="2559"/>
      <c r="H593" s="2559"/>
      <c r="I593" s="1804"/>
      <c r="J593" s="1362"/>
    </row>
    <row r="594" spans="1:10" ht="24.75" customHeight="1" x14ac:dyDescent="0.25">
      <c r="A594" s="2558" t="s">
        <v>1389</v>
      </c>
      <c r="B594" s="2558"/>
      <c r="C594" s="2558"/>
      <c r="D594" s="2559"/>
      <c r="E594" s="2559"/>
      <c r="F594" s="2559"/>
      <c r="G594" s="2559"/>
      <c r="H594" s="2559"/>
      <c r="I594" s="1804"/>
      <c r="J594" s="1362"/>
    </row>
    <row r="595" spans="1:10" ht="15" x14ac:dyDescent="0.25">
      <c r="A595" s="1386"/>
      <c r="B595" s="48"/>
      <c r="C595" s="48"/>
      <c r="D595" s="112"/>
      <c r="E595" s="110"/>
      <c r="F595" s="110"/>
      <c r="G595" s="110"/>
      <c r="H595" s="110"/>
      <c r="I595" s="110"/>
      <c r="J595" s="1362"/>
    </row>
    <row r="596" spans="1:10" ht="15" customHeight="1" x14ac:dyDescent="0.25">
      <c r="A596" s="2550" t="s">
        <v>951</v>
      </c>
      <c r="B596" s="2551"/>
      <c r="C596" s="86" t="s">
        <v>217</v>
      </c>
      <c r="D596" s="116">
        <v>100</v>
      </c>
      <c r="E596" s="2568"/>
      <c r="F596" s="2569"/>
      <c r="G596" s="117"/>
      <c r="H596" s="1364"/>
      <c r="I596" s="1364"/>
      <c r="J596" s="1362"/>
    </row>
    <row r="597" spans="1:10" ht="15" x14ac:dyDescent="0.25">
      <c r="A597" s="2550" t="s">
        <v>952</v>
      </c>
      <c r="B597" s="2551"/>
      <c r="C597" s="86" t="s">
        <v>217</v>
      </c>
      <c r="D597" s="116">
        <v>20</v>
      </c>
      <c r="E597" s="118"/>
      <c r="F597" s="119"/>
      <c r="G597" s="117"/>
      <c r="H597" s="1364"/>
      <c r="I597" s="1364"/>
      <c r="J597" s="1362"/>
    </row>
    <row r="598" spans="1:10" ht="15" x14ac:dyDescent="0.25">
      <c r="A598" s="2550" t="s">
        <v>953</v>
      </c>
      <c r="B598" s="2551"/>
      <c r="C598" s="86" t="s">
        <v>954</v>
      </c>
      <c r="D598" s="120">
        <v>0.5</v>
      </c>
      <c r="E598" s="118"/>
      <c r="F598" s="119"/>
      <c r="G598" s="117"/>
      <c r="H598" s="1364"/>
      <c r="I598" s="1364"/>
      <c r="J598" s="1362"/>
    </row>
    <row r="599" spans="1:10" ht="15" x14ac:dyDescent="0.25">
      <c r="A599" s="2550" t="s">
        <v>955</v>
      </c>
      <c r="B599" s="2551"/>
      <c r="C599" s="86" t="s">
        <v>954</v>
      </c>
      <c r="D599" s="120">
        <v>0.3</v>
      </c>
      <c r="E599" s="118"/>
      <c r="F599" s="119"/>
      <c r="G599" s="117"/>
      <c r="H599" s="1364"/>
      <c r="I599" s="1364"/>
      <c r="J599" s="1362"/>
    </row>
    <row r="600" spans="1:10" ht="15" x14ac:dyDescent="0.25">
      <c r="A600" s="2550" t="s">
        <v>956</v>
      </c>
      <c r="B600" s="2551"/>
      <c r="C600" s="86" t="s">
        <v>954</v>
      </c>
      <c r="D600" s="120">
        <v>-0.3</v>
      </c>
      <c r="E600" s="118"/>
      <c r="F600" s="119"/>
      <c r="G600" s="117"/>
      <c r="H600" s="1364"/>
      <c r="I600" s="1364"/>
      <c r="J600" s="1362"/>
    </row>
    <row r="601" spans="1:10" ht="15" x14ac:dyDescent="0.25">
      <c r="A601" s="2550" t="s">
        <v>957</v>
      </c>
      <c r="B601" s="2551"/>
      <c r="C601" s="88"/>
      <c r="D601" s="121"/>
      <c r="E601" s="118"/>
      <c r="F601" s="119"/>
      <c r="G601" s="117"/>
      <c r="H601" s="1364"/>
      <c r="I601" s="1364"/>
      <c r="J601" s="1362"/>
    </row>
    <row r="602" spans="1:10" ht="15" x14ac:dyDescent="0.25">
      <c r="A602" s="2571" t="s">
        <v>958</v>
      </c>
      <c r="B602" s="2572"/>
      <c r="C602" s="86" t="s">
        <v>217</v>
      </c>
      <c r="D602" s="116">
        <v>0.25</v>
      </c>
      <c r="E602" s="118"/>
      <c r="F602" s="119"/>
      <c r="G602" s="122"/>
      <c r="H602" s="1364"/>
      <c r="I602" s="1364"/>
      <c r="J602" s="1362"/>
    </row>
    <row r="603" spans="1:10" ht="15" x14ac:dyDescent="0.25">
      <c r="A603" s="2571" t="s">
        <v>959</v>
      </c>
      <c r="B603" s="2572"/>
      <c r="C603" s="86" t="s">
        <v>217</v>
      </c>
      <c r="D603" s="116">
        <v>0.5</v>
      </c>
      <c r="E603" s="118"/>
      <c r="F603" s="119"/>
      <c r="G603" s="122"/>
      <c r="H603" s="1364"/>
      <c r="I603" s="1364"/>
      <c r="J603" s="1362"/>
    </row>
    <row r="604" spans="1:10" ht="15" customHeight="1" x14ac:dyDescent="0.25">
      <c r="A604" s="2550" t="s">
        <v>960</v>
      </c>
      <c r="B604" s="2551"/>
      <c r="C604" s="88"/>
      <c r="D604" s="121"/>
      <c r="E604" s="118"/>
      <c r="F604" s="119"/>
      <c r="G604" s="123"/>
      <c r="H604" s="1364"/>
      <c r="I604" s="1364"/>
      <c r="J604" s="1362"/>
    </row>
    <row r="605" spans="1:10" ht="15" customHeight="1" x14ac:dyDescent="0.25">
      <c r="A605" s="2550" t="s">
        <v>961</v>
      </c>
      <c r="B605" s="2551"/>
      <c r="C605" s="88"/>
      <c r="D605" s="121"/>
      <c r="E605" s="118"/>
      <c r="F605" s="119"/>
      <c r="G605" s="123"/>
      <c r="H605" s="1364"/>
      <c r="I605" s="1364"/>
      <c r="J605" s="1362"/>
    </row>
    <row r="606" spans="1:10" ht="15" customHeight="1" x14ac:dyDescent="0.25">
      <c r="A606" s="2550" t="s">
        <v>962</v>
      </c>
      <c r="B606" s="2551"/>
      <c r="C606" s="88"/>
      <c r="D606" s="121"/>
      <c r="E606" s="118"/>
      <c r="F606" s="119"/>
      <c r="G606" s="123"/>
      <c r="H606" s="1364"/>
      <c r="I606" s="1364"/>
      <c r="J606" s="1362"/>
    </row>
    <row r="607" spans="1:10" ht="15" x14ac:dyDescent="0.25">
      <c r="A607" s="2571" t="s">
        <v>963</v>
      </c>
      <c r="B607" s="2572"/>
      <c r="C607" s="86" t="s">
        <v>217</v>
      </c>
      <c r="D607" s="116" t="s">
        <v>964</v>
      </c>
      <c r="E607" s="118"/>
      <c r="F607" s="119"/>
      <c r="G607" s="122"/>
      <c r="H607" s="1364"/>
      <c r="I607" s="1364"/>
      <c r="J607" s="1362"/>
    </row>
    <row r="608" spans="1:10" ht="15" customHeight="1" x14ac:dyDescent="0.25">
      <c r="A608" s="2571" t="s">
        <v>965</v>
      </c>
      <c r="B608" s="2572"/>
      <c r="C608" s="86" t="s">
        <v>217</v>
      </c>
      <c r="D608" s="116">
        <v>2</v>
      </c>
      <c r="E608" s="118"/>
      <c r="F608" s="119"/>
      <c r="G608" s="122"/>
      <c r="H608" s="1364"/>
      <c r="I608" s="1364"/>
      <c r="J608" s="1362"/>
    </row>
    <row r="609" spans="1:10" ht="15" x14ac:dyDescent="0.25">
      <c r="A609" s="49"/>
      <c r="B609" s="48"/>
      <c r="C609" s="1381"/>
      <c r="D609" s="112"/>
      <c r="E609" s="110"/>
      <c r="F609" s="110"/>
      <c r="G609" s="110"/>
      <c r="H609" s="110"/>
      <c r="I609" s="110"/>
      <c r="J609" s="1362"/>
    </row>
    <row r="610" spans="1:10" ht="20.25" x14ac:dyDescent="0.3">
      <c r="A610" s="1387" t="s">
        <v>966</v>
      </c>
      <c r="B610" s="48"/>
      <c r="C610" s="48"/>
      <c r="D610" s="112"/>
      <c r="E610" s="110"/>
      <c r="F610" s="110"/>
      <c r="G610" s="110"/>
      <c r="H610" s="110"/>
      <c r="I610" s="110"/>
      <c r="J610" s="1362"/>
    </row>
    <row r="611" spans="1:10" ht="15" x14ac:dyDescent="0.25">
      <c r="D611" s="110"/>
      <c r="E611" s="110"/>
      <c r="F611" s="110"/>
      <c r="G611" s="110"/>
      <c r="H611" s="110"/>
      <c r="I611" s="110"/>
      <c r="J611" s="1362"/>
    </row>
    <row r="612" spans="1:10" ht="27.75" customHeight="1" x14ac:dyDescent="0.25">
      <c r="A612" s="2558" t="s">
        <v>967</v>
      </c>
      <c r="B612" s="2558"/>
      <c r="C612" s="2558"/>
      <c r="D612" s="2559"/>
      <c r="E612" s="2559"/>
      <c r="F612" s="2559"/>
      <c r="G612" s="2559"/>
      <c r="H612" s="2559"/>
      <c r="I612" s="1804"/>
      <c r="J612" s="1362"/>
    </row>
    <row r="613" spans="1:10" ht="15" x14ac:dyDescent="0.25">
      <c r="A613" s="1388"/>
      <c r="B613" s="88"/>
      <c r="C613" s="88"/>
      <c r="D613" s="121"/>
      <c r="E613" s="121"/>
      <c r="F613" s="121"/>
      <c r="G613" s="121"/>
      <c r="H613" s="121"/>
      <c r="I613" s="121"/>
      <c r="J613" s="1362"/>
    </row>
    <row r="614" spans="1:10" ht="15" x14ac:dyDescent="0.25">
      <c r="A614" s="88"/>
      <c r="B614" s="88"/>
      <c r="C614" s="88"/>
      <c r="D614" s="121"/>
      <c r="E614" s="1364"/>
      <c r="F614" s="121"/>
      <c r="G614" s="121"/>
      <c r="H614" s="121"/>
      <c r="I614" s="121"/>
      <c r="J614" s="1362"/>
    </row>
    <row r="615" spans="1:10" ht="15" x14ac:dyDescent="0.25">
      <c r="A615" s="2570"/>
      <c r="B615" s="2570"/>
      <c r="C615" s="88"/>
      <c r="D615" s="54"/>
      <c r="E615" s="1364"/>
      <c r="F615" s="121"/>
      <c r="G615" s="121"/>
      <c r="H615" s="121"/>
      <c r="I615" s="1364"/>
      <c r="J615" s="1362"/>
    </row>
    <row r="616" spans="1:10" ht="15" x14ac:dyDescent="0.25">
      <c r="A616" s="2570"/>
      <c r="B616" s="2570"/>
      <c r="C616" s="88"/>
      <c r="D616" s="55"/>
      <c r="E616" s="1364"/>
      <c r="F616" s="121"/>
      <c r="G616" s="121"/>
      <c r="H616" s="121"/>
      <c r="I616" s="1364"/>
      <c r="J616" s="1362"/>
    </row>
    <row r="617" spans="1:10" ht="15" x14ac:dyDescent="0.25">
      <c r="A617" s="2570"/>
      <c r="B617" s="2570"/>
      <c r="C617" s="88"/>
      <c r="D617" s="55"/>
      <c r="E617" s="1364"/>
      <c r="F617" s="121"/>
      <c r="G617" s="121"/>
      <c r="H617" s="121"/>
      <c r="I617" s="1364"/>
      <c r="J617" s="1362"/>
    </row>
    <row r="618" spans="1:10" ht="15" x14ac:dyDescent="0.25">
      <c r="A618" s="2570"/>
      <c r="B618" s="2570"/>
      <c r="C618" s="88"/>
      <c r="D618" s="55"/>
      <c r="E618" s="1364"/>
      <c r="F618" s="121"/>
      <c r="G618" s="121"/>
      <c r="H618" s="121"/>
      <c r="I618" s="1364"/>
      <c r="J618" s="1362"/>
    </row>
    <row r="619" spans="1:10" ht="15" x14ac:dyDescent="0.25">
      <c r="A619" s="2570"/>
      <c r="B619" s="2570"/>
      <c r="C619" s="88"/>
      <c r="D619" s="55"/>
      <c r="E619" s="1364"/>
      <c r="F619" s="121"/>
      <c r="G619" s="121"/>
      <c r="H619" s="121"/>
      <c r="I619" s="1364"/>
      <c r="J619" s="1362"/>
    </row>
    <row r="620" spans="1:10" ht="15" x14ac:dyDescent="0.25">
      <c r="A620" s="2570"/>
      <c r="B620" s="2570"/>
      <c r="C620" s="88"/>
      <c r="D620" s="56"/>
      <c r="E620" s="1364"/>
      <c r="F620" s="121"/>
      <c r="G620" s="121"/>
      <c r="H620" s="121"/>
      <c r="I620" s="1364"/>
      <c r="J620" s="1362"/>
    </row>
    <row r="621" spans="1:10" x14ac:dyDescent="0.2">
      <c r="D621" s="110"/>
      <c r="E621" s="110"/>
      <c r="F621" s="110"/>
      <c r="G621" s="110"/>
      <c r="H621" s="110"/>
      <c r="I621" s="110"/>
    </row>
    <row r="622" spans="1:10" x14ac:dyDescent="0.2">
      <c r="D622" s="110"/>
      <c r="E622" s="110"/>
      <c r="F622" s="110"/>
      <c r="G622" s="110"/>
      <c r="H622" s="110"/>
      <c r="I622" s="110"/>
    </row>
    <row r="623" spans="1:10" x14ac:dyDescent="0.2">
      <c r="D623" s="110"/>
      <c r="E623" s="110"/>
      <c r="F623" s="110"/>
      <c r="G623" s="110"/>
      <c r="H623" s="110"/>
      <c r="I623" s="110"/>
    </row>
    <row r="624" spans="1:10" x14ac:dyDescent="0.2">
      <c r="D624" s="110"/>
      <c r="E624" s="110"/>
      <c r="F624" s="110"/>
      <c r="G624" s="110"/>
      <c r="H624" s="110"/>
      <c r="I624" s="110"/>
    </row>
    <row r="625" spans="4:9" x14ac:dyDescent="0.2">
      <c r="D625" s="110"/>
      <c r="E625" s="110"/>
      <c r="F625" s="110"/>
      <c r="G625" s="110"/>
      <c r="H625" s="110"/>
      <c r="I625" s="110"/>
    </row>
    <row r="626" spans="4:9" x14ac:dyDescent="0.2">
      <c r="D626" s="110"/>
      <c r="E626" s="110"/>
      <c r="F626" s="110"/>
      <c r="G626" s="110"/>
      <c r="H626" s="110"/>
      <c r="I626" s="110"/>
    </row>
    <row r="627" spans="4:9" x14ac:dyDescent="0.2">
      <c r="D627" s="110"/>
      <c r="E627" s="110"/>
      <c r="F627" s="110"/>
      <c r="G627" s="110"/>
      <c r="H627" s="110"/>
      <c r="I627" s="110"/>
    </row>
    <row r="628" spans="4:9" x14ac:dyDescent="0.2">
      <c r="D628" s="110"/>
      <c r="E628" s="110"/>
      <c r="F628" s="110"/>
      <c r="G628" s="110"/>
      <c r="H628" s="110"/>
      <c r="I628" s="110"/>
    </row>
    <row r="629" spans="4:9" x14ac:dyDescent="0.2">
      <c r="D629" s="110"/>
      <c r="E629" s="110"/>
      <c r="F629" s="110"/>
      <c r="G629" s="110"/>
      <c r="H629" s="110"/>
      <c r="I629" s="110"/>
    </row>
    <row r="630" spans="4:9" x14ac:dyDescent="0.2">
      <c r="D630" s="110"/>
      <c r="E630" s="110"/>
      <c r="F630" s="110"/>
      <c r="G630" s="110"/>
      <c r="H630" s="110"/>
      <c r="I630" s="110"/>
    </row>
    <row r="631" spans="4:9" x14ac:dyDescent="0.2">
      <c r="D631" s="110"/>
      <c r="E631" s="110"/>
      <c r="F631" s="110"/>
      <c r="G631" s="110"/>
      <c r="H631" s="110"/>
      <c r="I631" s="110"/>
    </row>
    <row r="632" spans="4:9" x14ac:dyDescent="0.2">
      <c r="D632" s="110"/>
      <c r="E632" s="110"/>
      <c r="F632" s="110"/>
      <c r="G632" s="110"/>
      <c r="H632" s="110"/>
      <c r="I632" s="110"/>
    </row>
    <row r="633" spans="4:9" x14ac:dyDescent="0.2">
      <c r="D633" s="110"/>
      <c r="E633" s="110"/>
      <c r="F633" s="110"/>
      <c r="G633" s="110"/>
      <c r="H633" s="110"/>
      <c r="I633" s="110"/>
    </row>
    <row r="634" spans="4:9" x14ac:dyDescent="0.2">
      <c r="D634" s="110"/>
      <c r="E634" s="110"/>
      <c r="F634" s="110"/>
      <c r="G634" s="110"/>
      <c r="H634" s="110"/>
      <c r="I634" s="110"/>
    </row>
    <row r="635" spans="4:9" x14ac:dyDescent="0.2">
      <c r="D635" s="110"/>
      <c r="E635" s="110"/>
      <c r="F635" s="110"/>
      <c r="G635" s="110"/>
      <c r="H635" s="110"/>
      <c r="I635" s="110"/>
    </row>
    <row r="636" spans="4:9" x14ac:dyDescent="0.2">
      <c r="D636" s="110"/>
      <c r="E636" s="110"/>
      <c r="F636" s="110"/>
      <c r="G636" s="110"/>
      <c r="H636" s="110"/>
      <c r="I636" s="110"/>
    </row>
    <row r="637" spans="4:9" x14ac:dyDescent="0.2">
      <c r="D637" s="110"/>
      <c r="E637" s="110"/>
      <c r="F637" s="110"/>
      <c r="G637" s="110"/>
      <c r="H637" s="110"/>
      <c r="I637" s="110"/>
    </row>
    <row r="638" spans="4:9" x14ac:dyDescent="0.2">
      <c r="D638" s="110"/>
      <c r="E638" s="110"/>
      <c r="F638" s="110"/>
      <c r="G638" s="110"/>
      <c r="H638" s="110"/>
      <c r="I638" s="110"/>
    </row>
    <row r="639" spans="4:9" x14ac:dyDescent="0.2">
      <c r="D639" s="110"/>
      <c r="E639" s="110"/>
      <c r="F639" s="110"/>
      <c r="G639" s="110"/>
      <c r="H639" s="110"/>
      <c r="I639" s="110"/>
    </row>
    <row r="640" spans="4:9" x14ac:dyDescent="0.2">
      <c r="D640" s="110"/>
      <c r="E640" s="110"/>
      <c r="F640" s="110"/>
      <c r="G640" s="110"/>
      <c r="H640" s="110"/>
      <c r="I640" s="110"/>
    </row>
    <row r="641" spans="4:9" x14ac:dyDescent="0.2">
      <c r="D641" s="110"/>
      <c r="E641" s="110"/>
      <c r="F641" s="110"/>
      <c r="G641" s="110"/>
      <c r="H641" s="110"/>
      <c r="I641" s="110"/>
    </row>
    <row r="642" spans="4:9" x14ac:dyDescent="0.2">
      <c r="D642" s="110"/>
      <c r="E642" s="110"/>
      <c r="F642" s="110"/>
      <c r="G642" s="110"/>
      <c r="H642" s="110"/>
      <c r="I642" s="110"/>
    </row>
    <row r="643" spans="4:9" x14ac:dyDescent="0.2">
      <c r="D643" s="110"/>
      <c r="E643" s="110"/>
      <c r="F643" s="110"/>
      <c r="G643" s="110"/>
      <c r="H643" s="110"/>
      <c r="I643" s="110"/>
    </row>
    <row r="644" spans="4:9" x14ac:dyDescent="0.2">
      <c r="D644" s="110"/>
      <c r="E644" s="110"/>
      <c r="F644" s="110"/>
      <c r="G644" s="110"/>
      <c r="H644" s="110"/>
      <c r="I644" s="110"/>
    </row>
    <row r="645" spans="4:9" x14ac:dyDescent="0.2">
      <c r="D645" s="110"/>
      <c r="E645" s="110"/>
      <c r="F645" s="110"/>
      <c r="G645" s="110"/>
      <c r="H645" s="110"/>
      <c r="I645" s="110"/>
    </row>
    <row r="646" spans="4:9" x14ac:dyDescent="0.2">
      <c r="D646" s="110"/>
      <c r="E646" s="110"/>
      <c r="F646" s="110"/>
      <c r="G646" s="110"/>
      <c r="H646" s="110"/>
      <c r="I646" s="110"/>
    </row>
    <row r="647" spans="4:9" x14ac:dyDescent="0.2">
      <c r="D647" s="110"/>
      <c r="E647" s="110"/>
      <c r="F647" s="110"/>
      <c r="G647" s="110"/>
      <c r="H647" s="110"/>
      <c r="I647" s="110"/>
    </row>
    <row r="648" spans="4:9" x14ac:dyDescent="0.2">
      <c r="D648" s="110"/>
      <c r="E648" s="110"/>
      <c r="F648" s="110"/>
      <c r="G648" s="110"/>
      <c r="H648" s="110"/>
      <c r="I648" s="110"/>
    </row>
    <row r="649" spans="4:9" x14ac:dyDescent="0.2">
      <c r="D649" s="110"/>
      <c r="E649" s="110"/>
      <c r="F649" s="110"/>
      <c r="G649" s="110"/>
      <c r="H649" s="110"/>
      <c r="I649" s="110"/>
    </row>
    <row r="650" spans="4:9" x14ac:dyDescent="0.2">
      <c r="D650" s="110"/>
      <c r="E650" s="110"/>
      <c r="F650" s="110"/>
      <c r="G650" s="110"/>
      <c r="H650" s="110"/>
      <c r="I650" s="110"/>
    </row>
    <row r="651" spans="4:9" x14ac:dyDescent="0.2">
      <c r="D651" s="110"/>
      <c r="E651" s="110"/>
      <c r="F651" s="110"/>
      <c r="G651" s="110"/>
      <c r="H651" s="110"/>
      <c r="I651" s="110"/>
    </row>
    <row r="652" spans="4:9" x14ac:dyDescent="0.2">
      <c r="D652" s="110"/>
      <c r="E652" s="110"/>
      <c r="F652" s="110"/>
      <c r="G652" s="110"/>
      <c r="H652" s="110"/>
      <c r="I652" s="110"/>
    </row>
    <row r="653" spans="4:9" x14ac:dyDescent="0.2">
      <c r="D653" s="110"/>
      <c r="E653" s="110"/>
      <c r="F653" s="110"/>
      <c r="G653" s="110"/>
      <c r="H653" s="110"/>
      <c r="I653" s="110"/>
    </row>
    <row r="654" spans="4:9" x14ac:dyDescent="0.2">
      <c r="D654" s="110"/>
      <c r="E654" s="110"/>
      <c r="F654" s="110"/>
      <c r="G654" s="110"/>
      <c r="H654" s="110"/>
      <c r="I654" s="110"/>
    </row>
    <row r="655" spans="4:9" x14ac:dyDescent="0.2">
      <c r="D655" s="110"/>
      <c r="E655" s="110"/>
      <c r="F655" s="110"/>
      <c r="G655" s="110"/>
      <c r="H655" s="110"/>
      <c r="I655" s="110"/>
    </row>
    <row r="656" spans="4:9" x14ac:dyDescent="0.2">
      <c r="D656" s="110"/>
      <c r="E656" s="110"/>
      <c r="F656" s="110"/>
      <c r="G656" s="110"/>
      <c r="H656" s="110"/>
      <c r="I656" s="110"/>
    </row>
    <row r="657" spans="4:9" x14ac:dyDescent="0.2">
      <c r="D657" s="110"/>
      <c r="E657" s="110"/>
      <c r="F657" s="110"/>
      <c r="G657" s="110"/>
      <c r="H657" s="110"/>
      <c r="I657" s="110"/>
    </row>
    <row r="658" spans="4:9" x14ac:dyDescent="0.2">
      <c r="D658" s="110"/>
      <c r="E658" s="110"/>
      <c r="F658" s="110"/>
      <c r="G658" s="110"/>
      <c r="H658" s="110"/>
      <c r="I658" s="110"/>
    </row>
    <row r="659" spans="4:9" x14ac:dyDescent="0.2">
      <c r="D659" s="110"/>
      <c r="E659" s="110"/>
      <c r="F659" s="110"/>
      <c r="G659" s="110"/>
      <c r="H659" s="110"/>
      <c r="I659" s="110"/>
    </row>
    <row r="660" spans="4:9" x14ac:dyDescent="0.2">
      <c r="D660" s="110"/>
      <c r="E660" s="110"/>
      <c r="F660" s="110"/>
      <c r="G660" s="110"/>
      <c r="H660" s="110"/>
      <c r="I660" s="110"/>
    </row>
    <row r="661" spans="4:9" x14ac:dyDescent="0.2">
      <c r="D661" s="110"/>
      <c r="E661" s="110"/>
      <c r="F661" s="110"/>
      <c r="G661" s="110"/>
      <c r="H661" s="110"/>
      <c r="I661" s="110"/>
    </row>
    <row r="662" spans="4:9" x14ac:dyDescent="0.2">
      <c r="D662" s="110"/>
      <c r="E662" s="110"/>
      <c r="F662" s="110"/>
      <c r="G662" s="110"/>
      <c r="H662" s="110"/>
      <c r="I662" s="110"/>
    </row>
    <row r="663" spans="4:9" x14ac:dyDescent="0.2">
      <c r="D663" s="110"/>
      <c r="E663" s="110"/>
      <c r="F663" s="110"/>
      <c r="G663" s="110"/>
      <c r="H663" s="110"/>
      <c r="I663" s="110"/>
    </row>
    <row r="664" spans="4:9" x14ac:dyDescent="0.2">
      <c r="D664" s="110"/>
      <c r="E664" s="110"/>
      <c r="F664" s="110"/>
      <c r="G664" s="110"/>
      <c r="H664" s="110"/>
      <c r="I664" s="110"/>
    </row>
    <row r="665" spans="4:9" x14ac:dyDescent="0.2">
      <c r="D665" s="110"/>
      <c r="E665" s="110"/>
      <c r="F665" s="110"/>
      <c r="G665" s="110"/>
      <c r="H665" s="110"/>
      <c r="I665" s="110"/>
    </row>
    <row r="666" spans="4:9" x14ac:dyDescent="0.2">
      <c r="D666" s="110"/>
      <c r="E666" s="110"/>
      <c r="F666" s="110"/>
      <c r="G666" s="110"/>
      <c r="H666" s="110"/>
      <c r="I666" s="110"/>
    </row>
    <row r="667" spans="4:9" x14ac:dyDescent="0.2">
      <c r="D667" s="110"/>
      <c r="E667" s="110"/>
      <c r="F667" s="110"/>
      <c r="G667" s="110"/>
      <c r="H667" s="110"/>
      <c r="I667" s="110"/>
    </row>
    <row r="668" spans="4:9" x14ac:dyDescent="0.2">
      <c r="D668" s="110"/>
      <c r="E668" s="110"/>
      <c r="F668" s="110"/>
      <c r="G668" s="110"/>
      <c r="H668" s="110"/>
      <c r="I668" s="110"/>
    </row>
    <row r="669" spans="4:9" x14ac:dyDescent="0.2">
      <c r="D669" s="110"/>
      <c r="E669" s="110"/>
      <c r="F669" s="110"/>
      <c r="G669" s="110"/>
      <c r="H669" s="110"/>
      <c r="I669" s="110"/>
    </row>
    <row r="670" spans="4:9" x14ac:dyDescent="0.2">
      <c r="D670" s="110"/>
      <c r="E670" s="110"/>
      <c r="F670" s="110"/>
      <c r="G670" s="110"/>
      <c r="H670" s="110"/>
      <c r="I670" s="110"/>
    </row>
    <row r="671" spans="4:9" x14ac:dyDescent="0.2">
      <c r="D671" s="110"/>
      <c r="E671" s="110"/>
      <c r="F671" s="110"/>
      <c r="G671" s="110"/>
      <c r="H671" s="110"/>
      <c r="I671" s="110"/>
    </row>
    <row r="672" spans="4:9" x14ac:dyDescent="0.2">
      <c r="D672" s="110"/>
      <c r="E672" s="110"/>
      <c r="F672" s="110"/>
      <c r="G672" s="110"/>
      <c r="H672" s="110"/>
      <c r="I672" s="110"/>
    </row>
    <row r="673" spans="4:9" x14ac:dyDescent="0.2">
      <c r="D673" s="110"/>
      <c r="E673" s="110"/>
      <c r="F673" s="110"/>
      <c r="G673" s="110"/>
      <c r="H673" s="110"/>
      <c r="I673" s="110"/>
    </row>
    <row r="674" spans="4:9" x14ac:dyDescent="0.2">
      <c r="D674" s="110"/>
      <c r="E674" s="110"/>
      <c r="F674" s="110"/>
      <c r="G674" s="110"/>
      <c r="H674" s="110"/>
      <c r="I674" s="110"/>
    </row>
    <row r="675" spans="4:9" x14ac:dyDescent="0.2">
      <c r="D675" s="110"/>
      <c r="E675" s="110"/>
      <c r="F675" s="110"/>
      <c r="G675" s="110"/>
      <c r="H675" s="110"/>
      <c r="I675" s="110"/>
    </row>
    <row r="676" spans="4:9" x14ac:dyDescent="0.2">
      <c r="D676" s="110"/>
      <c r="E676" s="110"/>
      <c r="F676" s="110"/>
      <c r="G676" s="110"/>
      <c r="H676" s="110"/>
      <c r="I676" s="110"/>
    </row>
    <row r="677" spans="4:9" x14ac:dyDescent="0.2">
      <c r="D677" s="110"/>
      <c r="E677" s="110"/>
      <c r="F677" s="110"/>
      <c r="G677" s="110"/>
      <c r="H677" s="110"/>
      <c r="I677" s="110"/>
    </row>
    <row r="678" spans="4:9" x14ac:dyDescent="0.2">
      <c r="D678" s="110"/>
      <c r="E678" s="110"/>
      <c r="F678" s="110"/>
      <c r="G678" s="110"/>
      <c r="H678" s="110"/>
      <c r="I678" s="110"/>
    </row>
    <row r="679" spans="4:9" x14ac:dyDescent="0.2">
      <c r="D679" s="110"/>
      <c r="E679" s="110"/>
      <c r="F679" s="110"/>
      <c r="G679" s="110"/>
      <c r="H679" s="110"/>
      <c r="I679" s="110"/>
    </row>
    <row r="680" spans="4:9" x14ac:dyDescent="0.2">
      <c r="D680" s="110"/>
      <c r="E680" s="110"/>
      <c r="F680" s="110"/>
      <c r="G680" s="110"/>
      <c r="H680" s="110"/>
      <c r="I680" s="110"/>
    </row>
    <row r="681" spans="4:9" x14ac:dyDescent="0.2">
      <c r="D681" s="110"/>
      <c r="E681" s="110"/>
      <c r="F681" s="110"/>
      <c r="G681" s="110"/>
      <c r="H681" s="110"/>
      <c r="I681" s="110"/>
    </row>
    <row r="682" spans="4:9" x14ac:dyDescent="0.2">
      <c r="D682" s="110"/>
      <c r="E682" s="110"/>
      <c r="F682" s="110"/>
      <c r="G682" s="110"/>
      <c r="H682" s="110"/>
      <c r="I682" s="110"/>
    </row>
    <row r="683" spans="4:9" x14ac:dyDescent="0.2">
      <c r="D683" s="110"/>
      <c r="E683" s="110"/>
      <c r="F683" s="110"/>
      <c r="G683" s="110"/>
      <c r="H683" s="110"/>
      <c r="I683" s="110"/>
    </row>
    <row r="684" spans="4:9" x14ac:dyDescent="0.2">
      <c r="D684" s="110"/>
      <c r="E684" s="110"/>
      <c r="F684" s="110"/>
      <c r="G684" s="110"/>
      <c r="H684" s="110"/>
      <c r="I684" s="110"/>
    </row>
    <row r="685" spans="4:9" x14ac:dyDescent="0.2">
      <c r="D685" s="110"/>
      <c r="E685" s="110"/>
      <c r="F685" s="110"/>
      <c r="G685" s="110"/>
      <c r="H685" s="110"/>
      <c r="I685" s="110"/>
    </row>
    <row r="686" spans="4:9" x14ac:dyDescent="0.2">
      <c r="D686" s="110"/>
      <c r="E686" s="110"/>
      <c r="F686" s="110"/>
      <c r="G686" s="110"/>
      <c r="H686" s="110"/>
      <c r="I686" s="110"/>
    </row>
    <row r="687" spans="4:9" x14ac:dyDescent="0.2">
      <c r="D687" s="110"/>
      <c r="E687" s="110"/>
      <c r="F687" s="110"/>
      <c r="G687" s="110"/>
      <c r="H687" s="110"/>
      <c r="I687" s="110"/>
    </row>
    <row r="688" spans="4:9" x14ac:dyDescent="0.2">
      <c r="D688" s="110"/>
      <c r="E688" s="110"/>
      <c r="F688" s="110"/>
      <c r="G688" s="110"/>
      <c r="H688" s="110"/>
      <c r="I688" s="110"/>
    </row>
    <row r="689" spans="4:9" x14ac:dyDescent="0.2">
      <c r="D689" s="110"/>
      <c r="E689" s="110"/>
      <c r="F689" s="110"/>
      <c r="G689" s="110"/>
      <c r="H689" s="110"/>
      <c r="I689" s="110"/>
    </row>
    <row r="690" spans="4:9" x14ac:dyDescent="0.2">
      <c r="D690" s="110"/>
      <c r="E690" s="110"/>
      <c r="F690" s="110"/>
      <c r="G690" s="110"/>
      <c r="H690" s="110"/>
      <c r="I690" s="110"/>
    </row>
    <row r="691" spans="4:9" x14ac:dyDescent="0.2">
      <c r="D691" s="110"/>
      <c r="E691" s="110"/>
      <c r="F691" s="110"/>
      <c r="G691" s="110"/>
      <c r="H691" s="110"/>
      <c r="I691" s="110"/>
    </row>
    <row r="692" spans="4:9" x14ac:dyDescent="0.2">
      <c r="D692" s="110"/>
      <c r="E692" s="110"/>
      <c r="F692" s="110"/>
      <c r="G692" s="110"/>
      <c r="H692" s="110"/>
      <c r="I692" s="110"/>
    </row>
    <row r="693" spans="4:9" x14ac:dyDescent="0.2">
      <c r="D693" s="110"/>
      <c r="E693" s="110"/>
      <c r="F693" s="110"/>
      <c r="G693" s="110"/>
      <c r="H693" s="110"/>
      <c r="I693" s="110"/>
    </row>
    <row r="694" spans="4:9" x14ac:dyDescent="0.2">
      <c r="D694" s="110"/>
      <c r="E694" s="110"/>
      <c r="F694" s="110"/>
      <c r="G694" s="110"/>
      <c r="H694" s="110"/>
      <c r="I694" s="110"/>
    </row>
    <row r="695" spans="4:9" x14ac:dyDescent="0.2">
      <c r="D695" s="110"/>
      <c r="E695" s="110"/>
      <c r="F695" s="110"/>
      <c r="G695" s="110"/>
      <c r="H695" s="110"/>
      <c r="I695" s="110"/>
    </row>
    <row r="696" spans="4:9" x14ac:dyDescent="0.2">
      <c r="D696" s="110"/>
      <c r="E696" s="110"/>
      <c r="F696" s="110"/>
      <c r="G696" s="110"/>
      <c r="H696" s="110"/>
      <c r="I696" s="110"/>
    </row>
    <row r="697" spans="4:9" x14ac:dyDescent="0.2">
      <c r="D697" s="110"/>
      <c r="E697" s="110"/>
      <c r="F697" s="110"/>
      <c r="G697" s="110"/>
      <c r="H697" s="110"/>
      <c r="I697" s="110"/>
    </row>
    <row r="698" spans="4:9" x14ac:dyDescent="0.2">
      <c r="D698" s="110"/>
      <c r="E698" s="110"/>
      <c r="F698" s="110"/>
      <c r="G698" s="110"/>
      <c r="H698" s="110"/>
      <c r="I698" s="110"/>
    </row>
    <row r="699" spans="4:9" x14ac:dyDescent="0.2">
      <c r="D699" s="110"/>
      <c r="E699" s="110"/>
      <c r="F699" s="110"/>
      <c r="G699" s="110"/>
      <c r="H699" s="110"/>
      <c r="I699" s="110"/>
    </row>
    <row r="700" spans="4:9" x14ac:dyDescent="0.2">
      <c r="D700" s="110"/>
      <c r="E700" s="110"/>
      <c r="F700" s="110"/>
      <c r="G700" s="110"/>
      <c r="H700" s="110"/>
      <c r="I700" s="110"/>
    </row>
    <row r="701" spans="4:9" x14ac:dyDescent="0.2">
      <c r="D701" s="110"/>
      <c r="E701" s="110"/>
      <c r="F701" s="110"/>
      <c r="G701" s="110"/>
      <c r="H701" s="110"/>
      <c r="I701" s="110"/>
    </row>
    <row r="702" spans="4:9" x14ac:dyDescent="0.2">
      <c r="D702" s="110"/>
      <c r="E702" s="110"/>
      <c r="F702" s="110"/>
      <c r="G702" s="110"/>
      <c r="H702" s="110"/>
      <c r="I702" s="110"/>
    </row>
    <row r="703" spans="4:9" x14ac:dyDescent="0.2">
      <c r="D703" s="110"/>
      <c r="E703" s="110"/>
      <c r="F703" s="110"/>
      <c r="G703" s="110"/>
      <c r="H703" s="110"/>
      <c r="I703" s="110"/>
    </row>
    <row r="704" spans="4:9" x14ac:dyDescent="0.2">
      <c r="D704" s="110"/>
      <c r="E704" s="110"/>
      <c r="F704" s="110"/>
      <c r="G704" s="110"/>
      <c r="H704" s="110"/>
      <c r="I704" s="110"/>
    </row>
    <row r="705" spans="4:9" x14ac:dyDescent="0.2">
      <c r="D705" s="110"/>
      <c r="E705" s="110"/>
      <c r="F705" s="110"/>
      <c r="G705" s="110"/>
      <c r="H705" s="110"/>
      <c r="I705" s="110"/>
    </row>
    <row r="706" spans="4:9" x14ac:dyDescent="0.2">
      <c r="D706" s="110"/>
      <c r="E706" s="110"/>
      <c r="F706" s="110"/>
      <c r="G706" s="110"/>
      <c r="H706" s="110"/>
      <c r="I706" s="110"/>
    </row>
    <row r="707" spans="4:9" x14ac:dyDescent="0.2">
      <c r="D707" s="110"/>
      <c r="E707" s="110"/>
      <c r="F707" s="110"/>
      <c r="G707" s="110"/>
      <c r="H707" s="110"/>
      <c r="I707" s="110"/>
    </row>
    <row r="708" spans="4:9" x14ac:dyDescent="0.2">
      <c r="D708" s="110"/>
      <c r="E708" s="110"/>
      <c r="F708" s="110"/>
      <c r="G708" s="110"/>
      <c r="H708" s="110"/>
      <c r="I708" s="110"/>
    </row>
    <row r="709" spans="4:9" x14ac:dyDescent="0.2">
      <c r="D709" s="110"/>
      <c r="E709" s="110"/>
      <c r="F709" s="110"/>
      <c r="G709" s="110"/>
      <c r="H709" s="110"/>
      <c r="I709" s="110"/>
    </row>
    <row r="710" spans="4:9" x14ac:dyDescent="0.2">
      <c r="D710" s="110"/>
      <c r="E710" s="110"/>
      <c r="F710" s="110"/>
      <c r="G710" s="110"/>
      <c r="H710" s="110"/>
      <c r="I710" s="110"/>
    </row>
    <row r="711" spans="4:9" x14ac:dyDescent="0.2">
      <c r="D711" s="110"/>
      <c r="E711" s="110"/>
      <c r="F711" s="110"/>
      <c r="G711" s="110"/>
      <c r="H711" s="110"/>
      <c r="I711" s="110"/>
    </row>
    <row r="712" spans="4:9" x14ac:dyDescent="0.2">
      <c r="D712" s="110"/>
      <c r="E712" s="110"/>
      <c r="F712" s="110"/>
      <c r="G712" s="110"/>
      <c r="H712" s="110"/>
      <c r="I712" s="110"/>
    </row>
    <row r="713" spans="4:9" x14ac:dyDescent="0.2">
      <c r="D713" s="110"/>
      <c r="E713" s="110"/>
      <c r="F713" s="110"/>
      <c r="G713" s="110"/>
      <c r="H713" s="110"/>
      <c r="I713" s="110"/>
    </row>
    <row r="714" spans="4:9" x14ac:dyDescent="0.2">
      <c r="D714" s="110"/>
      <c r="E714" s="110"/>
      <c r="F714" s="110"/>
      <c r="G714" s="110"/>
      <c r="H714" s="110"/>
      <c r="I714" s="110"/>
    </row>
    <row r="715" spans="4:9" x14ac:dyDescent="0.2">
      <c r="D715" s="110"/>
      <c r="E715" s="110"/>
      <c r="F715" s="110"/>
      <c r="G715" s="110"/>
      <c r="H715" s="110"/>
      <c r="I715" s="110"/>
    </row>
    <row r="716" spans="4:9" x14ac:dyDescent="0.2">
      <c r="D716" s="110"/>
      <c r="E716" s="110"/>
      <c r="F716" s="110"/>
      <c r="G716" s="110"/>
      <c r="H716" s="110"/>
      <c r="I716" s="110"/>
    </row>
    <row r="717" spans="4:9" x14ac:dyDescent="0.2">
      <c r="D717" s="110"/>
      <c r="E717" s="110"/>
      <c r="F717" s="110"/>
      <c r="G717" s="110"/>
      <c r="H717" s="110"/>
      <c r="I717" s="110"/>
    </row>
    <row r="718" spans="4:9" x14ac:dyDescent="0.2">
      <c r="D718" s="110"/>
      <c r="E718" s="110"/>
      <c r="F718" s="110"/>
      <c r="G718" s="110"/>
      <c r="H718" s="110"/>
      <c r="I718" s="110"/>
    </row>
    <row r="719" spans="4:9" x14ac:dyDescent="0.2">
      <c r="D719" s="110"/>
      <c r="E719" s="110"/>
      <c r="F719" s="110"/>
      <c r="G719" s="110"/>
      <c r="H719" s="110"/>
      <c r="I719" s="110"/>
    </row>
    <row r="720" spans="4:9" x14ac:dyDescent="0.2">
      <c r="D720" s="110"/>
      <c r="E720" s="110"/>
      <c r="F720" s="110"/>
      <c r="G720" s="110"/>
      <c r="H720" s="110"/>
      <c r="I720" s="110"/>
    </row>
    <row r="721" spans="4:9" x14ac:dyDescent="0.2">
      <c r="D721" s="110"/>
      <c r="E721" s="110"/>
      <c r="F721" s="110"/>
      <c r="G721" s="110"/>
      <c r="H721" s="110"/>
      <c r="I721" s="110"/>
    </row>
    <row r="722" spans="4:9" x14ac:dyDescent="0.2">
      <c r="D722" s="110"/>
      <c r="E722" s="110"/>
      <c r="F722" s="110"/>
      <c r="G722" s="110"/>
      <c r="H722" s="110"/>
      <c r="I722" s="110"/>
    </row>
    <row r="723" spans="4:9" x14ac:dyDescent="0.2">
      <c r="D723" s="110"/>
      <c r="E723" s="110"/>
      <c r="F723" s="110"/>
      <c r="G723" s="110"/>
      <c r="H723" s="110"/>
      <c r="I723" s="110"/>
    </row>
    <row r="724" spans="4:9" x14ac:dyDescent="0.2">
      <c r="D724" s="110"/>
      <c r="E724" s="110"/>
      <c r="F724" s="110"/>
      <c r="G724" s="110"/>
      <c r="H724" s="110"/>
      <c r="I724" s="110"/>
    </row>
    <row r="725" spans="4:9" x14ac:dyDescent="0.2">
      <c r="D725" s="110"/>
      <c r="E725" s="110"/>
      <c r="F725" s="110"/>
      <c r="G725" s="110"/>
      <c r="H725" s="110"/>
      <c r="I725" s="110"/>
    </row>
    <row r="726" spans="4:9" x14ac:dyDescent="0.2">
      <c r="D726" s="110"/>
      <c r="E726" s="110"/>
      <c r="F726" s="110"/>
      <c r="G726" s="110"/>
      <c r="H726" s="110"/>
      <c r="I726" s="110"/>
    </row>
    <row r="727" spans="4:9" x14ac:dyDescent="0.2">
      <c r="D727" s="110"/>
      <c r="E727" s="110"/>
      <c r="F727" s="110"/>
      <c r="G727" s="110"/>
      <c r="H727" s="110"/>
      <c r="I727" s="110"/>
    </row>
    <row r="728" spans="4:9" x14ac:dyDescent="0.2">
      <c r="D728" s="110"/>
      <c r="E728" s="110"/>
      <c r="F728" s="110"/>
      <c r="G728" s="110"/>
      <c r="H728" s="110"/>
      <c r="I728" s="110"/>
    </row>
    <row r="729" spans="4:9" x14ac:dyDescent="0.2">
      <c r="D729" s="110"/>
      <c r="E729" s="110"/>
      <c r="F729" s="110"/>
      <c r="G729" s="110"/>
      <c r="H729" s="110"/>
      <c r="I729" s="110"/>
    </row>
    <row r="730" spans="4:9" x14ac:dyDescent="0.2">
      <c r="D730" s="110"/>
      <c r="E730" s="110"/>
      <c r="F730" s="110"/>
      <c r="G730" s="110"/>
      <c r="H730" s="110"/>
      <c r="I730" s="110"/>
    </row>
    <row r="731" spans="4:9" x14ac:dyDescent="0.2">
      <c r="D731" s="110"/>
      <c r="E731" s="110"/>
      <c r="F731" s="110"/>
      <c r="G731" s="110"/>
      <c r="H731" s="110"/>
      <c r="I731" s="110"/>
    </row>
    <row r="732" spans="4:9" x14ac:dyDescent="0.2">
      <c r="D732" s="110"/>
      <c r="E732" s="110"/>
      <c r="F732" s="110"/>
      <c r="G732" s="110"/>
      <c r="H732" s="110"/>
      <c r="I732" s="110"/>
    </row>
    <row r="733" spans="4:9" x14ac:dyDescent="0.2">
      <c r="D733" s="110"/>
      <c r="E733" s="110"/>
      <c r="F733" s="110"/>
      <c r="G733" s="110"/>
      <c r="H733" s="110"/>
      <c r="I733" s="110"/>
    </row>
    <row r="734" spans="4:9" x14ac:dyDescent="0.2">
      <c r="D734" s="110"/>
      <c r="E734" s="110"/>
      <c r="F734" s="110"/>
      <c r="G734" s="110"/>
      <c r="H734" s="110"/>
      <c r="I734" s="110"/>
    </row>
    <row r="735" spans="4:9" x14ac:dyDescent="0.2">
      <c r="D735" s="110"/>
      <c r="E735" s="110"/>
      <c r="F735" s="110"/>
      <c r="G735" s="110"/>
      <c r="H735" s="110"/>
      <c r="I735" s="110"/>
    </row>
    <row r="736" spans="4:9" x14ac:dyDescent="0.2">
      <c r="D736" s="110"/>
      <c r="E736" s="110"/>
      <c r="F736" s="110"/>
      <c r="G736" s="110"/>
      <c r="H736" s="110"/>
      <c r="I736" s="110"/>
    </row>
    <row r="737" spans="4:9" x14ac:dyDescent="0.2">
      <c r="D737" s="110"/>
      <c r="E737" s="110"/>
      <c r="F737" s="110"/>
      <c r="G737" s="110"/>
      <c r="H737" s="110"/>
      <c r="I737" s="110"/>
    </row>
    <row r="738" spans="4:9" x14ac:dyDescent="0.2">
      <c r="D738" s="110"/>
      <c r="E738" s="110"/>
      <c r="F738" s="110"/>
      <c r="G738" s="110"/>
      <c r="H738" s="110"/>
      <c r="I738" s="110"/>
    </row>
    <row r="739" spans="4:9" x14ac:dyDescent="0.2">
      <c r="D739" s="110"/>
      <c r="E739" s="110"/>
      <c r="F739" s="110"/>
      <c r="G739" s="110"/>
      <c r="H739" s="110"/>
      <c r="I739" s="110"/>
    </row>
    <row r="740" spans="4:9" x14ac:dyDescent="0.2">
      <c r="D740" s="110"/>
      <c r="E740" s="110"/>
      <c r="F740" s="110"/>
      <c r="G740" s="110"/>
      <c r="H740" s="110"/>
      <c r="I740" s="110"/>
    </row>
    <row r="741" spans="4:9" x14ac:dyDescent="0.2">
      <c r="D741" s="110"/>
      <c r="E741" s="110"/>
      <c r="F741" s="110"/>
      <c r="G741" s="110"/>
      <c r="H741" s="110"/>
      <c r="I741" s="110"/>
    </row>
    <row r="742" spans="4:9" x14ac:dyDescent="0.2">
      <c r="D742" s="110"/>
      <c r="E742" s="110"/>
      <c r="F742" s="110"/>
      <c r="G742" s="110"/>
      <c r="H742" s="110"/>
      <c r="I742" s="110"/>
    </row>
    <row r="743" spans="4:9" x14ac:dyDescent="0.2">
      <c r="D743" s="110"/>
      <c r="E743" s="110"/>
      <c r="F743" s="110"/>
      <c r="G743" s="110"/>
      <c r="H743" s="110"/>
      <c r="I743" s="110"/>
    </row>
    <row r="744" spans="4:9" x14ac:dyDescent="0.2">
      <c r="D744" s="110"/>
      <c r="E744" s="110"/>
      <c r="F744" s="110"/>
      <c r="G744" s="110"/>
      <c r="H744" s="110"/>
      <c r="I744" s="110"/>
    </row>
    <row r="745" spans="4:9" x14ac:dyDescent="0.2">
      <c r="D745" s="110"/>
      <c r="E745" s="110"/>
      <c r="F745" s="110"/>
      <c r="G745" s="110"/>
      <c r="H745" s="110"/>
      <c r="I745" s="110"/>
    </row>
    <row r="746" spans="4:9" x14ac:dyDescent="0.2">
      <c r="D746" s="110"/>
      <c r="E746" s="110"/>
      <c r="F746" s="110"/>
      <c r="G746" s="110"/>
      <c r="H746" s="110"/>
      <c r="I746" s="110"/>
    </row>
    <row r="747" spans="4:9" x14ac:dyDescent="0.2">
      <c r="D747" s="110"/>
      <c r="E747" s="110"/>
      <c r="F747" s="110"/>
      <c r="G747" s="110"/>
      <c r="H747" s="110"/>
      <c r="I747" s="110"/>
    </row>
    <row r="748" spans="4:9" x14ac:dyDescent="0.2">
      <c r="D748" s="110"/>
      <c r="E748" s="110"/>
      <c r="F748" s="110"/>
      <c r="G748" s="110"/>
      <c r="H748" s="110"/>
      <c r="I748" s="110"/>
    </row>
    <row r="749" spans="4:9" x14ac:dyDescent="0.2">
      <c r="D749" s="110"/>
      <c r="E749" s="110"/>
      <c r="F749" s="110"/>
      <c r="G749" s="110"/>
      <c r="H749" s="110"/>
      <c r="I749" s="110"/>
    </row>
    <row r="750" spans="4:9" x14ac:dyDescent="0.2">
      <c r="D750" s="110"/>
      <c r="E750" s="110"/>
      <c r="F750" s="110"/>
      <c r="G750" s="110"/>
      <c r="H750" s="110"/>
      <c r="I750" s="110"/>
    </row>
    <row r="751" spans="4:9" x14ac:dyDescent="0.2">
      <c r="D751" s="110"/>
      <c r="E751" s="110"/>
      <c r="F751" s="110"/>
      <c r="G751" s="110"/>
      <c r="H751" s="110"/>
      <c r="I751" s="110"/>
    </row>
    <row r="752" spans="4:9" x14ac:dyDescent="0.2">
      <c r="D752" s="110"/>
      <c r="E752" s="110"/>
      <c r="F752" s="110"/>
      <c r="G752" s="110"/>
      <c r="H752" s="110"/>
      <c r="I752" s="110"/>
    </row>
    <row r="753" spans="4:9" x14ac:dyDescent="0.2">
      <c r="D753" s="110"/>
      <c r="E753" s="110"/>
      <c r="F753" s="110"/>
      <c r="G753" s="110"/>
      <c r="H753" s="110"/>
      <c r="I753" s="110"/>
    </row>
    <row r="754" spans="4:9" x14ac:dyDescent="0.2">
      <c r="D754" s="110"/>
      <c r="E754" s="110"/>
      <c r="F754" s="110"/>
      <c r="G754" s="110"/>
      <c r="H754" s="110"/>
      <c r="I754" s="110"/>
    </row>
    <row r="755" spans="4:9" x14ac:dyDescent="0.2">
      <c r="D755" s="110"/>
      <c r="E755" s="110"/>
      <c r="F755" s="110"/>
      <c r="G755" s="110"/>
      <c r="H755" s="110"/>
      <c r="I755" s="110"/>
    </row>
    <row r="756" spans="4:9" x14ac:dyDescent="0.2">
      <c r="D756" s="110"/>
      <c r="E756" s="110"/>
      <c r="F756" s="110"/>
      <c r="G756" s="110"/>
      <c r="H756" s="110"/>
      <c r="I756" s="110"/>
    </row>
    <row r="757" spans="4:9" x14ac:dyDescent="0.2">
      <c r="D757" s="110"/>
      <c r="E757" s="110"/>
      <c r="F757" s="110"/>
      <c r="G757" s="110"/>
      <c r="H757" s="110"/>
      <c r="I757" s="110"/>
    </row>
    <row r="758" spans="4:9" x14ac:dyDescent="0.2">
      <c r="D758" s="110"/>
      <c r="E758" s="110"/>
      <c r="F758" s="110"/>
      <c r="G758" s="110"/>
      <c r="H758" s="110"/>
      <c r="I758" s="110"/>
    </row>
    <row r="759" spans="4:9" x14ac:dyDescent="0.2">
      <c r="D759" s="110"/>
      <c r="E759" s="110"/>
      <c r="F759" s="110"/>
      <c r="G759" s="110"/>
      <c r="H759" s="110"/>
      <c r="I759" s="110"/>
    </row>
    <row r="760" spans="4:9" x14ac:dyDescent="0.2">
      <c r="D760" s="110"/>
      <c r="E760" s="110"/>
      <c r="F760" s="110"/>
      <c r="G760" s="110"/>
      <c r="H760" s="110"/>
      <c r="I760" s="110"/>
    </row>
    <row r="761" spans="4:9" x14ac:dyDescent="0.2">
      <c r="D761" s="110"/>
      <c r="E761" s="110"/>
      <c r="F761" s="110"/>
      <c r="G761" s="110"/>
      <c r="H761" s="110"/>
      <c r="I761" s="110"/>
    </row>
    <row r="762" spans="4:9" x14ac:dyDescent="0.2">
      <c r="D762" s="110"/>
      <c r="E762" s="110"/>
      <c r="F762" s="110"/>
      <c r="G762" s="110"/>
      <c r="H762" s="110"/>
      <c r="I762" s="110"/>
    </row>
    <row r="763" spans="4:9" x14ac:dyDescent="0.2">
      <c r="D763" s="110"/>
      <c r="E763" s="110"/>
      <c r="F763" s="110"/>
      <c r="G763" s="110"/>
      <c r="H763" s="110"/>
      <c r="I763" s="110"/>
    </row>
    <row r="764" spans="4:9" x14ac:dyDescent="0.2">
      <c r="D764" s="110"/>
      <c r="E764" s="110"/>
      <c r="F764" s="110"/>
      <c r="G764" s="110"/>
      <c r="H764" s="110"/>
      <c r="I764" s="110"/>
    </row>
    <row r="765" spans="4:9" x14ac:dyDescent="0.2">
      <c r="D765" s="110"/>
      <c r="E765" s="110"/>
      <c r="F765" s="110"/>
      <c r="G765" s="110"/>
      <c r="H765" s="110"/>
      <c r="I765" s="110"/>
    </row>
    <row r="766" spans="4:9" x14ac:dyDescent="0.2">
      <c r="D766" s="110"/>
      <c r="E766" s="110"/>
      <c r="F766" s="110"/>
      <c r="G766" s="110"/>
      <c r="H766" s="110"/>
      <c r="I766" s="110"/>
    </row>
    <row r="767" spans="4:9" x14ac:dyDescent="0.2">
      <c r="D767" s="110"/>
      <c r="E767" s="110"/>
      <c r="F767" s="110"/>
      <c r="G767" s="110"/>
      <c r="H767" s="110"/>
      <c r="I767" s="110"/>
    </row>
    <row r="768" spans="4:9" x14ac:dyDescent="0.2">
      <c r="D768" s="110"/>
      <c r="E768" s="110"/>
      <c r="F768" s="110"/>
      <c r="G768" s="110"/>
      <c r="H768" s="110"/>
      <c r="I768" s="110"/>
    </row>
    <row r="769" spans="4:9" x14ac:dyDescent="0.2">
      <c r="D769" s="110"/>
      <c r="E769" s="110"/>
      <c r="F769" s="110"/>
      <c r="G769" s="110"/>
      <c r="H769" s="110"/>
      <c r="I769" s="110"/>
    </row>
    <row r="770" spans="4:9" x14ac:dyDescent="0.2">
      <c r="D770" s="110"/>
      <c r="E770" s="110"/>
      <c r="F770" s="110"/>
      <c r="G770" s="110"/>
      <c r="H770" s="110"/>
      <c r="I770" s="110"/>
    </row>
    <row r="771" spans="4:9" x14ac:dyDescent="0.2">
      <c r="D771" s="110"/>
      <c r="E771" s="110"/>
      <c r="F771" s="110"/>
      <c r="G771" s="110"/>
      <c r="H771" s="110"/>
      <c r="I771" s="110"/>
    </row>
    <row r="772" spans="4:9" x14ac:dyDescent="0.2">
      <c r="D772" s="110"/>
      <c r="E772" s="110"/>
      <c r="F772" s="110"/>
      <c r="G772" s="110"/>
      <c r="H772" s="110"/>
      <c r="I772" s="110"/>
    </row>
    <row r="773" spans="4:9" x14ac:dyDescent="0.2">
      <c r="D773" s="110"/>
      <c r="E773" s="110"/>
      <c r="F773" s="110"/>
      <c r="G773" s="110"/>
      <c r="H773" s="110"/>
      <c r="I773" s="110"/>
    </row>
    <row r="774" spans="4:9" x14ac:dyDescent="0.2">
      <c r="D774" s="110"/>
      <c r="E774" s="110"/>
      <c r="F774" s="110"/>
      <c r="G774" s="110"/>
      <c r="H774" s="110"/>
      <c r="I774" s="110"/>
    </row>
    <row r="775" spans="4:9" x14ac:dyDescent="0.2">
      <c r="D775" s="110"/>
      <c r="E775" s="110"/>
      <c r="F775" s="110"/>
      <c r="G775" s="110"/>
      <c r="H775" s="110"/>
      <c r="I775" s="110"/>
    </row>
    <row r="776" spans="4:9" x14ac:dyDescent="0.2">
      <c r="D776" s="110"/>
      <c r="E776" s="110"/>
      <c r="F776" s="110"/>
      <c r="G776" s="110"/>
      <c r="H776" s="110"/>
      <c r="I776" s="110"/>
    </row>
    <row r="777" spans="4:9" x14ac:dyDescent="0.2">
      <c r="D777" s="110"/>
      <c r="E777" s="110"/>
      <c r="F777" s="110"/>
      <c r="G777" s="110"/>
      <c r="H777" s="110"/>
      <c r="I777" s="110"/>
    </row>
    <row r="778" spans="4:9" x14ac:dyDescent="0.2">
      <c r="D778" s="110"/>
      <c r="E778" s="110"/>
      <c r="F778" s="110"/>
      <c r="G778" s="110"/>
      <c r="H778" s="110"/>
      <c r="I778" s="110"/>
    </row>
    <row r="779" spans="4:9" x14ac:dyDescent="0.2">
      <c r="D779" s="110"/>
      <c r="E779" s="110"/>
      <c r="F779" s="110"/>
      <c r="G779" s="110"/>
      <c r="H779" s="110"/>
      <c r="I779" s="110"/>
    </row>
    <row r="780" spans="4:9" x14ac:dyDescent="0.2">
      <c r="D780" s="110"/>
      <c r="E780" s="110"/>
      <c r="F780" s="110"/>
      <c r="G780" s="110"/>
      <c r="H780" s="110"/>
      <c r="I780" s="110"/>
    </row>
    <row r="781" spans="4:9" x14ac:dyDescent="0.2">
      <c r="D781" s="110"/>
      <c r="E781" s="110"/>
      <c r="F781" s="110"/>
      <c r="G781" s="110"/>
      <c r="H781" s="110"/>
      <c r="I781" s="110"/>
    </row>
    <row r="782" spans="4:9" x14ac:dyDescent="0.2">
      <c r="D782" s="110"/>
      <c r="E782" s="110"/>
      <c r="F782" s="110"/>
      <c r="G782" s="110"/>
      <c r="H782" s="110"/>
      <c r="I782" s="110"/>
    </row>
    <row r="783" spans="4:9" x14ac:dyDescent="0.2">
      <c r="D783" s="110"/>
      <c r="E783" s="110"/>
      <c r="F783" s="110"/>
      <c r="G783" s="110"/>
      <c r="H783" s="110"/>
      <c r="I783" s="110"/>
    </row>
    <row r="784" spans="4:9" x14ac:dyDescent="0.2">
      <c r="D784" s="110"/>
      <c r="E784" s="110"/>
      <c r="F784" s="110"/>
      <c r="G784" s="110"/>
      <c r="H784" s="110"/>
      <c r="I784" s="110"/>
    </row>
    <row r="785" spans="4:9" x14ac:dyDescent="0.2">
      <c r="D785" s="110"/>
      <c r="E785" s="110"/>
      <c r="F785" s="110"/>
      <c r="G785" s="110"/>
      <c r="H785" s="110"/>
      <c r="I785" s="110"/>
    </row>
    <row r="786" spans="4:9" x14ac:dyDescent="0.2">
      <c r="D786" s="110"/>
      <c r="E786" s="110"/>
      <c r="F786" s="110"/>
      <c r="G786" s="110"/>
      <c r="H786" s="110"/>
      <c r="I786" s="110"/>
    </row>
    <row r="787" spans="4:9" x14ac:dyDescent="0.2">
      <c r="D787" s="110"/>
      <c r="E787" s="110"/>
      <c r="F787" s="110"/>
      <c r="G787" s="110"/>
      <c r="H787" s="110"/>
      <c r="I787" s="110"/>
    </row>
    <row r="788" spans="4:9" x14ac:dyDescent="0.2">
      <c r="D788" s="110"/>
      <c r="E788" s="110"/>
      <c r="F788" s="110"/>
      <c r="G788" s="110"/>
      <c r="H788" s="110"/>
      <c r="I788" s="110"/>
    </row>
    <row r="789" spans="4:9" x14ac:dyDescent="0.2">
      <c r="D789" s="110"/>
      <c r="E789" s="110"/>
      <c r="F789" s="110"/>
      <c r="G789" s="110"/>
      <c r="H789" s="110"/>
      <c r="I789" s="110"/>
    </row>
    <row r="790" spans="4:9" x14ac:dyDescent="0.2">
      <c r="D790" s="110"/>
      <c r="E790" s="110"/>
      <c r="F790" s="110"/>
      <c r="G790" s="110"/>
      <c r="H790" s="110"/>
      <c r="I790" s="110"/>
    </row>
    <row r="791" spans="4:9" x14ac:dyDescent="0.2">
      <c r="D791" s="110"/>
      <c r="E791" s="110"/>
      <c r="F791" s="110"/>
      <c r="G791" s="110"/>
      <c r="H791" s="110"/>
      <c r="I791" s="110"/>
    </row>
    <row r="792" spans="4:9" x14ac:dyDescent="0.2">
      <c r="D792" s="110"/>
      <c r="E792" s="110"/>
      <c r="F792" s="110"/>
      <c r="G792" s="110"/>
      <c r="H792" s="110"/>
      <c r="I792" s="110"/>
    </row>
    <row r="793" spans="4:9" x14ac:dyDescent="0.2">
      <c r="D793" s="110"/>
      <c r="E793" s="110"/>
      <c r="F793" s="110"/>
      <c r="G793" s="110"/>
      <c r="H793" s="110"/>
      <c r="I793" s="110"/>
    </row>
    <row r="794" spans="4:9" x14ac:dyDescent="0.2">
      <c r="D794" s="110"/>
      <c r="E794" s="110"/>
      <c r="F794" s="110"/>
      <c r="G794" s="110"/>
      <c r="H794" s="110"/>
      <c r="I794" s="110"/>
    </row>
    <row r="795" spans="4:9" x14ac:dyDescent="0.2">
      <c r="D795" s="110"/>
      <c r="E795" s="110"/>
      <c r="F795" s="110"/>
      <c r="G795" s="110"/>
      <c r="H795" s="110"/>
      <c r="I795" s="110"/>
    </row>
    <row r="796" spans="4:9" x14ac:dyDescent="0.2">
      <c r="D796" s="110"/>
      <c r="E796" s="110"/>
      <c r="F796" s="110"/>
      <c r="G796" s="110"/>
      <c r="H796" s="110"/>
      <c r="I796" s="110"/>
    </row>
    <row r="797" spans="4:9" x14ac:dyDescent="0.2">
      <c r="D797" s="110"/>
      <c r="E797" s="110"/>
      <c r="F797" s="110"/>
      <c r="G797" s="110"/>
      <c r="H797" s="110"/>
      <c r="I797" s="110"/>
    </row>
    <row r="798" spans="4:9" x14ac:dyDescent="0.2">
      <c r="D798" s="110"/>
      <c r="E798" s="110"/>
      <c r="F798" s="110"/>
      <c r="G798" s="110"/>
      <c r="H798" s="110"/>
      <c r="I798" s="110"/>
    </row>
    <row r="799" spans="4:9" x14ac:dyDescent="0.2">
      <c r="D799" s="110"/>
      <c r="E799" s="110"/>
      <c r="F799" s="110"/>
      <c r="G799" s="110"/>
      <c r="H799" s="110"/>
      <c r="I799" s="110"/>
    </row>
    <row r="800" spans="4:9" x14ac:dyDescent="0.2">
      <c r="D800" s="110"/>
      <c r="E800" s="110"/>
      <c r="F800" s="110"/>
      <c r="G800" s="110"/>
      <c r="H800" s="110"/>
      <c r="I800" s="110"/>
    </row>
    <row r="801" spans="4:9" x14ac:dyDescent="0.2">
      <c r="D801" s="110"/>
      <c r="E801" s="110"/>
      <c r="F801" s="110"/>
      <c r="G801" s="110"/>
      <c r="H801" s="110"/>
      <c r="I801" s="110"/>
    </row>
    <row r="802" spans="4:9" x14ac:dyDescent="0.2">
      <c r="D802" s="110"/>
      <c r="E802" s="110"/>
      <c r="F802" s="110"/>
      <c r="G802" s="110"/>
      <c r="H802" s="110"/>
      <c r="I802" s="110"/>
    </row>
    <row r="803" spans="4:9" x14ac:dyDescent="0.2">
      <c r="D803" s="110"/>
      <c r="E803" s="110"/>
      <c r="F803" s="110"/>
      <c r="G803" s="110"/>
      <c r="H803" s="110"/>
      <c r="I803" s="110"/>
    </row>
    <row r="804" spans="4:9" x14ac:dyDescent="0.2">
      <c r="D804" s="110"/>
      <c r="E804" s="110"/>
      <c r="F804" s="110"/>
      <c r="G804" s="110"/>
      <c r="H804" s="110"/>
      <c r="I804" s="110"/>
    </row>
    <row r="805" spans="4:9" x14ac:dyDescent="0.2">
      <c r="D805" s="110"/>
      <c r="E805" s="110"/>
      <c r="F805" s="110"/>
      <c r="G805" s="110"/>
      <c r="H805" s="110"/>
      <c r="I805" s="110"/>
    </row>
    <row r="806" spans="4:9" x14ac:dyDescent="0.2">
      <c r="D806" s="110"/>
      <c r="E806" s="110"/>
      <c r="F806" s="110"/>
      <c r="G806" s="110"/>
      <c r="H806" s="110"/>
      <c r="I806" s="110"/>
    </row>
    <row r="807" spans="4:9" x14ac:dyDescent="0.2">
      <c r="D807" s="110"/>
      <c r="E807" s="110"/>
      <c r="F807" s="110"/>
      <c r="G807" s="110"/>
      <c r="H807" s="110"/>
      <c r="I807" s="110"/>
    </row>
    <row r="808" spans="4:9" x14ac:dyDescent="0.2">
      <c r="D808" s="110"/>
      <c r="E808" s="110"/>
      <c r="F808" s="110"/>
      <c r="G808" s="110"/>
      <c r="H808" s="110"/>
      <c r="I808" s="110"/>
    </row>
    <row r="809" spans="4:9" x14ac:dyDescent="0.2">
      <c r="D809" s="110"/>
      <c r="E809" s="110"/>
      <c r="F809" s="110"/>
      <c r="G809" s="110"/>
      <c r="H809" s="110"/>
      <c r="I809" s="110"/>
    </row>
    <row r="810" spans="4:9" x14ac:dyDescent="0.2">
      <c r="D810" s="110"/>
      <c r="E810" s="110"/>
      <c r="F810" s="110"/>
      <c r="G810" s="110"/>
      <c r="H810" s="110"/>
      <c r="I810" s="110"/>
    </row>
    <row r="811" spans="4:9" x14ac:dyDescent="0.2">
      <c r="D811" s="110"/>
      <c r="E811" s="110"/>
      <c r="F811" s="110"/>
      <c r="G811" s="110"/>
      <c r="H811" s="110"/>
      <c r="I811" s="110"/>
    </row>
    <row r="812" spans="4:9" x14ac:dyDescent="0.2">
      <c r="D812" s="110"/>
      <c r="E812" s="110"/>
      <c r="F812" s="110"/>
      <c r="G812" s="110"/>
      <c r="H812" s="110"/>
      <c r="I812" s="110"/>
    </row>
    <row r="813" spans="4:9" x14ac:dyDescent="0.2">
      <c r="D813" s="110"/>
      <c r="E813" s="110"/>
      <c r="F813" s="110"/>
      <c r="G813" s="110"/>
      <c r="H813" s="110"/>
      <c r="I813" s="110"/>
    </row>
    <row r="814" spans="4:9" x14ac:dyDescent="0.2">
      <c r="D814" s="110"/>
      <c r="E814" s="110"/>
      <c r="F814" s="110"/>
      <c r="G814" s="110"/>
      <c r="H814" s="110"/>
      <c r="I814" s="110"/>
    </row>
    <row r="815" spans="4:9" x14ac:dyDescent="0.2">
      <c r="D815" s="110"/>
      <c r="E815" s="110"/>
      <c r="F815" s="110"/>
      <c r="G815" s="110"/>
      <c r="H815" s="110"/>
      <c r="I815" s="110"/>
    </row>
    <row r="816" spans="4:9" x14ac:dyDescent="0.2">
      <c r="D816" s="110"/>
      <c r="E816" s="110"/>
      <c r="F816" s="110"/>
      <c r="G816" s="110"/>
      <c r="H816" s="110"/>
      <c r="I816" s="110"/>
    </row>
    <row r="817" spans="4:9" x14ac:dyDescent="0.2">
      <c r="D817" s="110"/>
      <c r="E817" s="110"/>
      <c r="F817" s="110"/>
      <c r="G817" s="110"/>
      <c r="H817" s="110"/>
      <c r="I817" s="110"/>
    </row>
    <row r="818" spans="4:9" x14ac:dyDescent="0.2">
      <c r="D818" s="110"/>
      <c r="E818" s="110"/>
      <c r="F818" s="110"/>
      <c r="G818" s="110"/>
      <c r="H818" s="110"/>
      <c r="I818" s="110"/>
    </row>
    <row r="819" spans="4:9" x14ac:dyDescent="0.2">
      <c r="D819" s="110"/>
      <c r="E819" s="110"/>
      <c r="F819" s="110"/>
      <c r="G819" s="110"/>
      <c r="H819" s="110"/>
      <c r="I819" s="110"/>
    </row>
    <row r="820" spans="4:9" x14ac:dyDescent="0.2">
      <c r="D820" s="110"/>
      <c r="E820" s="110"/>
      <c r="F820" s="110"/>
      <c r="G820" s="110"/>
      <c r="H820" s="110"/>
      <c r="I820" s="110"/>
    </row>
    <row r="821" spans="4:9" x14ac:dyDescent="0.2">
      <c r="D821" s="110"/>
      <c r="E821" s="110"/>
      <c r="F821" s="110"/>
      <c r="G821" s="110"/>
      <c r="H821" s="110"/>
      <c r="I821" s="110"/>
    </row>
    <row r="822" spans="4:9" x14ac:dyDescent="0.2">
      <c r="D822" s="110"/>
      <c r="E822" s="110"/>
      <c r="F822" s="110"/>
      <c r="G822" s="110"/>
      <c r="H822" s="110"/>
      <c r="I822" s="110"/>
    </row>
    <row r="823" spans="4:9" x14ac:dyDescent="0.2">
      <c r="D823" s="110"/>
      <c r="E823" s="110"/>
      <c r="F823" s="110"/>
      <c r="G823" s="110"/>
      <c r="H823" s="110"/>
      <c r="I823" s="110"/>
    </row>
    <row r="824" spans="4:9" x14ac:dyDescent="0.2">
      <c r="D824" s="110"/>
      <c r="E824" s="110"/>
      <c r="F824" s="110"/>
      <c r="G824" s="110"/>
      <c r="H824" s="110"/>
      <c r="I824" s="110"/>
    </row>
    <row r="825" spans="4:9" x14ac:dyDescent="0.2">
      <c r="D825" s="110"/>
      <c r="E825" s="110"/>
      <c r="F825" s="110"/>
      <c r="G825" s="110"/>
      <c r="H825" s="110"/>
      <c r="I825" s="110"/>
    </row>
    <row r="826" spans="4:9" x14ac:dyDescent="0.2">
      <c r="D826" s="110"/>
      <c r="E826" s="110"/>
      <c r="F826" s="110"/>
      <c r="G826" s="110"/>
      <c r="H826" s="110"/>
      <c r="I826" s="110"/>
    </row>
    <row r="827" spans="4:9" x14ac:dyDescent="0.2">
      <c r="D827" s="110"/>
      <c r="E827" s="110"/>
      <c r="F827" s="110"/>
      <c r="G827" s="110"/>
      <c r="H827" s="110"/>
      <c r="I827" s="110"/>
    </row>
    <row r="828" spans="4:9" x14ac:dyDescent="0.2">
      <c r="D828" s="110"/>
      <c r="E828" s="110"/>
      <c r="F828" s="110"/>
      <c r="G828" s="110"/>
      <c r="H828" s="110"/>
      <c r="I828" s="110"/>
    </row>
    <row r="829" spans="4:9" x14ac:dyDescent="0.2">
      <c r="D829" s="110"/>
      <c r="E829" s="110"/>
      <c r="F829" s="110"/>
      <c r="G829" s="110"/>
      <c r="H829" s="110"/>
      <c r="I829" s="110"/>
    </row>
    <row r="830" spans="4:9" x14ac:dyDescent="0.2">
      <c r="D830" s="110"/>
      <c r="E830" s="110"/>
      <c r="F830" s="110"/>
      <c r="G830" s="110"/>
      <c r="H830" s="110"/>
      <c r="I830" s="110"/>
    </row>
    <row r="831" spans="4:9" x14ac:dyDescent="0.2">
      <c r="D831" s="110"/>
      <c r="E831" s="110"/>
      <c r="F831" s="110"/>
      <c r="G831" s="110"/>
      <c r="H831" s="110"/>
      <c r="I831" s="110"/>
    </row>
    <row r="832" spans="4:9" x14ac:dyDescent="0.2">
      <c r="D832" s="110"/>
      <c r="E832" s="110"/>
      <c r="F832" s="110"/>
      <c r="G832" s="110"/>
      <c r="H832" s="110"/>
      <c r="I832" s="110"/>
    </row>
    <row r="833" spans="4:9" x14ac:dyDescent="0.2">
      <c r="D833" s="110"/>
      <c r="E833" s="110"/>
      <c r="F833" s="110"/>
      <c r="G833" s="110"/>
      <c r="H833" s="110"/>
      <c r="I833" s="110"/>
    </row>
    <row r="834" spans="4:9" x14ac:dyDescent="0.2">
      <c r="D834" s="110"/>
      <c r="E834" s="110"/>
      <c r="F834" s="110"/>
      <c r="G834" s="110"/>
      <c r="H834" s="110"/>
      <c r="I834" s="110"/>
    </row>
    <row r="835" spans="4:9" x14ac:dyDescent="0.2">
      <c r="D835" s="110"/>
      <c r="E835" s="110"/>
      <c r="F835" s="110"/>
      <c r="G835" s="110"/>
      <c r="H835" s="110"/>
      <c r="I835" s="110"/>
    </row>
    <row r="836" spans="4:9" x14ac:dyDescent="0.2">
      <c r="D836" s="110"/>
      <c r="E836" s="110"/>
      <c r="F836" s="110"/>
      <c r="G836" s="110"/>
      <c r="H836" s="110"/>
      <c r="I836" s="110"/>
    </row>
    <row r="837" spans="4:9" x14ac:dyDescent="0.2">
      <c r="D837" s="110"/>
      <c r="E837" s="110"/>
      <c r="F837" s="110"/>
      <c r="G837" s="110"/>
      <c r="H837" s="110"/>
      <c r="I837" s="110"/>
    </row>
    <row r="838" spans="4:9" x14ac:dyDescent="0.2">
      <c r="D838" s="110"/>
      <c r="E838" s="110"/>
      <c r="F838" s="110"/>
      <c r="G838" s="110"/>
      <c r="H838" s="110"/>
      <c r="I838" s="110"/>
    </row>
    <row r="839" spans="4:9" x14ac:dyDescent="0.2">
      <c r="D839" s="110"/>
      <c r="E839" s="110"/>
      <c r="F839" s="110"/>
      <c r="G839" s="110"/>
      <c r="H839" s="110"/>
      <c r="I839" s="110"/>
    </row>
    <row r="840" spans="4:9" x14ac:dyDescent="0.2">
      <c r="D840" s="110"/>
      <c r="E840" s="110"/>
      <c r="F840" s="110"/>
      <c r="G840" s="110"/>
      <c r="H840" s="110"/>
      <c r="I840" s="110"/>
    </row>
    <row r="841" spans="4:9" x14ac:dyDescent="0.2">
      <c r="D841" s="110"/>
      <c r="E841" s="110"/>
      <c r="F841" s="110"/>
      <c r="G841" s="110"/>
      <c r="H841" s="110"/>
      <c r="I841" s="110"/>
    </row>
    <row r="842" spans="4:9" x14ac:dyDescent="0.2">
      <c r="D842" s="110"/>
      <c r="E842" s="110"/>
      <c r="F842" s="110"/>
      <c r="G842" s="110"/>
      <c r="H842" s="110"/>
      <c r="I842" s="110"/>
    </row>
    <row r="843" spans="4:9" x14ac:dyDescent="0.2">
      <c r="D843" s="110"/>
      <c r="E843" s="110"/>
      <c r="F843" s="110"/>
      <c r="G843" s="110"/>
      <c r="H843" s="110"/>
      <c r="I843" s="110"/>
    </row>
    <row r="844" spans="4:9" x14ac:dyDescent="0.2">
      <c r="D844" s="110"/>
      <c r="E844" s="110"/>
      <c r="F844" s="110"/>
      <c r="G844" s="110"/>
      <c r="H844" s="110"/>
      <c r="I844" s="110"/>
    </row>
    <row r="845" spans="4:9" x14ac:dyDescent="0.2">
      <c r="D845" s="110"/>
      <c r="E845" s="110"/>
      <c r="F845" s="110"/>
      <c r="G845" s="110"/>
      <c r="H845" s="110"/>
      <c r="I845" s="110"/>
    </row>
    <row r="846" spans="4:9" x14ac:dyDescent="0.2">
      <c r="D846" s="110"/>
      <c r="E846" s="110"/>
      <c r="F846" s="110"/>
      <c r="G846" s="110"/>
      <c r="H846" s="110"/>
      <c r="I846" s="110"/>
    </row>
    <row r="847" spans="4:9" x14ac:dyDescent="0.2">
      <c r="D847" s="110"/>
      <c r="E847" s="110"/>
      <c r="F847" s="110"/>
      <c r="G847" s="110"/>
      <c r="H847" s="110"/>
      <c r="I847" s="110"/>
    </row>
    <row r="848" spans="4:9" x14ac:dyDescent="0.2">
      <c r="D848" s="110"/>
      <c r="E848" s="110"/>
      <c r="F848" s="110"/>
      <c r="G848" s="110"/>
      <c r="H848" s="110"/>
      <c r="I848" s="110"/>
    </row>
    <row r="849" spans="4:9" x14ac:dyDescent="0.2">
      <c r="D849" s="110"/>
      <c r="E849" s="110"/>
      <c r="F849" s="110"/>
      <c r="G849" s="110"/>
      <c r="H849" s="110"/>
      <c r="I849" s="110"/>
    </row>
    <row r="850" spans="4:9" x14ac:dyDescent="0.2">
      <c r="D850" s="110"/>
      <c r="E850" s="110"/>
      <c r="F850" s="110"/>
      <c r="G850" s="110"/>
      <c r="H850" s="110"/>
      <c r="I850" s="110"/>
    </row>
    <row r="851" spans="4:9" x14ac:dyDescent="0.2">
      <c r="D851" s="110"/>
      <c r="E851" s="110"/>
      <c r="F851" s="110"/>
      <c r="G851" s="110"/>
      <c r="H851" s="110"/>
      <c r="I851" s="110"/>
    </row>
    <row r="852" spans="4:9" x14ac:dyDescent="0.2">
      <c r="D852" s="110"/>
      <c r="E852" s="110"/>
      <c r="F852" s="110"/>
      <c r="G852" s="110"/>
      <c r="H852" s="110"/>
      <c r="I852" s="110"/>
    </row>
    <row r="853" spans="4:9" x14ac:dyDescent="0.2">
      <c r="D853" s="110"/>
      <c r="E853" s="110"/>
      <c r="F853" s="110"/>
      <c r="G853" s="110"/>
      <c r="H853" s="110"/>
      <c r="I853" s="110"/>
    </row>
    <row r="854" spans="4:9" x14ac:dyDescent="0.2">
      <c r="D854" s="110"/>
      <c r="E854" s="110"/>
      <c r="F854" s="110"/>
      <c r="G854" s="110"/>
      <c r="H854" s="110"/>
      <c r="I854" s="110"/>
    </row>
    <row r="855" spans="4:9" x14ac:dyDescent="0.2">
      <c r="D855" s="110"/>
      <c r="E855" s="110"/>
      <c r="F855" s="110"/>
      <c r="G855" s="110"/>
      <c r="H855" s="110"/>
      <c r="I855" s="110"/>
    </row>
    <row r="856" spans="4:9" x14ac:dyDescent="0.2">
      <c r="D856" s="110"/>
      <c r="E856" s="110"/>
      <c r="F856" s="110"/>
      <c r="G856" s="110"/>
      <c r="H856" s="110"/>
      <c r="I856" s="110"/>
    </row>
    <row r="857" spans="4:9" x14ac:dyDescent="0.2">
      <c r="D857" s="110"/>
      <c r="E857" s="110"/>
      <c r="F857" s="110"/>
      <c r="G857" s="110"/>
      <c r="H857" s="110"/>
      <c r="I857" s="110"/>
    </row>
    <row r="858" spans="4:9" x14ac:dyDescent="0.2">
      <c r="D858" s="110"/>
      <c r="E858" s="110"/>
      <c r="F858" s="110"/>
      <c r="G858" s="110"/>
      <c r="H858" s="110"/>
      <c r="I858" s="110"/>
    </row>
    <row r="859" spans="4:9" x14ac:dyDescent="0.2">
      <c r="D859" s="110"/>
      <c r="E859" s="110"/>
      <c r="F859" s="110"/>
      <c r="G859" s="110"/>
      <c r="H859" s="110"/>
      <c r="I859" s="110"/>
    </row>
    <row r="860" spans="4:9" x14ac:dyDescent="0.2">
      <c r="D860" s="110"/>
      <c r="E860" s="110"/>
      <c r="F860" s="110"/>
      <c r="G860" s="110"/>
      <c r="H860" s="110"/>
      <c r="I860" s="110"/>
    </row>
    <row r="861" spans="4:9" x14ac:dyDescent="0.2">
      <c r="D861" s="110"/>
      <c r="E861" s="110"/>
      <c r="F861" s="110"/>
      <c r="G861" s="110"/>
      <c r="H861" s="110"/>
      <c r="I861" s="110"/>
    </row>
    <row r="862" spans="4:9" x14ac:dyDescent="0.2">
      <c r="D862" s="110"/>
      <c r="E862" s="110"/>
      <c r="F862" s="110"/>
      <c r="G862" s="110"/>
      <c r="H862" s="110"/>
      <c r="I862" s="110"/>
    </row>
    <row r="863" spans="4:9" x14ac:dyDescent="0.2">
      <c r="D863" s="110"/>
      <c r="E863" s="110"/>
      <c r="F863" s="110"/>
      <c r="G863" s="110"/>
      <c r="H863" s="110"/>
      <c r="I863" s="110"/>
    </row>
    <row r="864" spans="4:9" x14ac:dyDescent="0.2">
      <c r="D864" s="110"/>
      <c r="E864" s="110"/>
      <c r="F864" s="110"/>
      <c r="G864" s="110"/>
      <c r="H864" s="110"/>
      <c r="I864" s="110"/>
    </row>
    <row r="865" spans="4:9" x14ac:dyDescent="0.2">
      <c r="D865" s="110"/>
      <c r="E865" s="110"/>
      <c r="F865" s="110"/>
      <c r="G865" s="110"/>
      <c r="H865" s="110"/>
      <c r="I865" s="110"/>
    </row>
    <row r="866" spans="4:9" x14ac:dyDescent="0.2">
      <c r="D866" s="110"/>
      <c r="E866" s="110"/>
      <c r="F866" s="110"/>
      <c r="G866" s="110"/>
      <c r="H866" s="110"/>
      <c r="I866" s="110"/>
    </row>
    <row r="867" spans="4:9" x14ac:dyDescent="0.2">
      <c r="D867" s="110"/>
      <c r="E867" s="110"/>
      <c r="F867" s="110"/>
      <c r="G867" s="110"/>
      <c r="H867" s="110"/>
      <c r="I867" s="110"/>
    </row>
    <row r="868" spans="4:9" x14ac:dyDescent="0.2">
      <c r="D868" s="110"/>
      <c r="E868" s="110"/>
      <c r="F868" s="110"/>
      <c r="G868" s="110"/>
      <c r="H868" s="110"/>
      <c r="I868" s="110"/>
    </row>
    <row r="869" spans="4:9" x14ac:dyDescent="0.2">
      <c r="D869" s="110"/>
      <c r="E869" s="110"/>
      <c r="F869" s="110"/>
      <c r="G869" s="110"/>
      <c r="H869" s="110"/>
      <c r="I869" s="110"/>
    </row>
    <row r="870" spans="4:9" x14ac:dyDescent="0.2">
      <c r="D870" s="110"/>
      <c r="E870" s="110"/>
      <c r="F870" s="110"/>
      <c r="G870" s="110"/>
      <c r="H870" s="110"/>
      <c r="I870" s="110"/>
    </row>
    <row r="871" spans="4:9" x14ac:dyDescent="0.2">
      <c r="D871" s="110"/>
      <c r="E871" s="110"/>
      <c r="F871" s="110"/>
      <c r="G871" s="110"/>
      <c r="H871" s="110"/>
      <c r="I871" s="110"/>
    </row>
    <row r="872" spans="4:9" x14ac:dyDescent="0.2">
      <c r="D872" s="110"/>
      <c r="E872" s="110"/>
      <c r="F872" s="110"/>
      <c r="G872" s="110"/>
      <c r="H872" s="110"/>
      <c r="I872" s="110"/>
    </row>
    <row r="873" spans="4:9" x14ac:dyDescent="0.2">
      <c r="D873" s="110"/>
      <c r="E873" s="110"/>
      <c r="F873" s="110"/>
      <c r="G873" s="110"/>
      <c r="H873" s="110"/>
      <c r="I873" s="110"/>
    </row>
    <row r="874" spans="4:9" x14ac:dyDescent="0.2">
      <c r="D874" s="110"/>
      <c r="E874" s="110"/>
      <c r="F874" s="110"/>
      <c r="G874" s="110"/>
      <c r="H874" s="110"/>
      <c r="I874" s="110"/>
    </row>
    <row r="875" spans="4:9" x14ac:dyDescent="0.2">
      <c r="D875" s="110"/>
      <c r="E875" s="110"/>
      <c r="F875" s="110"/>
      <c r="G875" s="110"/>
      <c r="H875" s="110"/>
      <c r="I875" s="110"/>
    </row>
    <row r="876" spans="4:9" x14ac:dyDescent="0.2">
      <c r="D876" s="110"/>
      <c r="E876" s="110"/>
      <c r="F876" s="110"/>
      <c r="G876" s="110"/>
      <c r="H876" s="110"/>
      <c r="I876" s="110"/>
    </row>
    <row r="877" spans="4:9" x14ac:dyDescent="0.2">
      <c r="D877" s="110"/>
      <c r="E877" s="110"/>
      <c r="F877" s="110"/>
      <c r="G877" s="110"/>
      <c r="H877" s="110"/>
      <c r="I877" s="110"/>
    </row>
    <row r="878" spans="4:9" x14ac:dyDescent="0.2">
      <c r="D878" s="110"/>
      <c r="E878" s="110"/>
      <c r="F878" s="110"/>
      <c r="G878" s="110"/>
      <c r="H878" s="110"/>
      <c r="I878" s="110"/>
    </row>
    <row r="879" spans="4:9" x14ac:dyDescent="0.2">
      <c r="D879" s="110"/>
      <c r="E879" s="110"/>
      <c r="F879" s="110"/>
      <c r="G879" s="110"/>
      <c r="H879" s="110"/>
      <c r="I879" s="110"/>
    </row>
    <row r="880" spans="4:9" x14ac:dyDescent="0.2">
      <c r="D880" s="110"/>
      <c r="E880" s="110"/>
      <c r="F880" s="110"/>
      <c r="G880" s="110"/>
      <c r="H880" s="110"/>
      <c r="I880" s="110"/>
    </row>
    <row r="881" spans="4:9" x14ac:dyDescent="0.2">
      <c r="D881" s="110"/>
      <c r="E881" s="110"/>
      <c r="F881" s="110"/>
      <c r="G881" s="110"/>
      <c r="H881" s="110"/>
      <c r="I881" s="110"/>
    </row>
    <row r="882" spans="4:9" x14ac:dyDescent="0.2">
      <c r="D882" s="110"/>
      <c r="E882" s="110"/>
      <c r="F882" s="110"/>
      <c r="G882" s="110"/>
      <c r="H882" s="110"/>
      <c r="I882" s="110"/>
    </row>
    <row r="883" spans="4:9" x14ac:dyDescent="0.2">
      <c r="D883" s="110"/>
      <c r="E883" s="110"/>
      <c r="F883" s="110"/>
      <c r="G883" s="110"/>
      <c r="H883" s="110"/>
      <c r="I883" s="110"/>
    </row>
    <row r="884" spans="4:9" x14ac:dyDescent="0.2">
      <c r="D884" s="110"/>
      <c r="E884" s="110"/>
      <c r="F884" s="110"/>
      <c r="G884" s="110"/>
      <c r="H884" s="110"/>
      <c r="I884" s="110"/>
    </row>
    <row r="885" spans="4:9" x14ac:dyDescent="0.2">
      <c r="D885" s="110"/>
      <c r="E885" s="110"/>
      <c r="F885" s="110"/>
      <c r="G885" s="110"/>
      <c r="H885" s="110"/>
      <c r="I885" s="110"/>
    </row>
    <row r="886" spans="4:9" x14ac:dyDescent="0.2">
      <c r="D886" s="110"/>
      <c r="E886" s="110"/>
      <c r="F886" s="110"/>
      <c r="G886" s="110"/>
      <c r="H886" s="110"/>
      <c r="I886" s="110"/>
    </row>
    <row r="887" spans="4:9" x14ac:dyDescent="0.2">
      <c r="D887" s="110"/>
      <c r="E887" s="110"/>
      <c r="F887" s="110"/>
      <c r="G887" s="110"/>
      <c r="H887" s="110"/>
      <c r="I887" s="110"/>
    </row>
    <row r="888" spans="4:9" x14ac:dyDescent="0.2">
      <c r="D888" s="110"/>
      <c r="E888" s="110"/>
      <c r="F888" s="110"/>
      <c r="G888" s="110"/>
      <c r="H888" s="110"/>
      <c r="I888" s="110"/>
    </row>
    <row r="889" spans="4:9" x14ac:dyDescent="0.2">
      <c r="D889" s="110"/>
      <c r="E889" s="110"/>
      <c r="F889" s="110"/>
      <c r="G889" s="110"/>
      <c r="H889" s="110"/>
      <c r="I889" s="110"/>
    </row>
    <row r="890" spans="4:9" x14ac:dyDescent="0.2">
      <c r="D890" s="110"/>
      <c r="E890" s="110"/>
      <c r="F890" s="110"/>
      <c r="G890" s="110"/>
      <c r="H890" s="110"/>
      <c r="I890" s="110"/>
    </row>
    <row r="891" spans="4:9" x14ac:dyDescent="0.2">
      <c r="D891" s="110"/>
      <c r="E891" s="110"/>
      <c r="F891" s="110"/>
      <c r="G891" s="110"/>
      <c r="H891" s="110"/>
      <c r="I891" s="110"/>
    </row>
    <row r="892" spans="4:9" x14ac:dyDescent="0.2">
      <c r="D892" s="110"/>
      <c r="E892" s="110"/>
      <c r="F892" s="110"/>
      <c r="G892" s="110"/>
      <c r="H892" s="110"/>
      <c r="I892" s="110"/>
    </row>
    <row r="893" spans="4:9" x14ac:dyDescent="0.2">
      <c r="D893" s="110"/>
      <c r="E893" s="110"/>
      <c r="F893" s="110"/>
      <c r="G893" s="110"/>
      <c r="H893" s="110"/>
      <c r="I893" s="110"/>
    </row>
    <row r="894" spans="4:9" x14ac:dyDescent="0.2">
      <c r="D894" s="110"/>
      <c r="E894" s="110"/>
      <c r="F894" s="110"/>
      <c r="G894" s="110"/>
      <c r="H894" s="110"/>
      <c r="I894" s="110"/>
    </row>
    <row r="895" spans="4:9" x14ac:dyDescent="0.2">
      <c r="D895" s="110"/>
      <c r="E895" s="110"/>
      <c r="F895" s="110"/>
      <c r="G895" s="110"/>
      <c r="H895" s="110"/>
      <c r="I895" s="110"/>
    </row>
    <row r="896" spans="4:9" x14ac:dyDescent="0.2">
      <c r="D896" s="110"/>
      <c r="E896" s="110"/>
      <c r="F896" s="110"/>
      <c r="G896" s="110"/>
      <c r="H896" s="110"/>
      <c r="I896" s="110"/>
    </row>
    <row r="897" spans="4:9" x14ac:dyDescent="0.2">
      <c r="D897" s="110"/>
      <c r="E897" s="110"/>
      <c r="F897" s="110"/>
      <c r="G897" s="110"/>
      <c r="H897" s="110"/>
      <c r="I897" s="110"/>
    </row>
    <row r="898" spans="4:9" x14ac:dyDescent="0.2">
      <c r="D898" s="110"/>
      <c r="E898" s="110"/>
      <c r="F898" s="110"/>
      <c r="G898" s="110"/>
      <c r="H898" s="110"/>
      <c r="I898" s="110"/>
    </row>
    <row r="899" spans="4:9" x14ac:dyDescent="0.2">
      <c r="D899" s="110"/>
      <c r="E899" s="110"/>
      <c r="F899" s="110"/>
      <c r="G899" s="110"/>
      <c r="H899" s="110"/>
      <c r="I899" s="110"/>
    </row>
    <row r="900" spans="4:9" x14ac:dyDescent="0.2">
      <c r="D900" s="110"/>
      <c r="E900" s="110"/>
      <c r="F900" s="110"/>
      <c r="G900" s="110"/>
      <c r="H900" s="110"/>
      <c r="I900" s="110"/>
    </row>
    <row r="901" spans="4:9" x14ac:dyDescent="0.2">
      <c r="D901" s="110"/>
      <c r="E901" s="110"/>
      <c r="F901" s="110"/>
      <c r="G901" s="110"/>
      <c r="H901" s="110"/>
      <c r="I901" s="110"/>
    </row>
    <row r="902" spans="4:9" x14ac:dyDescent="0.2">
      <c r="D902" s="110"/>
      <c r="E902" s="110"/>
      <c r="F902" s="110"/>
      <c r="G902" s="110"/>
      <c r="H902" s="110"/>
      <c r="I902" s="110"/>
    </row>
    <row r="903" spans="4:9" x14ac:dyDescent="0.2">
      <c r="D903" s="110"/>
      <c r="E903" s="110"/>
      <c r="F903" s="110"/>
      <c r="G903" s="110"/>
      <c r="H903" s="110"/>
      <c r="I903" s="110"/>
    </row>
    <row r="904" spans="4:9" x14ac:dyDescent="0.2">
      <c r="D904" s="110"/>
      <c r="E904" s="110"/>
      <c r="F904" s="110"/>
      <c r="G904" s="110"/>
      <c r="H904" s="110"/>
      <c r="I904" s="110"/>
    </row>
    <row r="905" spans="4:9" x14ac:dyDescent="0.2">
      <c r="D905" s="110"/>
      <c r="E905" s="110"/>
      <c r="F905" s="110"/>
      <c r="G905" s="110"/>
      <c r="H905" s="110"/>
      <c r="I905" s="110"/>
    </row>
    <row r="906" spans="4:9" x14ac:dyDescent="0.2">
      <c r="D906" s="110"/>
      <c r="E906" s="110"/>
      <c r="F906" s="110"/>
      <c r="G906" s="110"/>
      <c r="H906" s="110"/>
      <c r="I906" s="110"/>
    </row>
    <row r="907" spans="4:9" x14ac:dyDescent="0.2">
      <c r="D907" s="110"/>
      <c r="E907" s="110"/>
      <c r="F907" s="110"/>
      <c r="G907" s="110"/>
      <c r="H907" s="110"/>
      <c r="I907" s="110"/>
    </row>
    <row r="908" spans="4:9" x14ac:dyDescent="0.2">
      <c r="D908" s="110"/>
      <c r="E908" s="110"/>
      <c r="F908" s="110"/>
      <c r="G908" s="110"/>
      <c r="H908" s="110"/>
      <c r="I908" s="110"/>
    </row>
    <row r="909" spans="4:9" x14ac:dyDescent="0.2">
      <c r="D909" s="110"/>
      <c r="E909" s="110"/>
      <c r="F909" s="110"/>
      <c r="G909" s="110"/>
      <c r="H909" s="110"/>
      <c r="I909" s="110"/>
    </row>
    <row r="910" spans="4:9" x14ac:dyDescent="0.2">
      <c r="D910" s="110"/>
      <c r="E910" s="110"/>
      <c r="F910" s="110"/>
      <c r="G910" s="110"/>
      <c r="H910" s="110"/>
      <c r="I910" s="110"/>
    </row>
    <row r="911" spans="4:9" x14ac:dyDescent="0.2">
      <c r="D911" s="110"/>
      <c r="E911" s="110"/>
      <c r="F911" s="110"/>
      <c r="G911" s="110"/>
      <c r="H911" s="110"/>
      <c r="I911" s="110"/>
    </row>
    <row r="912" spans="4:9" x14ac:dyDescent="0.2">
      <c r="D912" s="110"/>
      <c r="E912" s="110"/>
      <c r="F912" s="110"/>
      <c r="G912" s="110"/>
      <c r="H912" s="110"/>
      <c r="I912" s="110"/>
    </row>
    <row r="913" spans="4:9" x14ac:dyDescent="0.2">
      <c r="D913" s="110"/>
      <c r="E913" s="110"/>
      <c r="F913" s="110"/>
      <c r="G913" s="110"/>
      <c r="H913" s="110"/>
      <c r="I913" s="110"/>
    </row>
    <row r="914" spans="4:9" x14ac:dyDescent="0.2">
      <c r="D914" s="110"/>
      <c r="E914" s="110"/>
      <c r="F914" s="110"/>
      <c r="G914" s="110"/>
      <c r="H914" s="110"/>
      <c r="I914" s="110"/>
    </row>
    <row r="915" spans="4:9" x14ac:dyDescent="0.2">
      <c r="D915" s="110"/>
      <c r="E915" s="110"/>
      <c r="F915" s="110"/>
      <c r="G915" s="110"/>
      <c r="H915" s="110"/>
      <c r="I915" s="110"/>
    </row>
    <row r="916" spans="4:9" x14ac:dyDescent="0.2">
      <c r="D916" s="110"/>
      <c r="E916" s="110"/>
      <c r="F916" s="110"/>
      <c r="G916" s="110"/>
      <c r="H916" s="110"/>
      <c r="I916" s="110"/>
    </row>
    <row r="917" spans="4:9" x14ac:dyDescent="0.2">
      <c r="D917" s="110"/>
      <c r="E917" s="110"/>
      <c r="F917" s="110"/>
      <c r="G917" s="110"/>
      <c r="H917" s="110"/>
      <c r="I917" s="110"/>
    </row>
    <row r="918" spans="4:9" x14ac:dyDescent="0.2">
      <c r="D918" s="110"/>
      <c r="E918" s="110"/>
      <c r="F918" s="110"/>
      <c r="G918" s="110"/>
      <c r="H918" s="110"/>
      <c r="I918" s="110"/>
    </row>
    <row r="919" spans="4:9" x14ac:dyDescent="0.2">
      <c r="D919" s="110"/>
      <c r="E919" s="110"/>
      <c r="F919" s="110"/>
      <c r="G919" s="110"/>
      <c r="H919" s="110"/>
      <c r="I919" s="110"/>
    </row>
    <row r="920" spans="4:9" x14ac:dyDescent="0.2">
      <c r="D920" s="110"/>
      <c r="E920" s="110"/>
      <c r="F920" s="110"/>
      <c r="G920" s="110"/>
      <c r="H920" s="110"/>
      <c r="I920" s="110"/>
    </row>
    <row r="921" spans="4:9" x14ac:dyDescent="0.2">
      <c r="D921" s="110"/>
      <c r="E921" s="110"/>
      <c r="F921" s="110"/>
      <c r="G921" s="110"/>
      <c r="H921" s="110"/>
      <c r="I921" s="110"/>
    </row>
    <row r="922" spans="4:9" x14ac:dyDescent="0.2">
      <c r="D922" s="110"/>
      <c r="E922" s="110"/>
      <c r="F922" s="110"/>
      <c r="G922" s="110"/>
      <c r="H922" s="110"/>
      <c r="I922" s="110"/>
    </row>
    <row r="923" spans="4:9" x14ac:dyDescent="0.2">
      <c r="D923" s="110"/>
      <c r="E923" s="110"/>
      <c r="F923" s="110"/>
      <c r="G923" s="110"/>
      <c r="H923" s="110"/>
      <c r="I923" s="110"/>
    </row>
    <row r="924" spans="4:9" x14ac:dyDescent="0.2">
      <c r="D924" s="110"/>
      <c r="E924" s="110"/>
      <c r="F924" s="110"/>
      <c r="G924" s="110"/>
      <c r="H924" s="110"/>
      <c r="I924" s="110"/>
    </row>
    <row r="925" spans="4:9" x14ac:dyDescent="0.2">
      <c r="D925" s="110"/>
      <c r="E925" s="110"/>
      <c r="F925" s="110"/>
      <c r="G925" s="110"/>
      <c r="H925" s="110"/>
      <c r="I925" s="110"/>
    </row>
    <row r="926" spans="4:9" x14ac:dyDescent="0.2">
      <c r="D926" s="110"/>
      <c r="E926" s="110"/>
      <c r="F926" s="110"/>
      <c r="G926" s="110"/>
      <c r="H926" s="110"/>
      <c r="I926" s="110"/>
    </row>
    <row r="927" spans="4:9" x14ac:dyDescent="0.2">
      <c r="D927" s="110"/>
      <c r="E927" s="110"/>
      <c r="F927" s="110"/>
      <c r="G927" s="110"/>
      <c r="H927" s="110"/>
      <c r="I927" s="110"/>
    </row>
    <row r="928" spans="4:9" x14ac:dyDescent="0.2">
      <c r="D928" s="110"/>
      <c r="E928" s="110"/>
      <c r="F928" s="110"/>
      <c r="G928" s="110"/>
      <c r="H928" s="110"/>
      <c r="I928" s="110"/>
    </row>
    <row r="929" spans="4:9" x14ac:dyDescent="0.2">
      <c r="D929" s="110"/>
      <c r="E929" s="110"/>
      <c r="F929" s="110"/>
      <c r="G929" s="110"/>
      <c r="H929" s="110"/>
      <c r="I929" s="110"/>
    </row>
    <row r="930" spans="4:9" x14ac:dyDescent="0.2">
      <c r="D930" s="110"/>
      <c r="E930" s="110"/>
      <c r="F930" s="110"/>
      <c r="G930" s="110"/>
      <c r="H930" s="110"/>
      <c r="I930" s="110"/>
    </row>
    <row r="931" spans="4:9" x14ac:dyDescent="0.2">
      <c r="D931" s="110"/>
      <c r="E931" s="110"/>
      <c r="F931" s="110"/>
      <c r="G931" s="110"/>
      <c r="H931" s="110"/>
      <c r="I931" s="110"/>
    </row>
    <row r="932" spans="4:9" x14ac:dyDescent="0.2">
      <c r="D932" s="110"/>
      <c r="E932" s="110"/>
      <c r="F932" s="110"/>
      <c r="G932" s="110"/>
      <c r="H932" s="110"/>
      <c r="I932" s="110"/>
    </row>
    <row r="933" spans="4:9" x14ac:dyDescent="0.2">
      <c r="D933" s="110"/>
      <c r="E933" s="110"/>
      <c r="F933" s="110"/>
      <c r="G933" s="110"/>
      <c r="H933" s="110"/>
      <c r="I933" s="110"/>
    </row>
    <row r="934" spans="4:9" x14ac:dyDescent="0.2">
      <c r="D934" s="110"/>
      <c r="E934" s="110"/>
      <c r="F934" s="110"/>
      <c r="G934" s="110"/>
      <c r="H934" s="110"/>
      <c r="I934" s="110"/>
    </row>
    <row r="935" spans="4:9" x14ac:dyDescent="0.2">
      <c r="D935" s="110"/>
      <c r="E935" s="110"/>
      <c r="F935" s="110"/>
      <c r="G935" s="110"/>
      <c r="H935" s="110"/>
      <c r="I935" s="110"/>
    </row>
    <row r="936" spans="4:9" x14ac:dyDescent="0.2">
      <c r="D936" s="110"/>
      <c r="E936" s="110"/>
      <c r="F936" s="110"/>
      <c r="G936" s="110"/>
      <c r="H936" s="110"/>
      <c r="I936" s="110"/>
    </row>
    <row r="937" spans="4:9" x14ac:dyDescent="0.2">
      <c r="D937" s="110"/>
      <c r="E937" s="110"/>
      <c r="F937" s="110"/>
      <c r="G937" s="110"/>
      <c r="H937" s="110"/>
      <c r="I937" s="110"/>
    </row>
    <row r="938" spans="4:9" x14ac:dyDescent="0.2">
      <c r="D938" s="110"/>
      <c r="E938" s="110"/>
      <c r="F938" s="110"/>
      <c r="G938" s="110"/>
      <c r="H938" s="110"/>
      <c r="I938" s="110"/>
    </row>
    <row r="939" spans="4:9" x14ac:dyDescent="0.2">
      <c r="D939" s="110"/>
      <c r="E939" s="110"/>
      <c r="F939" s="110"/>
      <c r="G939" s="110"/>
      <c r="H939" s="110"/>
      <c r="I939" s="110"/>
    </row>
    <row r="940" spans="4:9" x14ac:dyDescent="0.2">
      <c r="D940" s="110"/>
      <c r="E940" s="110"/>
      <c r="F940" s="110"/>
      <c r="G940" s="110"/>
      <c r="H940" s="110"/>
      <c r="I940" s="110"/>
    </row>
    <row r="941" spans="4:9" x14ac:dyDescent="0.2">
      <c r="D941" s="110"/>
      <c r="E941" s="110"/>
      <c r="F941" s="110"/>
      <c r="G941" s="110"/>
      <c r="H941" s="110"/>
      <c r="I941" s="110"/>
    </row>
    <row r="942" spans="4:9" x14ac:dyDescent="0.2">
      <c r="D942" s="110"/>
      <c r="E942" s="110"/>
      <c r="F942" s="110"/>
      <c r="G942" s="110"/>
      <c r="H942" s="110"/>
      <c r="I942" s="110"/>
    </row>
    <row r="943" spans="4:9" x14ac:dyDescent="0.2">
      <c r="D943" s="110"/>
      <c r="E943" s="110"/>
      <c r="F943" s="110"/>
      <c r="G943" s="110"/>
      <c r="H943" s="110"/>
      <c r="I943" s="110"/>
    </row>
    <row r="944" spans="4:9" x14ac:dyDescent="0.2">
      <c r="D944" s="110"/>
      <c r="E944" s="110"/>
      <c r="F944" s="110"/>
      <c r="G944" s="110"/>
      <c r="H944" s="110"/>
      <c r="I944" s="110"/>
    </row>
    <row r="945" spans="4:9" x14ac:dyDescent="0.2">
      <c r="D945" s="110"/>
      <c r="E945" s="110"/>
      <c r="F945" s="110"/>
      <c r="G945" s="110"/>
      <c r="H945" s="110"/>
      <c r="I945" s="110"/>
    </row>
    <row r="946" spans="4:9" x14ac:dyDescent="0.2">
      <c r="D946" s="110"/>
      <c r="E946" s="110"/>
      <c r="F946" s="110"/>
      <c r="G946" s="110"/>
      <c r="H946" s="110"/>
      <c r="I946" s="110"/>
    </row>
    <row r="947" spans="4:9" x14ac:dyDescent="0.2">
      <c r="D947" s="110"/>
      <c r="E947" s="110"/>
      <c r="F947" s="110"/>
      <c r="G947" s="110"/>
      <c r="H947" s="110"/>
      <c r="I947" s="110"/>
    </row>
    <row r="948" spans="4:9" x14ac:dyDescent="0.2">
      <c r="D948" s="110"/>
      <c r="E948" s="110"/>
      <c r="F948" s="110"/>
      <c r="G948" s="110"/>
      <c r="H948" s="110"/>
      <c r="I948" s="110"/>
    </row>
    <row r="949" spans="4:9" x14ac:dyDescent="0.2">
      <c r="D949" s="110"/>
      <c r="E949" s="110"/>
      <c r="F949" s="110"/>
      <c r="G949" s="110"/>
      <c r="H949" s="110"/>
      <c r="I949" s="110"/>
    </row>
    <row r="950" spans="4:9" x14ac:dyDescent="0.2">
      <c r="D950" s="110"/>
      <c r="E950" s="110"/>
      <c r="F950" s="110"/>
      <c r="G950" s="110"/>
      <c r="H950" s="110"/>
      <c r="I950" s="110"/>
    </row>
    <row r="951" spans="4:9" x14ac:dyDescent="0.2">
      <c r="D951" s="110"/>
      <c r="E951" s="110"/>
      <c r="F951" s="110"/>
      <c r="G951" s="110"/>
      <c r="H951" s="110"/>
      <c r="I951" s="110"/>
    </row>
    <row r="952" spans="4:9" x14ac:dyDescent="0.2">
      <c r="D952" s="110"/>
      <c r="E952" s="110"/>
      <c r="F952" s="110"/>
      <c r="G952" s="110"/>
      <c r="H952" s="110"/>
      <c r="I952" s="110"/>
    </row>
    <row r="953" spans="4:9" x14ac:dyDescent="0.2">
      <c r="D953" s="110"/>
      <c r="E953" s="110"/>
      <c r="F953" s="110"/>
      <c r="G953" s="110"/>
      <c r="H953" s="110"/>
      <c r="I953" s="110"/>
    </row>
    <row r="954" spans="4:9" x14ac:dyDescent="0.2">
      <c r="D954" s="110"/>
      <c r="E954" s="110"/>
      <c r="F954" s="110"/>
      <c r="G954" s="110"/>
      <c r="H954" s="110"/>
      <c r="I954" s="110"/>
    </row>
    <row r="955" spans="4:9" x14ac:dyDescent="0.2">
      <c r="D955" s="110"/>
      <c r="E955" s="110"/>
      <c r="F955" s="110"/>
      <c r="G955" s="110"/>
      <c r="H955" s="110"/>
      <c r="I955" s="110"/>
    </row>
    <row r="956" spans="4:9" x14ac:dyDescent="0.2">
      <c r="D956" s="110"/>
      <c r="E956" s="110"/>
      <c r="F956" s="110"/>
      <c r="G956" s="110"/>
      <c r="H956" s="110"/>
      <c r="I956" s="110"/>
    </row>
    <row r="957" spans="4:9" x14ac:dyDescent="0.2">
      <c r="D957" s="110"/>
      <c r="E957" s="110"/>
      <c r="F957" s="110"/>
      <c r="G957" s="110"/>
      <c r="H957" s="110"/>
      <c r="I957" s="110"/>
    </row>
    <row r="958" spans="4:9" x14ac:dyDescent="0.2">
      <c r="D958" s="110"/>
      <c r="E958" s="110"/>
      <c r="F958" s="110"/>
      <c r="G958" s="110"/>
      <c r="H958" s="110"/>
      <c r="I958" s="110"/>
    </row>
    <row r="959" spans="4:9" x14ac:dyDescent="0.2">
      <c r="D959" s="110"/>
      <c r="E959" s="110"/>
      <c r="F959" s="110"/>
      <c r="G959" s="110"/>
      <c r="H959" s="110"/>
      <c r="I959" s="110"/>
    </row>
    <row r="960" spans="4:9" x14ac:dyDescent="0.2">
      <c r="D960" s="110"/>
      <c r="E960" s="110"/>
      <c r="F960" s="110"/>
      <c r="G960" s="110"/>
      <c r="H960" s="110"/>
      <c r="I960" s="110"/>
    </row>
    <row r="961" spans="4:9" x14ac:dyDescent="0.2">
      <c r="D961" s="110"/>
      <c r="E961" s="110"/>
      <c r="F961" s="110"/>
      <c r="G961" s="110"/>
      <c r="H961" s="110"/>
      <c r="I961" s="110"/>
    </row>
    <row r="962" spans="4:9" x14ac:dyDescent="0.2">
      <c r="D962" s="110"/>
      <c r="E962" s="110"/>
      <c r="F962" s="110"/>
      <c r="G962" s="110"/>
      <c r="H962" s="110"/>
      <c r="I962" s="110"/>
    </row>
    <row r="963" spans="4:9" x14ac:dyDescent="0.2">
      <c r="D963" s="110"/>
      <c r="E963" s="110"/>
      <c r="F963" s="110"/>
      <c r="G963" s="110"/>
      <c r="H963" s="110"/>
      <c r="I963" s="110"/>
    </row>
    <row r="964" spans="4:9" x14ac:dyDescent="0.2">
      <c r="D964" s="110"/>
      <c r="E964" s="110"/>
      <c r="F964" s="110"/>
      <c r="G964" s="110"/>
      <c r="H964" s="110"/>
      <c r="I964" s="110"/>
    </row>
    <row r="965" spans="4:9" x14ac:dyDescent="0.2">
      <c r="D965" s="110"/>
      <c r="E965" s="110"/>
      <c r="F965" s="110"/>
      <c r="G965" s="110"/>
      <c r="H965" s="110"/>
      <c r="I965" s="110"/>
    </row>
    <row r="966" spans="4:9" x14ac:dyDescent="0.2">
      <c r="D966" s="110"/>
      <c r="E966" s="110"/>
      <c r="F966" s="110"/>
      <c r="G966" s="110"/>
      <c r="H966" s="110"/>
      <c r="I966" s="110"/>
    </row>
    <row r="967" spans="4:9" x14ac:dyDescent="0.2">
      <c r="D967" s="110"/>
      <c r="E967" s="110"/>
      <c r="F967" s="110"/>
      <c r="G967" s="110"/>
      <c r="H967" s="110"/>
      <c r="I967" s="110"/>
    </row>
    <row r="968" spans="4:9" x14ac:dyDescent="0.2">
      <c r="D968" s="110"/>
      <c r="E968" s="110"/>
      <c r="F968" s="110"/>
      <c r="G968" s="110"/>
      <c r="H968" s="110"/>
      <c r="I968" s="110"/>
    </row>
    <row r="969" spans="4:9" x14ac:dyDescent="0.2">
      <c r="D969" s="110"/>
      <c r="E969" s="110"/>
      <c r="F969" s="110"/>
      <c r="G969" s="110"/>
      <c r="H969" s="110"/>
      <c r="I969" s="110"/>
    </row>
    <row r="970" spans="4:9" x14ac:dyDescent="0.2">
      <c r="D970" s="110"/>
      <c r="E970" s="110"/>
      <c r="F970" s="110"/>
      <c r="G970" s="110"/>
      <c r="H970" s="110"/>
      <c r="I970" s="110"/>
    </row>
    <row r="971" spans="4:9" x14ac:dyDescent="0.2">
      <c r="D971" s="110"/>
      <c r="E971" s="110"/>
      <c r="F971" s="110"/>
      <c r="G971" s="110"/>
      <c r="H971" s="110"/>
      <c r="I971" s="110"/>
    </row>
    <row r="972" spans="4:9" x14ac:dyDescent="0.2">
      <c r="D972" s="110"/>
      <c r="E972" s="110"/>
      <c r="F972" s="110"/>
      <c r="G972" s="110"/>
      <c r="H972" s="110"/>
      <c r="I972" s="110"/>
    </row>
    <row r="973" spans="4:9" x14ac:dyDescent="0.2">
      <c r="D973" s="110"/>
      <c r="E973" s="110"/>
      <c r="F973" s="110"/>
      <c r="G973" s="110"/>
      <c r="H973" s="110"/>
      <c r="I973" s="110"/>
    </row>
    <row r="974" spans="4:9" x14ac:dyDescent="0.2">
      <c r="D974" s="110"/>
      <c r="E974" s="110"/>
      <c r="F974" s="110"/>
      <c r="G974" s="110"/>
      <c r="H974" s="110"/>
      <c r="I974" s="110"/>
    </row>
    <row r="975" spans="4:9" x14ac:dyDescent="0.2">
      <c r="D975" s="110"/>
      <c r="E975" s="110"/>
      <c r="F975" s="110"/>
      <c r="G975" s="110"/>
      <c r="H975" s="110"/>
      <c r="I975" s="110"/>
    </row>
    <row r="976" spans="4:9" x14ac:dyDescent="0.2">
      <c r="D976" s="110"/>
      <c r="E976" s="110"/>
      <c r="F976" s="110"/>
      <c r="G976" s="110"/>
      <c r="H976" s="110"/>
      <c r="I976" s="110"/>
    </row>
    <row r="977" spans="4:9" x14ac:dyDescent="0.2">
      <c r="D977" s="110"/>
      <c r="E977" s="110"/>
      <c r="F977" s="110"/>
      <c r="G977" s="110"/>
      <c r="H977" s="110"/>
      <c r="I977" s="110"/>
    </row>
    <row r="978" spans="4:9" x14ac:dyDescent="0.2">
      <c r="D978" s="110"/>
      <c r="E978" s="110"/>
      <c r="F978" s="110"/>
      <c r="G978" s="110"/>
      <c r="H978" s="110"/>
      <c r="I978" s="110"/>
    </row>
    <row r="979" spans="4:9" x14ac:dyDescent="0.2">
      <c r="D979" s="110"/>
      <c r="E979" s="110"/>
      <c r="F979" s="110"/>
      <c r="G979" s="110"/>
      <c r="H979" s="110"/>
      <c r="I979" s="110"/>
    </row>
    <row r="980" spans="4:9" x14ac:dyDescent="0.2">
      <c r="D980" s="110"/>
      <c r="E980" s="110"/>
      <c r="F980" s="110"/>
      <c r="G980" s="110"/>
      <c r="H980" s="110"/>
      <c r="I980" s="110"/>
    </row>
    <row r="981" spans="4:9" x14ac:dyDescent="0.2">
      <c r="D981" s="110"/>
      <c r="E981" s="110"/>
      <c r="F981" s="110"/>
      <c r="G981" s="110"/>
      <c r="H981" s="110"/>
      <c r="I981" s="110"/>
    </row>
    <row r="982" spans="4:9" x14ac:dyDescent="0.2">
      <c r="D982" s="110"/>
      <c r="E982" s="110"/>
      <c r="F982" s="110"/>
      <c r="G982" s="110"/>
      <c r="H982" s="110"/>
      <c r="I982" s="110"/>
    </row>
    <row r="983" spans="4:9" x14ac:dyDescent="0.2">
      <c r="D983" s="110"/>
      <c r="E983" s="110"/>
      <c r="F983" s="110"/>
      <c r="G983" s="110"/>
      <c r="H983" s="110"/>
      <c r="I983" s="110"/>
    </row>
    <row r="984" spans="4:9" x14ac:dyDescent="0.2">
      <c r="D984" s="110"/>
      <c r="E984" s="110"/>
      <c r="F984" s="110"/>
      <c r="G984" s="110"/>
      <c r="H984" s="110"/>
      <c r="I984" s="110"/>
    </row>
    <row r="985" spans="4:9" x14ac:dyDescent="0.2">
      <c r="D985" s="110"/>
      <c r="E985" s="110"/>
      <c r="F985" s="110"/>
      <c r="G985" s="110"/>
      <c r="H985" s="110"/>
      <c r="I985" s="110"/>
    </row>
    <row r="986" spans="4:9" x14ac:dyDescent="0.2">
      <c r="D986" s="110"/>
      <c r="E986" s="110"/>
      <c r="F986" s="110"/>
      <c r="G986" s="110"/>
      <c r="H986" s="110"/>
      <c r="I986" s="110"/>
    </row>
    <row r="987" spans="4:9" x14ac:dyDescent="0.2">
      <c r="D987" s="110"/>
      <c r="E987" s="110"/>
      <c r="F987" s="110"/>
      <c r="G987" s="110"/>
      <c r="H987" s="110"/>
      <c r="I987" s="110"/>
    </row>
    <row r="988" spans="4:9" x14ac:dyDescent="0.2">
      <c r="D988" s="110"/>
      <c r="E988" s="110"/>
      <c r="F988" s="110"/>
      <c r="G988" s="110"/>
      <c r="H988" s="110"/>
      <c r="I988" s="110"/>
    </row>
    <row r="989" spans="4:9" x14ac:dyDescent="0.2">
      <c r="D989" s="110"/>
      <c r="E989" s="110"/>
      <c r="F989" s="110"/>
      <c r="G989" s="110"/>
      <c r="H989" s="110"/>
      <c r="I989" s="110"/>
    </row>
    <row r="990" spans="4:9" x14ac:dyDescent="0.2">
      <c r="D990" s="110"/>
      <c r="E990" s="110"/>
      <c r="F990" s="110"/>
      <c r="G990" s="110"/>
      <c r="H990" s="110"/>
      <c r="I990" s="110"/>
    </row>
    <row r="991" spans="4:9" x14ac:dyDescent="0.2">
      <c r="D991" s="110"/>
      <c r="E991" s="110"/>
      <c r="F991" s="110"/>
      <c r="G991" s="110"/>
      <c r="H991" s="110"/>
      <c r="I991" s="110"/>
    </row>
    <row r="992" spans="4:9" x14ac:dyDescent="0.2">
      <c r="D992" s="110"/>
      <c r="E992" s="110"/>
      <c r="F992" s="110"/>
      <c r="G992" s="110"/>
      <c r="H992" s="110"/>
      <c r="I992" s="110"/>
    </row>
    <row r="993" spans="4:9" x14ac:dyDescent="0.2">
      <c r="D993" s="110"/>
      <c r="E993" s="110"/>
      <c r="F993" s="110"/>
      <c r="G993" s="110"/>
      <c r="H993" s="110"/>
      <c r="I993" s="110"/>
    </row>
    <row r="994" spans="4:9" x14ac:dyDescent="0.2">
      <c r="D994" s="110"/>
      <c r="E994" s="110"/>
      <c r="F994" s="110"/>
      <c r="G994" s="110"/>
      <c r="H994" s="110"/>
      <c r="I994" s="110"/>
    </row>
    <row r="995" spans="4:9" x14ac:dyDescent="0.2">
      <c r="D995" s="110"/>
      <c r="E995" s="110"/>
      <c r="F995" s="110"/>
      <c r="G995" s="110"/>
      <c r="H995" s="110"/>
      <c r="I995" s="110"/>
    </row>
    <row r="996" spans="4:9" x14ac:dyDescent="0.2">
      <c r="D996" s="110"/>
      <c r="E996" s="110"/>
      <c r="F996" s="110"/>
      <c r="G996" s="110"/>
      <c r="H996" s="110"/>
      <c r="I996" s="110"/>
    </row>
    <row r="997" spans="4:9" x14ac:dyDescent="0.2">
      <c r="D997" s="110"/>
      <c r="E997" s="110"/>
      <c r="F997" s="110"/>
      <c r="G997" s="110"/>
      <c r="H997" s="110"/>
      <c r="I997" s="110"/>
    </row>
    <row r="998" spans="4:9" x14ac:dyDescent="0.2">
      <c r="D998" s="110"/>
      <c r="E998" s="110"/>
      <c r="F998" s="110"/>
      <c r="G998" s="110"/>
      <c r="H998" s="110"/>
      <c r="I998" s="110"/>
    </row>
    <row r="999" spans="4:9" x14ac:dyDescent="0.2">
      <c r="D999" s="110"/>
      <c r="E999" s="110"/>
      <c r="F999" s="110"/>
      <c r="G999" s="110"/>
      <c r="H999" s="110"/>
      <c r="I999" s="110"/>
    </row>
    <row r="1000" spans="4:9" x14ac:dyDescent="0.2">
      <c r="D1000" s="110"/>
      <c r="E1000" s="110"/>
      <c r="F1000" s="110"/>
      <c r="G1000" s="110"/>
      <c r="H1000" s="110"/>
      <c r="I1000" s="110"/>
    </row>
  </sheetData>
  <mergeCells count="508">
    <mergeCell ref="A615:B615"/>
    <mergeCell ref="A616:B616"/>
    <mergeCell ref="A617:B617"/>
    <mergeCell ref="A618:B618"/>
    <mergeCell ref="A619:B619"/>
    <mergeCell ref="A620:B620"/>
    <mergeCell ref="A602:B602"/>
    <mergeCell ref="A603:B603"/>
    <mergeCell ref="A604:B604"/>
    <mergeCell ref="A605:B605"/>
    <mergeCell ref="A606:B606"/>
    <mergeCell ref="A607:B607"/>
    <mergeCell ref="A608:B608"/>
    <mergeCell ref="A612:D612"/>
    <mergeCell ref="E612:H612"/>
    <mergeCell ref="A594:D594"/>
    <mergeCell ref="E594:H594"/>
    <mergeCell ref="A596:B596"/>
    <mergeCell ref="E596:F596"/>
    <mergeCell ref="A597:B597"/>
    <mergeCell ref="A598:B598"/>
    <mergeCell ref="A599:B599"/>
    <mergeCell ref="A600:B600"/>
    <mergeCell ref="A601:B601"/>
    <mergeCell ref="A589:D589"/>
    <mergeCell ref="E589:H589"/>
    <mergeCell ref="A590:D590"/>
    <mergeCell ref="E590:H590"/>
    <mergeCell ref="A591:D591"/>
    <mergeCell ref="E591:H591"/>
    <mergeCell ref="A592:D592"/>
    <mergeCell ref="E592:H592"/>
    <mergeCell ref="A593:D593"/>
    <mergeCell ref="E593:H593"/>
    <mergeCell ref="A579:B579"/>
    <mergeCell ref="A580:B580"/>
    <mergeCell ref="A581:B581"/>
    <mergeCell ref="A582:B582"/>
    <mergeCell ref="A586:D586"/>
    <mergeCell ref="E586:H586"/>
    <mergeCell ref="A587:D587"/>
    <mergeCell ref="E587:H587"/>
    <mergeCell ref="A588:D588"/>
    <mergeCell ref="E588:H588"/>
    <mergeCell ref="A570:B570"/>
    <mergeCell ref="A571:B571"/>
    <mergeCell ref="A572:B572"/>
    <mergeCell ref="A573:B573"/>
    <mergeCell ref="A574:B574"/>
    <mergeCell ref="A575:B575"/>
    <mergeCell ref="A576:B576"/>
    <mergeCell ref="A577:B577"/>
    <mergeCell ref="A578:B578"/>
    <mergeCell ref="A559:B559"/>
    <mergeCell ref="A562:B562"/>
    <mergeCell ref="A563:B563"/>
    <mergeCell ref="A564:B564"/>
    <mergeCell ref="A565:B565"/>
    <mergeCell ref="A566:B566"/>
    <mergeCell ref="A567:B567"/>
    <mergeCell ref="A568:B568"/>
    <mergeCell ref="A569:B569"/>
    <mergeCell ref="A550:B550"/>
    <mergeCell ref="A551:B551"/>
    <mergeCell ref="A552:B552"/>
    <mergeCell ref="A553:B553"/>
    <mergeCell ref="A554:B554"/>
    <mergeCell ref="A555:B555"/>
    <mergeCell ref="A556:B556"/>
    <mergeCell ref="A557:B557"/>
    <mergeCell ref="A558:B558"/>
    <mergeCell ref="A541:B541"/>
    <mergeCell ref="A542:B542"/>
    <mergeCell ref="A543:B543"/>
    <mergeCell ref="A544:B544"/>
    <mergeCell ref="A545:B545"/>
    <mergeCell ref="A546:B546"/>
    <mergeCell ref="A547:B547"/>
    <mergeCell ref="A548:B548"/>
    <mergeCell ref="A549:B549"/>
    <mergeCell ref="A529:B529"/>
    <mergeCell ref="A530:B530"/>
    <mergeCell ref="A531:B531"/>
    <mergeCell ref="A535:B535"/>
    <mergeCell ref="A536:B536"/>
    <mergeCell ref="A537:B537"/>
    <mergeCell ref="A538:B538"/>
    <mergeCell ref="A539:B539"/>
    <mergeCell ref="A540:B540"/>
    <mergeCell ref="A520:B520"/>
    <mergeCell ref="A521:B521"/>
    <mergeCell ref="A522:B522"/>
    <mergeCell ref="A523:B523"/>
    <mergeCell ref="A524:B524"/>
    <mergeCell ref="A525:B525"/>
    <mergeCell ref="A526:B526"/>
    <mergeCell ref="A527:B527"/>
    <mergeCell ref="A528:B528"/>
    <mergeCell ref="A511:B511"/>
    <mergeCell ref="A512:B512"/>
    <mergeCell ref="A513:B513"/>
    <mergeCell ref="A514:B514"/>
    <mergeCell ref="A515:B515"/>
    <mergeCell ref="A516:B516"/>
    <mergeCell ref="A517:B517"/>
    <mergeCell ref="A518:B518"/>
    <mergeCell ref="A519:B519"/>
    <mergeCell ref="A502:B502"/>
    <mergeCell ref="A503:B503"/>
    <mergeCell ref="A504:B504"/>
    <mergeCell ref="A505:B505"/>
    <mergeCell ref="A506:B506"/>
    <mergeCell ref="A507:B507"/>
    <mergeCell ref="A508:B508"/>
    <mergeCell ref="A509:B509"/>
    <mergeCell ref="A510:B510"/>
    <mergeCell ref="A491:D491"/>
    <mergeCell ref="E491:H491"/>
    <mergeCell ref="A493:D493"/>
    <mergeCell ref="E493:H493"/>
    <mergeCell ref="A497:B497"/>
    <mergeCell ref="A498:B498"/>
    <mergeCell ref="A499:B499"/>
    <mergeCell ref="A500:B500"/>
    <mergeCell ref="A501:B501"/>
    <mergeCell ref="A470:B470"/>
    <mergeCell ref="A474:B474"/>
    <mergeCell ref="A475:B475"/>
    <mergeCell ref="A476:B476"/>
    <mergeCell ref="A480:B480"/>
    <mergeCell ref="A481:B481"/>
    <mergeCell ref="A482:B482"/>
    <mergeCell ref="A483:B483"/>
    <mergeCell ref="A489:D489"/>
    <mergeCell ref="A461:B461"/>
    <mergeCell ref="A462:B462"/>
    <mergeCell ref="A463:B463"/>
    <mergeCell ref="A464:B464"/>
    <mergeCell ref="A465:B465"/>
    <mergeCell ref="A466:B466"/>
    <mergeCell ref="A467:B467"/>
    <mergeCell ref="A468:B468"/>
    <mergeCell ref="A469:B469"/>
    <mergeCell ref="A452:B452"/>
    <mergeCell ref="A453:B453"/>
    <mergeCell ref="A454:B454"/>
    <mergeCell ref="A455:B455"/>
    <mergeCell ref="A456:B456"/>
    <mergeCell ref="A457:B457"/>
    <mergeCell ref="A458:B458"/>
    <mergeCell ref="A459:B459"/>
    <mergeCell ref="A460:B460"/>
    <mergeCell ref="A443:B443"/>
    <mergeCell ref="A444:B444"/>
    <mergeCell ref="A445:B445"/>
    <mergeCell ref="A446:B446"/>
    <mergeCell ref="A447:B447"/>
    <mergeCell ref="A448:B448"/>
    <mergeCell ref="A449:B449"/>
    <mergeCell ref="A450:B450"/>
    <mergeCell ref="A451:B451"/>
    <mergeCell ref="A428:B428"/>
    <mergeCell ref="A429:D429"/>
    <mergeCell ref="A431:D431"/>
    <mergeCell ref="A434:D434"/>
    <mergeCell ref="A435:D435"/>
    <mergeCell ref="A436:D436"/>
    <mergeCell ref="A437:D437"/>
    <mergeCell ref="A441:B441"/>
    <mergeCell ref="A442:B442"/>
    <mergeCell ref="A416:B416"/>
    <mergeCell ref="A417:B417"/>
    <mergeCell ref="A418:B418"/>
    <mergeCell ref="A419:B419"/>
    <mergeCell ref="A420:B420"/>
    <mergeCell ref="A421:B421"/>
    <mergeCell ref="A422:B422"/>
    <mergeCell ref="A426:B426"/>
    <mergeCell ref="A427:B427"/>
    <mergeCell ref="A407:B407"/>
    <mergeCell ref="A408:B408"/>
    <mergeCell ref="A409:B409"/>
    <mergeCell ref="A410:B410"/>
    <mergeCell ref="A411:B411"/>
    <mergeCell ref="A412:B412"/>
    <mergeCell ref="A413:B413"/>
    <mergeCell ref="A414:B414"/>
    <mergeCell ref="A415:B415"/>
    <mergeCell ref="A398:B398"/>
    <mergeCell ref="A399:B399"/>
    <mergeCell ref="A400:B400"/>
    <mergeCell ref="A401:B401"/>
    <mergeCell ref="A402:B402"/>
    <mergeCell ref="A403:B403"/>
    <mergeCell ref="A404:B404"/>
    <mergeCell ref="A405:B405"/>
    <mergeCell ref="A406:B406"/>
    <mergeCell ref="A386:D386"/>
    <mergeCell ref="A387:D387"/>
    <mergeCell ref="A388:D388"/>
    <mergeCell ref="A389:D389"/>
    <mergeCell ref="A393:B393"/>
    <mergeCell ref="A394:B394"/>
    <mergeCell ref="A395:B395"/>
    <mergeCell ref="A396:B396"/>
    <mergeCell ref="A397:B397"/>
    <mergeCell ref="A371:B371"/>
    <mergeCell ref="A372:B372"/>
    <mergeCell ref="A373:B373"/>
    <mergeCell ref="A374:B374"/>
    <mergeCell ref="A378:B378"/>
    <mergeCell ref="A379:B379"/>
    <mergeCell ref="A380:B380"/>
    <mergeCell ref="A381:D381"/>
    <mergeCell ref="A383:D383"/>
    <mergeCell ref="A362:B362"/>
    <mergeCell ref="A363:B363"/>
    <mergeCell ref="A364:B364"/>
    <mergeCell ref="A365:B365"/>
    <mergeCell ref="A366:B366"/>
    <mergeCell ref="A367:B367"/>
    <mergeCell ref="A368:B368"/>
    <mergeCell ref="A369:B369"/>
    <mergeCell ref="A370:B370"/>
    <mergeCell ref="A353:B353"/>
    <mergeCell ref="A354:B354"/>
    <mergeCell ref="A355:B355"/>
    <mergeCell ref="A356:B356"/>
    <mergeCell ref="A357:B357"/>
    <mergeCell ref="A358:B358"/>
    <mergeCell ref="A359:B359"/>
    <mergeCell ref="A360:B360"/>
    <mergeCell ref="A361:B361"/>
    <mergeCell ref="A341:D341"/>
    <mergeCell ref="A345:B345"/>
    <mergeCell ref="A346:B346"/>
    <mergeCell ref="A347:B347"/>
    <mergeCell ref="A348:B348"/>
    <mergeCell ref="A349:B349"/>
    <mergeCell ref="A350:B350"/>
    <mergeCell ref="A351:B351"/>
    <mergeCell ref="A352:B352"/>
    <mergeCell ref="A326:B326"/>
    <mergeCell ref="A330:B330"/>
    <mergeCell ref="A331:B331"/>
    <mergeCell ref="A332:B332"/>
    <mergeCell ref="A333:D333"/>
    <mergeCell ref="A335:D335"/>
    <mergeCell ref="A338:D338"/>
    <mergeCell ref="A339:D339"/>
    <mergeCell ref="A340:D340"/>
    <mergeCell ref="A317:B317"/>
    <mergeCell ref="A318:B318"/>
    <mergeCell ref="A319:B319"/>
    <mergeCell ref="A320:B320"/>
    <mergeCell ref="A321:B321"/>
    <mergeCell ref="A322:B322"/>
    <mergeCell ref="A323:B323"/>
    <mergeCell ref="A324:B324"/>
    <mergeCell ref="A325:B325"/>
    <mergeCell ref="A308:B308"/>
    <mergeCell ref="A309:B309"/>
    <mergeCell ref="A310:B310"/>
    <mergeCell ref="A311:B311"/>
    <mergeCell ref="A312:B312"/>
    <mergeCell ref="A313:B313"/>
    <mergeCell ref="A314:B314"/>
    <mergeCell ref="A315:B315"/>
    <mergeCell ref="A316:B316"/>
    <mergeCell ref="A299:B299"/>
    <mergeCell ref="A300:B300"/>
    <mergeCell ref="A301:B301"/>
    <mergeCell ref="A302:B302"/>
    <mergeCell ref="A303:B303"/>
    <mergeCell ref="A304:B304"/>
    <mergeCell ref="A305:B305"/>
    <mergeCell ref="A306:B306"/>
    <mergeCell ref="A307:B307"/>
    <mergeCell ref="A278:B278"/>
    <mergeCell ref="A285:D285"/>
    <mergeCell ref="A287:D287"/>
    <mergeCell ref="A290:D290"/>
    <mergeCell ref="A291:D291"/>
    <mergeCell ref="A292:D292"/>
    <mergeCell ref="A293:D293"/>
    <mergeCell ref="A297:B297"/>
    <mergeCell ref="A298:B298"/>
    <mergeCell ref="A282:B282"/>
    <mergeCell ref="A283:B283"/>
    <mergeCell ref="A284:B284"/>
    <mergeCell ref="A258:B258"/>
    <mergeCell ref="A259:B259"/>
    <mergeCell ref="A273:B273"/>
    <mergeCell ref="A274:B274"/>
    <mergeCell ref="A275:B275"/>
    <mergeCell ref="A276:B276"/>
    <mergeCell ref="A277:B277"/>
    <mergeCell ref="A266:B266"/>
    <mergeCell ref="A267:B267"/>
    <mergeCell ref="A268:B268"/>
    <mergeCell ref="A269:B269"/>
    <mergeCell ref="A270:B270"/>
    <mergeCell ref="A271:B271"/>
    <mergeCell ref="A272:B272"/>
    <mergeCell ref="A265:B265"/>
    <mergeCell ref="A260:B260"/>
    <mergeCell ref="A261:B261"/>
    <mergeCell ref="A262:B262"/>
    <mergeCell ref="A263:B263"/>
    <mergeCell ref="A264:B264"/>
    <mergeCell ref="A226:B226"/>
    <mergeCell ref="A227:B227"/>
    <mergeCell ref="A228:B228"/>
    <mergeCell ref="A229:B229"/>
    <mergeCell ref="A230:B230"/>
    <mergeCell ref="A239:D239"/>
    <mergeCell ref="A242:D242"/>
    <mergeCell ref="A256:B256"/>
    <mergeCell ref="A257:B257"/>
    <mergeCell ref="A249:B249"/>
    <mergeCell ref="A250:B250"/>
    <mergeCell ref="A243:D243"/>
    <mergeCell ref="A244:D244"/>
    <mergeCell ref="A251:B251"/>
    <mergeCell ref="A252:B252"/>
    <mergeCell ref="A253:B253"/>
    <mergeCell ref="A254:B254"/>
    <mergeCell ref="A255:B255"/>
    <mergeCell ref="A237:D237"/>
    <mergeCell ref="A186:B186"/>
    <mergeCell ref="A181:B181"/>
    <mergeCell ref="A179:B179"/>
    <mergeCell ref="A180:B180"/>
    <mergeCell ref="A182:B182"/>
    <mergeCell ref="A177:B177"/>
    <mergeCell ref="A187:B187"/>
    <mergeCell ref="A188:B188"/>
    <mergeCell ref="A245:D245"/>
    <mergeCell ref="A218:B218"/>
    <mergeCell ref="A219:B219"/>
    <mergeCell ref="A220:B220"/>
    <mergeCell ref="A221:B221"/>
    <mergeCell ref="A222:B222"/>
    <mergeCell ref="A223:B223"/>
    <mergeCell ref="A217:B217"/>
    <mergeCell ref="A201:B201"/>
    <mergeCell ref="A202:B202"/>
    <mergeCell ref="A207:B207"/>
    <mergeCell ref="A208:B208"/>
    <mergeCell ref="A209:B209"/>
    <mergeCell ref="A210:B210"/>
    <mergeCell ref="A211:B211"/>
    <mergeCell ref="A203:B203"/>
    <mergeCell ref="A189:D189"/>
    <mergeCell ref="A191:D191"/>
    <mergeCell ref="A194:D194"/>
    <mergeCell ref="A195:D195"/>
    <mergeCell ref="A196:D196"/>
    <mergeCell ref="A85:B85"/>
    <mergeCell ref="A86:B86"/>
    <mergeCell ref="A91:B91"/>
    <mergeCell ref="A92:B92"/>
    <mergeCell ref="A93:D93"/>
    <mergeCell ref="A95:D95"/>
    <mergeCell ref="A113:B113"/>
    <mergeCell ref="A114:B114"/>
    <mergeCell ref="A123:B123"/>
    <mergeCell ref="A111:B111"/>
    <mergeCell ref="A98:D98"/>
    <mergeCell ref="A99:D99"/>
    <mergeCell ref="A101:D101"/>
    <mergeCell ref="A105:B105"/>
    <mergeCell ref="A106:B106"/>
    <mergeCell ref="A107:B107"/>
    <mergeCell ref="A108:B108"/>
    <mergeCell ref="A175:B175"/>
    <mergeCell ref="A176:B176"/>
    <mergeCell ref="A156:B156"/>
    <mergeCell ref="A206:B206"/>
    <mergeCell ref="A204:B204"/>
    <mergeCell ref="A205:B205"/>
    <mergeCell ref="A178:B178"/>
    <mergeCell ref="A234:B234"/>
    <mergeCell ref="A235:B235"/>
    <mergeCell ref="A236:B236"/>
    <mergeCell ref="A213:B213"/>
    <mergeCell ref="A214:B214"/>
    <mergeCell ref="A215:B215"/>
    <mergeCell ref="A216:B216"/>
    <mergeCell ref="A212:B212"/>
    <mergeCell ref="A157:B157"/>
    <mergeCell ref="A158:B158"/>
    <mergeCell ref="A159:B159"/>
    <mergeCell ref="A160:B160"/>
    <mergeCell ref="A167:B167"/>
    <mergeCell ref="A197:D197"/>
    <mergeCell ref="A224:B224"/>
    <mergeCell ref="A164:B164"/>
    <mergeCell ref="A165:B165"/>
    <mergeCell ref="A166:B166"/>
    <mergeCell ref="A225:B225"/>
    <mergeCell ref="A53:D53"/>
    <mergeCell ref="A57:B57"/>
    <mergeCell ref="A168:B168"/>
    <mergeCell ref="A169:B169"/>
    <mergeCell ref="A171:B171"/>
    <mergeCell ref="A172:B172"/>
    <mergeCell ref="A173:B173"/>
    <mergeCell ref="A174:B174"/>
    <mergeCell ref="A170:B170"/>
    <mergeCell ref="A122:B122"/>
    <mergeCell ref="A66:B66"/>
    <mergeCell ref="A67:B67"/>
    <mergeCell ref="A68:B68"/>
    <mergeCell ref="A69:B69"/>
    <mergeCell ref="A70:B70"/>
    <mergeCell ref="A71:B71"/>
    <mergeCell ref="A84:B84"/>
    <mergeCell ref="A61:B61"/>
    <mergeCell ref="A62:B62"/>
    <mergeCell ref="A63:B63"/>
    <mergeCell ref="A64:B64"/>
    <mergeCell ref="A72:B72"/>
    <mergeCell ref="A109:B109"/>
    <mergeCell ref="A110:B110"/>
    <mergeCell ref="A125:B125"/>
    <mergeCell ref="A126:B126"/>
    <mergeCell ref="A115:B115"/>
    <mergeCell ref="A124:B124"/>
    <mergeCell ref="A127:B127"/>
    <mergeCell ref="A128:B128"/>
    <mergeCell ref="A161:B161"/>
    <mergeCell ref="A162:B162"/>
    <mergeCell ref="A163:B163"/>
    <mergeCell ref="A129:B129"/>
    <mergeCell ref="A130:B130"/>
    <mergeCell ref="A131:B131"/>
    <mergeCell ref="A132:B132"/>
    <mergeCell ref="A133:B133"/>
    <mergeCell ref="A134:B134"/>
    <mergeCell ref="A138:B138"/>
    <mergeCell ref="A139:B139"/>
    <mergeCell ref="A140:B140"/>
    <mergeCell ref="A146:D146"/>
    <mergeCell ref="A147:D147"/>
    <mergeCell ref="A148:D148"/>
    <mergeCell ref="A149:D149"/>
    <mergeCell ref="A153:B153"/>
    <mergeCell ref="A154:B154"/>
    <mergeCell ref="A51:D51"/>
    <mergeCell ref="A52:D52"/>
    <mergeCell ref="A100:D100"/>
    <mergeCell ref="A116:B116"/>
    <mergeCell ref="A117:B117"/>
    <mergeCell ref="A118:B118"/>
    <mergeCell ref="A119:B119"/>
    <mergeCell ref="A120:B120"/>
    <mergeCell ref="A121:B121"/>
    <mergeCell ref="A112:B112"/>
    <mergeCell ref="A90:B90"/>
    <mergeCell ref="A82:B82"/>
    <mergeCell ref="A83:B83"/>
    <mergeCell ref="A75:B75"/>
    <mergeCell ref="A76:B76"/>
    <mergeCell ref="A58:B58"/>
    <mergeCell ref="A59:B59"/>
    <mergeCell ref="A60:B60"/>
    <mergeCell ref="A77:B77"/>
    <mergeCell ref="A79:B79"/>
    <mergeCell ref="A80:B80"/>
    <mergeCell ref="A81:B81"/>
    <mergeCell ref="A78:B78"/>
    <mergeCell ref="A65:B65"/>
    <mergeCell ref="A39:D39"/>
    <mergeCell ref="A41:D41"/>
    <mergeCell ref="A42:D42"/>
    <mergeCell ref="A43:D43"/>
    <mergeCell ref="A21:D21"/>
    <mergeCell ref="A22:D22"/>
    <mergeCell ref="A23:D23"/>
    <mergeCell ref="A24:D24"/>
    <mergeCell ref="A25:D25"/>
    <mergeCell ref="A26:D26"/>
    <mergeCell ref="A27:D27"/>
    <mergeCell ref="A155:B155"/>
    <mergeCell ref="A141:D141"/>
    <mergeCell ref="A143:D143"/>
    <mergeCell ref="A73:B73"/>
    <mergeCell ref="A74:B74"/>
    <mergeCell ref="C1:D1"/>
    <mergeCell ref="A10:D10"/>
    <mergeCell ref="A11:D11"/>
    <mergeCell ref="A13:B13"/>
    <mergeCell ref="A15:D15"/>
    <mergeCell ref="A19:D19"/>
    <mergeCell ref="A18:D18"/>
    <mergeCell ref="C7:D7"/>
    <mergeCell ref="C5:D5"/>
    <mergeCell ref="A8:D8"/>
    <mergeCell ref="A45:D45"/>
    <mergeCell ref="A47:D47"/>
    <mergeCell ref="A50:D50"/>
    <mergeCell ref="C3:D3"/>
    <mergeCell ref="C2:D2"/>
    <mergeCell ref="C4:D4"/>
    <mergeCell ref="A20:D20"/>
    <mergeCell ref="A37:D37"/>
    <mergeCell ref="A38:D38"/>
  </mergeCells>
  <dataValidations count="8">
    <dataValidation allowBlank="1" showInputMessage="1" showErrorMessage="1" sqref="I25:J34 E18:H34 A28:D34 B46:I46 B48:I49 B87:D89 D57:D86 A45:A53 D90:D92 H52:I89 A55:D56 G55:G56 A57:A101 B94:I94 B96:I97 B135:D137 D105:D134 D138:D140 H100:I137 A103:D104 G103:G104 A105:A149 B142:I142 B144:I145 B183:D185 D153:D182 D186:D188 H148:I185 A151:D152 G151:G152 A153:A197 B190:I190 B192:I193 B231:D233 D201:D230 D234:D236 H196:I233 A199:D200 G199:G200 A201:A245 B238:I238 B240:I241 B279:D281 D249:D278 D282:D284 H244:I281 A247:D248 G247:G248 A249:A293 B286:I286 B288:I289 B327:D329 D297:D326 D330:D332 H292:I329 A295:D296 G295:G296 A297:A341 B334:I334 B336:I337 B375:D377 D345:D374 D378:D380 H340:I377 A343:D344 G343:G344 A345:A389 B382:I382 B384:I385 B423:D425 D393:D422 D426:D428 H388:I425 A391:D392 G391:G392 A393:A437 B430:I430 B432:I433 B471:D473 D441:D470 D474:D476 H436:I473 A439:D440 G439:G440 A441:A476 A596:A608 C596:D600 C602:D603 C607:D608 A527:A531"/>
    <dataValidation type="list" allowBlank="1" showInputMessage="1" showErrorMessage="1" sqref="C13">
      <formula1>"1,2,3,4,5,6,7,8, 9, 10,11,12,13,14,15"</formula1>
    </dataValidation>
    <dataValidation type="list" allowBlank="1" showInputMessage="1" showErrorMessage="1" sqref="A19:D27">
      <formula1>RATE_CLASSES</formula1>
    </dataValidation>
    <dataValidation type="list" allowBlank="1" showInputMessage="1" showErrorMessage="1" sqref="C90:C92 C57:C86 C138:C140 C105:C134 C186:C188 C153:C182 C234:C236 C201:C230 C282:C284 C249:C278 C330:C332 C297:C326 C378:C380 C345:C374 C426:C428 C393:C422 C474:C476 C441:C470">
      <formula1>Units</formula1>
    </dataValidation>
    <dataValidation type="list" allowBlank="1" showInputMessage="1" showErrorMessage="1" sqref="A615:A620">
      <formula1>LossFactors</formula1>
    </dataValidation>
    <dataValidation type="list" allowBlank="1" showInputMessage="1" showErrorMessage="1" sqref="A535:A554 A562:A577">
      <formula1>NonPayment</formula1>
    </dataValidation>
    <dataValidation type="list" allowBlank="1" showInputMessage="1" showErrorMessage="1" sqref="A497:A526">
      <formula1>CustomerAdministration</formula1>
    </dataValidation>
    <dataValidation type="list" allowBlank="1" showInputMessage="1" showErrorMessage="1" sqref="C497:C531 C535:C559 C562:C582">
      <formula1>"$,%"</formula1>
    </dataValidation>
  </dataValidations>
  <pageMargins left="0.7" right="0.7" top="0.75" bottom="0.75" header="0.3" footer="0.3"/>
  <pageSetup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5475" r:id="rId4" name="Button 3">
              <controlPr defaultSize="0" print="0" autoFill="0" autoPict="0" macro="[0]!createCOStariff">
                <anchor moveWithCells="1">
                  <from>
                    <xdr:col>0</xdr:col>
                    <xdr:colOff>2466975</xdr:colOff>
                    <xdr:row>34</xdr:row>
                    <xdr:rowOff>476250</xdr:rowOff>
                  </from>
                  <to>
                    <xdr:col>1</xdr:col>
                    <xdr:colOff>104775</xdr:colOff>
                    <xdr:row>35</xdr:row>
                    <xdr:rowOff>47625</xdr:rowOff>
                  </to>
                </anchor>
              </controlPr>
            </control>
          </mc:Choice>
        </mc:AlternateContent>
        <mc:AlternateContent xmlns:mc="http://schemas.openxmlformats.org/markup-compatibility/2006">
          <mc:Choice Requires="x14">
            <control shapeId="105478" r:id="rId5" name="Button 6">
              <controlPr defaultSize="0" print="0" autoFill="0" autoPict="0" macro="[0]!AddNewFile">
                <anchor moveWithCells="1">
                  <from>
                    <xdr:col>1</xdr:col>
                    <xdr:colOff>523875</xdr:colOff>
                    <xdr:row>7</xdr:row>
                    <xdr:rowOff>47625</xdr:rowOff>
                  </from>
                  <to>
                    <xdr:col>4</xdr:col>
                    <xdr:colOff>38100</xdr:colOff>
                    <xdr:row>7</xdr:row>
                    <xdr:rowOff>323850</xdr:rowOff>
                  </to>
                </anchor>
              </controlPr>
            </control>
          </mc:Choice>
        </mc:AlternateContent>
      </controls>
    </mc:Choice>
  </mc:AlternateConten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dimension ref="A1:CP491"/>
  <sheetViews>
    <sheetView workbookViewId="0">
      <selection sqref="A1:A104"/>
    </sheetView>
  </sheetViews>
  <sheetFormatPr defaultRowHeight="15" x14ac:dyDescent="0.25"/>
  <cols>
    <col min="1" max="1" width="105.7109375" style="61" bestFit="1" customWidth="1"/>
    <col min="2" max="8" width="9.140625" style="1362"/>
    <col min="9" max="9" width="132.140625" style="61" bestFit="1" customWidth="1"/>
    <col min="10" max="10" width="9.140625" style="1362"/>
    <col min="11" max="11" width="2.28515625" style="1362" customWidth="1"/>
    <col min="12" max="12" width="59.140625" style="1362" bestFit="1" customWidth="1"/>
    <col min="13" max="19" width="9.140625" style="1362"/>
    <col min="20" max="20" width="9.140625" style="1444"/>
    <col min="21" max="22" width="9.140625" style="1362"/>
    <col min="23" max="23" width="35.42578125" style="1362" bestFit="1" customWidth="1"/>
    <col min="24" max="25" width="9.140625" style="1362"/>
    <col min="26" max="26" width="90.28515625" style="1362" bestFit="1" customWidth="1"/>
    <col min="27" max="27" width="110" style="1362" bestFit="1" customWidth="1"/>
    <col min="28" max="37" width="9.140625" style="1362"/>
    <col min="38" max="39" width="83" style="1362" bestFit="1" customWidth="1"/>
    <col min="40" max="40" width="9.140625" style="1362"/>
    <col min="41" max="41" width="63.85546875" style="1363" customWidth="1"/>
    <col min="42" max="42" width="9.140625" style="1362"/>
    <col min="43" max="43" width="105.7109375" style="1362" bestFit="1" customWidth="1"/>
    <col min="44" max="45" width="9.140625" style="1362"/>
    <col min="46" max="46" width="56.42578125" style="1362" customWidth="1"/>
    <col min="47" max="84" width="9.140625" style="1362"/>
    <col min="85" max="94" width="9.140625" style="61"/>
    <col min="95" max="16384" width="9.140625" style="1362"/>
  </cols>
  <sheetData>
    <row r="1" spans="1:81" ht="18" customHeight="1" x14ac:dyDescent="0.25">
      <c r="B1" s="1362" t="s">
        <v>976</v>
      </c>
      <c r="C1" s="1362">
        <f>COUNTA(B1:B17)</f>
        <v>4</v>
      </c>
      <c r="I1" s="61" t="s">
        <v>1688</v>
      </c>
      <c r="L1" s="1389" t="s">
        <v>153</v>
      </c>
      <c r="N1" s="1389" t="s">
        <v>977</v>
      </c>
      <c r="O1" s="1389" t="s">
        <v>978</v>
      </c>
      <c r="P1" s="1389" t="s">
        <v>979</v>
      </c>
      <c r="T1" s="57"/>
      <c r="Z1" s="1390" t="s">
        <v>980</v>
      </c>
      <c r="AA1" s="1390" t="s">
        <v>981</v>
      </c>
      <c r="AB1" s="1391" t="s">
        <v>982</v>
      </c>
      <c r="AL1" s="1392" t="s">
        <v>412</v>
      </c>
      <c r="AM1" s="1392" t="s">
        <v>412</v>
      </c>
      <c r="AO1" s="1393" t="s">
        <v>975</v>
      </c>
      <c r="AP1" s="1362" t="s">
        <v>111</v>
      </c>
      <c r="AT1" s="1394" t="s">
        <v>983</v>
      </c>
      <c r="AU1" s="1395"/>
      <c r="AV1" s="1395"/>
      <c r="AW1" s="1516"/>
      <c r="AX1" s="1395"/>
      <c r="AY1" s="1395"/>
      <c r="AZ1" s="2578"/>
      <c r="BA1" s="2578"/>
      <c r="BB1" s="1516"/>
      <c r="BC1" s="1396"/>
      <c r="BD1" s="1396"/>
      <c r="BE1" s="1397"/>
      <c r="BU1" s="1398"/>
      <c r="BV1" s="1399"/>
    </row>
    <row r="2" spans="1:81" s="1363" customFormat="1" x14ac:dyDescent="0.25">
      <c r="A2" s="61" t="s">
        <v>975</v>
      </c>
      <c r="B2" s="1362" t="s">
        <v>985</v>
      </c>
      <c r="C2" s="1362"/>
      <c r="D2" s="1362"/>
      <c r="E2" s="1362"/>
      <c r="F2" s="1362"/>
      <c r="G2" s="1362"/>
      <c r="H2" s="1362"/>
      <c r="I2" s="61" t="s">
        <v>26</v>
      </c>
      <c r="K2" s="1362"/>
      <c r="L2" s="1391" t="s">
        <v>987</v>
      </c>
      <c r="M2" s="1362"/>
      <c r="N2" s="1362" t="s">
        <v>217</v>
      </c>
      <c r="O2" s="1362" t="s">
        <v>988</v>
      </c>
      <c r="P2" s="1362" t="s">
        <v>217</v>
      </c>
      <c r="Q2" s="1362"/>
      <c r="R2" s="1362"/>
      <c r="T2" s="57"/>
      <c r="U2" s="1362"/>
      <c r="V2" s="1362"/>
      <c r="W2" s="1400"/>
      <c r="X2" s="1400"/>
      <c r="Y2" s="1400"/>
      <c r="Z2" s="1390" t="s">
        <v>989</v>
      </c>
      <c r="AA2" s="1390" t="s">
        <v>990</v>
      </c>
      <c r="AB2" s="1391" t="s">
        <v>987</v>
      </c>
      <c r="AC2" s="1400"/>
      <c r="AD2" s="1400"/>
      <c r="AE2" s="1400"/>
      <c r="AF2" s="1400"/>
      <c r="AG2" s="1400"/>
      <c r="AH2" s="1400"/>
      <c r="AI2" s="1400"/>
      <c r="AJ2" s="1400"/>
      <c r="AK2" s="1400"/>
      <c r="AL2" s="1392" t="s">
        <v>413</v>
      </c>
      <c r="AM2" s="1392" t="s">
        <v>413</v>
      </c>
      <c r="AN2" s="1400"/>
      <c r="AO2" s="1401" t="s">
        <v>984</v>
      </c>
      <c r="AP2" s="1362" t="s">
        <v>111</v>
      </c>
      <c r="AS2" s="1400"/>
      <c r="AT2" s="1402" t="s">
        <v>991</v>
      </c>
      <c r="AU2" s="1403"/>
      <c r="AV2" s="1404"/>
      <c r="AW2" s="1517">
        <f>AU2*AV2</f>
        <v>0</v>
      </c>
      <c r="AX2" s="1403">
        <f t="shared" ref="AX2:AY4" si="0">AU2</f>
        <v>0</v>
      </c>
      <c r="AY2" s="1405">
        <f t="shared" si="0"/>
        <v>0</v>
      </c>
      <c r="AZ2" s="2579">
        <f>AX2*AY2</f>
        <v>0</v>
      </c>
      <c r="BA2" s="2579"/>
      <c r="BB2" s="1518">
        <f>AZ2-AW2</f>
        <v>0</v>
      </c>
      <c r="BC2" s="1406" t="e">
        <f>BB2/AW2</f>
        <v>#DIV/0!</v>
      </c>
      <c r="BD2" s="1406"/>
      <c r="BE2" s="1407"/>
      <c r="BF2" s="1400"/>
      <c r="BG2" s="1400"/>
      <c r="BH2" s="1400"/>
      <c r="BI2" s="1400"/>
      <c r="BJ2" s="1400"/>
      <c r="BK2" s="1400"/>
      <c r="BL2" s="1400"/>
      <c r="BM2" s="1400"/>
      <c r="BN2" s="1400"/>
      <c r="BO2" s="1400"/>
      <c r="BP2" s="1400"/>
      <c r="BQ2" s="1400"/>
      <c r="BR2" s="1400"/>
      <c r="BS2" s="1400"/>
      <c r="BT2" s="1400"/>
      <c r="BU2" s="1362"/>
      <c r="BV2" s="1399"/>
      <c r="BW2" s="1400"/>
      <c r="BX2" s="1400"/>
      <c r="BY2" s="1400"/>
      <c r="BZ2" s="1400"/>
      <c r="CA2" s="1400"/>
      <c r="CB2" s="1400"/>
      <c r="CC2" s="1400"/>
    </row>
    <row r="3" spans="1:81" x14ac:dyDescent="0.25">
      <c r="A3" s="61" t="s">
        <v>984</v>
      </c>
      <c r="B3" s="1362" t="s">
        <v>992</v>
      </c>
      <c r="I3" s="61" t="s">
        <v>986</v>
      </c>
      <c r="L3" s="1391" t="s">
        <v>994</v>
      </c>
      <c r="N3" s="1362" t="s">
        <v>988</v>
      </c>
      <c r="O3" s="1362" t="s">
        <v>995</v>
      </c>
      <c r="P3" s="1362" t="s">
        <v>218</v>
      </c>
      <c r="T3" s="57"/>
      <c r="W3" s="1362" t="s">
        <v>996</v>
      </c>
      <c r="Z3" s="1390" t="s">
        <v>997</v>
      </c>
      <c r="AA3" s="1390" t="s">
        <v>998</v>
      </c>
      <c r="AB3" s="1391" t="s">
        <v>994</v>
      </c>
      <c r="AL3" s="1392" t="s">
        <v>999</v>
      </c>
      <c r="AM3" s="1392" t="s">
        <v>999</v>
      </c>
      <c r="AO3" s="1393" t="s">
        <v>984</v>
      </c>
      <c r="AP3" s="1362" t="s">
        <v>111</v>
      </c>
      <c r="AT3" s="1402" t="s">
        <v>942</v>
      </c>
      <c r="AU3" s="1403"/>
      <c r="AV3" s="1404"/>
      <c r="AW3" s="1517">
        <f>AU3*AV3</f>
        <v>0</v>
      </c>
      <c r="AX3" s="1403">
        <f t="shared" si="0"/>
        <v>0</v>
      </c>
      <c r="AY3" s="1405">
        <f t="shared" si="0"/>
        <v>0</v>
      </c>
      <c r="AZ3" s="2579">
        <f>AX3*AY3</f>
        <v>0</v>
      </c>
      <c r="BA3" s="2579"/>
      <c r="BB3" s="1518">
        <f>AZ3-AW3</f>
        <v>0</v>
      </c>
      <c r="BC3" s="1406" t="e">
        <f>BB3/AW3</f>
        <v>#DIV/0!</v>
      </c>
      <c r="BD3" s="1406"/>
      <c r="BE3" s="1407"/>
      <c r="BU3" s="1398"/>
      <c r="BV3" s="1399"/>
    </row>
    <row r="4" spans="1:81" x14ac:dyDescent="0.25">
      <c r="A4" s="61" t="s">
        <v>984</v>
      </c>
      <c r="B4" s="1362" t="s">
        <v>1001</v>
      </c>
      <c r="I4" s="61" t="s">
        <v>993</v>
      </c>
      <c r="L4" s="1391" t="s">
        <v>1003</v>
      </c>
      <c r="N4" s="1362" t="s">
        <v>995</v>
      </c>
      <c r="O4" s="1362" t="s">
        <v>1004</v>
      </c>
      <c r="T4" s="57"/>
      <c r="W4" s="1362" t="s">
        <v>1005</v>
      </c>
      <c r="Z4" s="1390" t="s">
        <v>981</v>
      </c>
      <c r="AA4" s="1390" t="s">
        <v>1006</v>
      </c>
      <c r="AB4" s="1391" t="s">
        <v>1003</v>
      </c>
      <c r="AL4" s="1392" t="s">
        <v>1007</v>
      </c>
      <c r="AM4" s="1392" t="s">
        <v>1007</v>
      </c>
      <c r="AO4" s="1393" t="s">
        <v>1000</v>
      </c>
      <c r="AP4" s="1362" t="s">
        <v>110</v>
      </c>
      <c r="AT4" s="1402" t="s">
        <v>1008</v>
      </c>
      <c r="AU4" s="1408"/>
      <c r="AV4" s="1403"/>
      <c r="AW4" s="1517">
        <f>AU4*AV4</f>
        <v>0</v>
      </c>
      <c r="AX4" s="1408">
        <f t="shared" si="0"/>
        <v>0</v>
      </c>
      <c r="AY4" s="1409">
        <f t="shared" si="0"/>
        <v>0</v>
      </c>
      <c r="AZ4" s="2579">
        <f>AX4*AY4</f>
        <v>0</v>
      </c>
      <c r="BA4" s="2579"/>
      <c r="BB4" s="1518">
        <f>AZ4-AW4</f>
        <v>0</v>
      </c>
      <c r="BC4" s="1406" t="e">
        <f>BB4/AW4</f>
        <v>#DIV/0!</v>
      </c>
      <c r="BD4" s="1406"/>
      <c r="BE4" s="1407"/>
      <c r="BV4" s="1399"/>
    </row>
    <row r="5" spans="1:81" x14ac:dyDescent="0.25">
      <c r="A5" s="61" t="s">
        <v>1000</v>
      </c>
      <c r="I5" s="61" t="s">
        <v>1689</v>
      </c>
      <c r="L5" s="1391" t="s">
        <v>1011</v>
      </c>
      <c r="N5" s="1362" t="s">
        <v>1004</v>
      </c>
      <c r="T5" s="57"/>
      <c r="W5" s="1362" t="s">
        <v>1012</v>
      </c>
      <c r="Z5" s="1390" t="s">
        <v>1013</v>
      </c>
      <c r="AA5" s="1390" t="s">
        <v>1014</v>
      </c>
      <c r="AB5" s="1391" t="s">
        <v>1011</v>
      </c>
      <c r="AL5" s="1392" t="s">
        <v>1015</v>
      </c>
      <c r="AM5" s="1392" t="s">
        <v>1015</v>
      </c>
      <c r="AO5" s="1393" t="s">
        <v>1009</v>
      </c>
      <c r="AP5" s="1362" t="s">
        <v>110</v>
      </c>
      <c r="AT5" s="1394" t="s">
        <v>1016</v>
      </c>
      <c r="AU5" s="1395"/>
      <c r="AV5" s="1395"/>
      <c r="AW5" s="1516">
        <f>SUM(AW2:AW4)</f>
        <v>0</v>
      </c>
      <c r="AX5" s="1395"/>
      <c r="AY5" s="1395"/>
      <c r="AZ5" s="2578">
        <f>SUM(AZ2:BA4)</f>
        <v>0</v>
      </c>
      <c r="BA5" s="2578"/>
      <c r="BB5" s="1516">
        <f>AZ5-AW5</f>
        <v>0</v>
      </c>
      <c r="BC5" s="1410" t="e">
        <f>BB5/AW5</f>
        <v>#DIV/0!</v>
      </c>
      <c r="BD5" s="1396"/>
      <c r="BE5" s="1397"/>
      <c r="BV5" s="1399"/>
    </row>
    <row r="6" spans="1:81" x14ac:dyDescent="0.25">
      <c r="A6" s="61" t="s">
        <v>1009</v>
      </c>
      <c r="I6" s="61" t="s">
        <v>1690</v>
      </c>
      <c r="L6" s="1391" t="s">
        <v>968</v>
      </c>
      <c r="T6" s="57"/>
      <c r="W6" s="1362" t="s">
        <v>1019</v>
      </c>
      <c r="Z6" s="1390" t="s">
        <v>1020</v>
      </c>
      <c r="AA6" s="1390" t="s">
        <v>1021</v>
      </c>
      <c r="AB6" s="1391" t="s">
        <v>968</v>
      </c>
      <c r="AL6" s="1392" t="s">
        <v>415</v>
      </c>
      <c r="AM6" s="1392" t="s">
        <v>415</v>
      </c>
      <c r="AO6" s="1393" t="s">
        <v>1017</v>
      </c>
      <c r="AP6" s="1362" t="s">
        <v>111</v>
      </c>
      <c r="AT6" s="1411" t="s">
        <v>35</v>
      </c>
      <c r="AU6" s="1403"/>
      <c r="AV6" s="1412"/>
      <c r="AW6" s="1517">
        <f>AU6*AV6</f>
        <v>0</v>
      </c>
      <c r="AX6" s="1403">
        <f>AU6</f>
        <v>0</v>
      </c>
      <c r="AY6" s="1405">
        <f>AV6</f>
        <v>0</v>
      </c>
      <c r="AZ6" s="2580">
        <f>AX6*AY6</f>
        <v>0</v>
      </c>
      <c r="BA6" s="2580"/>
      <c r="BB6" s="1518">
        <f>AZ6-AW6</f>
        <v>0</v>
      </c>
      <c r="BC6" s="1406" t="e">
        <f>BB6/AW6</f>
        <v>#DIV/0!</v>
      </c>
      <c r="BD6" s="1413"/>
      <c r="BE6" s="1414"/>
      <c r="BV6" s="1399"/>
    </row>
    <row r="7" spans="1:81" x14ac:dyDescent="0.25">
      <c r="A7" s="61" t="s">
        <v>1017</v>
      </c>
      <c r="I7" s="61" t="s">
        <v>1691</v>
      </c>
      <c r="L7" s="1415"/>
      <c r="T7" s="57"/>
      <c r="Z7" s="1390"/>
      <c r="AA7" s="1390"/>
      <c r="AL7" s="1392" t="s">
        <v>416</v>
      </c>
      <c r="AM7" s="1392" t="s">
        <v>416</v>
      </c>
      <c r="AO7" s="1393" t="s">
        <v>1022</v>
      </c>
      <c r="AP7" s="1362" t="s">
        <v>111</v>
      </c>
      <c r="AT7" s="1416"/>
      <c r="AU7" s="1417"/>
      <c r="AV7" s="1417"/>
      <c r="AW7" s="1418"/>
      <c r="AX7" s="1417"/>
      <c r="AY7" s="1417"/>
      <c r="AZ7" s="2576"/>
      <c r="BA7" s="2577"/>
      <c r="BB7" s="1419"/>
      <c r="BC7" s="1420"/>
      <c r="BD7" s="1421"/>
      <c r="BE7" s="1422"/>
      <c r="BU7" s="1398"/>
      <c r="BV7" s="1399"/>
    </row>
    <row r="8" spans="1:81" x14ac:dyDescent="0.25">
      <c r="A8" s="61" t="s">
        <v>1022</v>
      </c>
      <c r="I8" s="61" t="s">
        <v>1692</v>
      </c>
      <c r="L8" s="1391" t="s">
        <v>1025</v>
      </c>
      <c r="T8" s="57"/>
      <c r="W8" s="1362" t="s">
        <v>1026</v>
      </c>
      <c r="Z8" s="1390" t="s">
        <v>1027</v>
      </c>
      <c r="AA8" s="1390" t="s">
        <v>1028</v>
      </c>
      <c r="AB8" s="1391" t="s">
        <v>1025</v>
      </c>
      <c r="AL8" s="1392" t="s">
        <v>1029</v>
      </c>
      <c r="AM8" s="1392" t="s">
        <v>1029</v>
      </c>
      <c r="AO8" s="1393" t="s">
        <v>1024</v>
      </c>
      <c r="AP8" s="1362" t="s">
        <v>111</v>
      </c>
      <c r="AT8" s="1411" t="s">
        <v>1030</v>
      </c>
      <c r="AU8" s="1423"/>
      <c r="AV8" s="1423"/>
      <c r="AW8" s="1518"/>
      <c r="AX8" s="1424"/>
      <c r="AY8" s="1424"/>
      <c r="AZ8" s="2573"/>
      <c r="BA8" s="2573"/>
      <c r="BB8" s="1518">
        <f>AZ8-AW8</f>
        <v>0</v>
      </c>
      <c r="BC8" s="1406"/>
      <c r="BD8" s="1406"/>
      <c r="BE8" s="1407"/>
      <c r="BV8" s="1399"/>
    </row>
    <row r="9" spans="1:81" x14ac:dyDescent="0.25">
      <c r="A9" s="61" t="s">
        <v>1024</v>
      </c>
      <c r="I9" s="61" t="s">
        <v>1693</v>
      </c>
      <c r="L9" s="1415" t="s">
        <v>1032</v>
      </c>
      <c r="T9" s="57"/>
      <c r="W9" s="1362" t="s">
        <v>1033</v>
      </c>
      <c r="Z9" s="1390" t="s">
        <v>1034</v>
      </c>
      <c r="AA9" s="1390" t="s">
        <v>1035</v>
      </c>
      <c r="AL9" s="1392" t="s">
        <v>1036</v>
      </c>
      <c r="AM9" s="1392" t="s">
        <v>1037</v>
      </c>
      <c r="AO9" s="1393" t="s">
        <v>1031</v>
      </c>
      <c r="AP9" s="1362" t="s">
        <v>111</v>
      </c>
      <c r="AT9" s="1425" t="s">
        <v>36</v>
      </c>
      <c r="AU9" s="1426"/>
      <c r="AV9" s="1427"/>
      <c r="AW9" s="1518">
        <f>AV9*AW8</f>
        <v>0</v>
      </c>
      <c r="AX9" s="1426"/>
      <c r="AY9" s="1427">
        <f>AV9</f>
        <v>0</v>
      </c>
      <c r="AZ9" s="2573">
        <f>AY9*AZ8</f>
        <v>0</v>
      </c>
      <c r="BA9" s="2573"/>
      <c r="BB9" s="1518">
        <f>AZ9-AW9</f>
        <v>0</v>
      </c>
      <c r="BC9" s="1406" t="e">
        <f>BB9/AW9</f>
        <v>#DIV/0!</v>
      </c>
      <c r="BD9" s="1406"/>
      <c r="BE9" s="1407"/>
      <c r="BU9" s="1398"/>
      <c r="BV9" s="1399"/>
    </row>
    <row r="10" spans="1:81" x14ac:dyDescent="0.25">
      <c r="A10" s="61" t="s">
        <v>1046</v>
      </c>
      <c r="I10" s="61" t="s">
        <v>1694</v>
      </c>
      <c r="L10" s="1415" t="s">
        <v>1040</v>
      </c>
      <c r="T10" s="57"/>
      <c r="W10" s="1362" t="s">
        <v>1041</v>
      </c>
      <c r="Z10" s="1390" t="s">
        <v>1042</v>
      </c>
      <c r="AA10" s="1390" t="s">
        <v>1043</v>
      </c>
      <c r="AL10" s="1392" t="s">
        <v>417</v>
      </c>
      <c r="AM10" s="1392" t="s">
        <v>1044</v>
      </c>
      <c r="AO10" s="1393" t="s">
        <v>1038</v>
      </c>
      <c r="AP10" s="1362" t="s">
        <v>111</v>
      </c>
      <c r="AT10" s="1425" t="s">
        <v>1045</v>
      </c>
      <c r="AU10" s="1428"/>
      <c r="AV10" s="1428"/>
      <c r="AW10" s="1518">
        <f>AW9+AW8</f>
        <v>0</v>
      </c>
      <c r="AX10" s="1428"/>
      <c r="AY10" s="1428"/>
      <c r="AZ10" s="2573">
        <f>AZ9+AZ8</f>
        <v>0</v>
      </c>
      <c r="BA10" s="2573"/>
      <c r="BB10" s="1518">
        <f>AZ10-AW10</f>
        <v>0</v>
      </c>
      <c r="BC10" s="1406" t="e">
        <f>BB10/AW10</f>
        <v>#DIV/0!</v>
      </c>
      <c r="BD10" s="1406"/>
      <c r="BE10" s="1407"/>
      <c r="BV10" s="1399"/>
    </row>
    <row r="11" spans="1:81" x14ac:dyDescent="0.25">
      <c r="A11" s="61" t="s">
        <v>1031</v>
      </c>
      <c r="I11" s="61" t="s">
        <v>1695</v>
      </c>
      <c r="L11" s="1415" t="s">
        <v>1048</v>
      </c>
      <c r="T11" s="57"/>
      <c r="W11" s="1362" t="s">
        <v>1049</v>
      </c>
      <c r="Z11" s="1390" t="s">
        <v>1050</v>
      </c>
      <c r="AA11" s="1390" t="s">
        <v>1042</v>
      </c>
      <c r="AL11" s="1392" t="s">
        <v>418</v>
      </c>
      <c r="AM11" s="1392" t="s">
        <v>1051</v>
      </c>
      <c r="AO11" s="1393" t="s">
        <v>1046</v>
      </c>
      <c r="AP11" s="1362" t="s">
        <v>111</v>
      </c>
      <c r="AT11" s="1425" t="s">
        <v>1052</v>
      </c>
      <c r="AU11" s="1423"/>
      <c r="AV11" s="1429"/>
      <c r="AW11" s="1430">
        <f>-0.1*AW10</f>
        <v>0</v>
      </c>
      <c r="AX11" s="1424"/>
      <c r="AY11" s="1431">
        <f>AV11</f>
        <v>0</v>
      </c>
      <c r="AZ11" s="2574">
        <f>-0.1*AZ10</f>
        <v>0</v>
      </c>
      <c r="BA11" s="2574"/>
      <c r="BB11" s="1518">
        <f>AZ11-AW11</f>
        <v>0</v>
      </c>
      <c r="BC11" s="1406" t="e">
        <f>BB11/AW11</f>
        <v>#DIV/0!</v>
      </c>
      <c r="BD11" s="1406"/>
      <c r="BE11" s="1407"/>
      <c r="BV11" s="1399"/>
    </row>
    <row r="12" spans="1:81" ht="15.75" thickBot="1" x14ac:dyDescent="0.3">
      <c r="A12" s="61" t="s">
        <v>1038</v>
      </c>
      <c r="I12" s="61" t="s">
        <v>1696</v>
      </c>
      <c r="L12" s="1415" t="s">
        <v>1054</v>
      </c>
      <c r="T12" s="57"/>
      <c r="W12" s="1362" t="s">
        <v>1055</v>
      </c>
      <c r="Z12" s="1390" t="s">
        <v>1056</v>
      </c>
      <c r="AA12" s="1390" t="s">
        <v>1057</v>
      </c>
      <c r="AL12" s="1392" t="s">
        <v>1058</v>
      </c>
      <c r="AM12" s="1392" t="s">
        <v>417</v>
      </c>
      <c r="AO12" s="1393" t="s">
        <v>1053</v>
      </c>
      <c r="AP12" s="1362" t="s">
        <v>111</v>
      </c>
      <c r="AT12" s="1432" t="s">
        <v>588</v>
      </c>
      <c r="AU12" s="1433"/>
      <c r="AV12" s="1433"/>
      <c r="AW12" s="1515">
        <f>AW10+AW11</f>
        <v>0</v>
      </c>
      <c r="AX12" s="1433"/>
      <c r="AY12" s="1433"/>
      <c r="AZ12" s="2575">
        <f>AZ10+AZ11</f>
        <v>0</v>
      </c>
      <c r="BA12" s="2575"/>
      <c r="BB12" s="1434">
        <f>AZ12-AW12</f>
        <v>0</v>
      </c>
      <c r="BC12" s="1435" t="e">
        <f>BB12/AW12</f>
        <v>#DIV/0!</v>
      </c>
      <c r="BD12" s="1436"/>
      <c r="BE12" s="1437"/>
      <c r="BU12" s="1398"/>
      <c r="BV12" s="1399"/>
    </row>
    <row r="13" spans="1:81" x14ac:dyDescent="0.25">
      <c r="A13" s="61" t="s">
        <v>1053</v>
      </c>
      <c r="I13" s="61" t="s">
        <v>1002</v>
      </c>
      <c r="L13" s="1415"/>
      <c r="T13" s="57"/>
      <c r="Z13" s="1390"/>
      <c r="AA13" s="1390"/>
      <c r="AL13" s="1392" t="s">
        <v>1061</v>
      </c>
      <c r="AM13" s="1392" t="s">
        <v>418</v>
      </c>
      <c r="AO13" s="1393" t="s">
        <v>1059</v>
      </c>
      <c r="AP13" s="1362" t="s">
        <v>111</v>
      </c>
      <c r="AT13" s="1416"/>
      <c r="AU13" s="1417"/>
      <c r="AV13" s="1417"/>
      <c r="AW13" s="1418"/>
      <c r="AX13" s="1417"/>
      <c r="AY13" s="1417"/>
      <c r="AZ13" s="2576"/>
      <c r="BA13" s="2577"/>
      <c r="BB13" s="1419"/>
      <c r="BC13" s="1420"/>
      <c r="BD13" s="1421"/>
      <c r="BE13" s="1422"/>
      <c r="BU13" s="1398"/>
      <c r="BV13" s="1399"/>
    </row>
    <row r="14" spans="1:81" x14ac:dyDescent="0.25">
      <c r="A14" s="61" t="s">
        <v>1059</v>
      </c>
      <c r="I14" s="61" t="s">
        <v>1010</v>
      </c>
      <c r="L14" s="1415" t="s">
        <v>1064</v>
      </c>
      <c r="T14" s="57"/>
      <c r="W14" s="1362" t="s">
        <v>1065</v>
      </c>
      <c r="Z14" s="1390" t="s">
        <v>1066</v>
      </c>
      <c r="AA14" s="1390" t="s">
        <v>1067</v>
      </c>
      <c r="AL14" s="1392" t="s">
        <v>419</v>
      </c>
      <c r="AM14" s="1392" t="s">
        <v>1058</v>
      </c>
      <c r="AO14" s="1393" t="s">
        <v>1062</v>
      </c>
      <c r="AP14" s="1362" t="s">
        <v>111</v>
      </c>
      <c r="AT14" s="1411" t="s">
        <v>1068</v>
      </c>
      <c r="AU14" s="1423"/>
      <c r="AV14" s="1423"/>
      <c r="AW14" s="1518"/>
      <c r="AX14" s="1424"/>
      <c r="AY14" s="1424"/>
      <c r="AZ14" s="2573"/>
      <c r="BA14" s="2573"/>
      <c r="BB14" s="1518">
        <f>AZ14-AW14</f>
        <v>0</v>
      </c>
      <c r="BC14" s="1406"/>
      <c r="BD14" s="1406"/>
      <c r="BE14" s="1407"/>
      <c r="BV14" s="1399"/>
    </row>
    <row r="15" spans="1:81" x14ac:dyDescent="0.25">
      <c r="A15" s="61" t="s">
        <v>1079</v>
      </c>
      <c r="I15" s="61" t="s">
        <v>1018</v>
      </c>
      <c r="L15" s="1391" t="s">
        <v>982</v>
      </c>
      <c r="T15" s="57"/>
      <c r="W15" s="1362" t="s">
        <v>1071</v>
      </c>
      <c r="Z15" s="1390" t="s">
        <v>1072</v>
      </c>
      <c r="AA15" s="1390" t="s">
        <v>1073</v>
      </c>
      <c r="AL15" s="1392" t="s">
        <v>420</v>
      </c>
      <c r="AM15" s="1392" t="s">
        <v>1061</v>
      </c>
      <c r="AO15" s="1393" t="s">
        <v>1069</v>
      </c>
      <c r="AP15" s="1362" t="s">
        <v>111</v>
      </c>
      <c r="AT15" s="1425" t="s">
        <v>36</v>
      </c>
      <c r="AU15" s="1426"/>
      <c r="AV15" s="1427"/>
      <c r="AW15" s="1518">
        <f>AV15*AW14</f>
        <v>0</v>
      </c>
      <c r="AX15" s="1426"/>
      <c r="AY15" s="1427">
        <f>AV15</f>
        <v>0</v>
      </c>
      <c r="AZ15" s="2573">
        <f>AY15*AZ14</f>
        <v>0</v>
      </c>
      <c r="BA15" s="2573"/>
      <c r="BB15" s="1518">
        <f>AZ15-AW15</f>
        <v>0</v>
      </c>
      <c r="BC15" s="1406" t="e">
        <f>BB15/AW15</f>
        <v>#DIV/0!</v>
      </c>
      <c r="BD15" s="1406"/>
      <c r="BE15" s="1407"/>
      <c r="BV15" s="1399"/>
    </row>
    <row r="16" spans="1:81" x14ac:dyDescent="0.25">
      <c r="A16" s="61" t="s">
        <v>1062</v>
      </c>
      <c r="I16" s="61" t="s">
        <v>1697</v>
      </c>
      <c r="T16" s="57"/>
      <c r="W16" s="1362" t="s">
        <v>1076</v>
      </c>
      <c r="Z16" s="1390" t="s">
        <v>1077</v>
      </c>
      <c r="AA16" s="1390" t="s">
        <v>1078</v>
      </c>
      <c r="AL16" s="1392" t="s">
        <v>421</v>
      </c>
      <c r="AM16" s="1392" t="s">
        <v>419</v>
      </c>
      <c r="AO16" s="1393" t="s">
        <v>1074</v>
      </c>
      <c r="AP16" s="1362" t="s">
        <v>111</v>
      </c>
      <c r="AT16" s="1425" t="s">
        <v>1045</v>
      </c>
      <c r="AU16" s="1428"/>
      <c r="AV16" s="1428"/>
      <c r="AW16" s="1518">
        <f>AW15+AW14</f>
        <v>0</v>
      </c>
      <c r="AX16" s="1428"/>
      <c r="AY16" s="1428"/>
      <c r="AZ16" s="2573">
        <f>AZ15+AZ14</f>
        <v>0</v>
      </c>
      <c r="BA16" s="2573"/>
      <c r="BB16" s="1518">
        <f>AZ16-AW16</f>
        <v>0</v>
      </c>
      <c r="BC16" s="1406" t="e">
        <f>BB16/AW16</f>
        <v>#DIV/0!</v>
      </c>
      <c r="BD16" s="1406"/>
      <c r="BE16" s="1407"/>
      <c r="BV16" s="1399"/>
    </row>
    <row r="17" spans="1:74" x14ac:dyDescent="0.25">
      <c r="A17" s="61" t="s">
        <v>1069</v>
      </c>
      <c r="I17" s="61" t="s">
        <v>1698</v>
      </c>
      <c r="T17" s="57"/>
      <c r="W17" s="1362" t="s">
        <v>1081</v>
      </c>
      <c r="Z17" s="1390" t="s">
        <v>1082</v>
      </c>
      <c r="AA17" s="1390" t="s">
        <v>1083</v>
      </c>
      <c r="AL17" s="1438" t="s">
        <v>422</v>
      </c>
      <c r="AM17" s="1392" t="s">
        <v>420</v>
      </c>
      <c r="AO17" s="1393" t="s">
        <v>1079</v>
      </c>
      <c r="AP17" s="1362" t="s">
        <v>111</v>
      </c>
      <c r="AT17" s="1425" t="s">
        <v>1052</v>
      </c>
      <c r="AU17" s="1423"/>
      <c r="AV17" s="1429"/>
      <c r="AW17" s="1430">
        <f>-0.1*AW16</f>
        <v>0</v>
      </c>
      <c r="AX17" s="1424"/>
      <c r="AY17" s="1431">
        <f>AV17</f>
        <v>0</v>
      </c>
      <c r="AZ17" s="2574">
        <f>-0.1*AZ16</f>
        <v>0</v>
      </c>
      <c r="BA17" s="2574"/>
      <c r="BB17" s="1518">
        <f>AZ17-AW17</f>
        <v>0</v>
      </c>
      <c r="BC17" s="1406" t="e">
        <f>BB17/AW17</f>
        <v>#DIV/0!</v>
      </c>
      <c r="BD17" s="1406"/>
      <c r="BE17" s="1407"/>
      <c r="BU17" s="1398"/>
      <c r="BV17" s="1399"/>
    </row>
    <row r="18" spans="1:74" ht="15.75" thickBot="1" x14ac:dyDescent="0.3">
      <c r="A18" s="61" t="s">
        <v>1074</v>
      </c>
      <c r="I18" s="61" t="s">
        <v>1023</v>
      </c>
      <c r="T18" s="57"/>
      <c r="W18" s="1362" t="s">
        <v>1085</v>
      </c>
      <c r="Z18" s="1390" t="s">
        <v>1086</v>
      </c>
      <c r="AA18" s="1390" t="s">
        <v>1087</v>
      </c>
      <c r="AL18" s="1392" t="s">
        <v>423</v>
      </c>
      <c r="AM18" s="1392" t="s">
        <v>421</v>
      </c>
      <c r="AO18" s="1393" t="s">
        <v>1084</v>
      </c>
      <c r="AP18" s="1362" t="s">
        <v>111</v>
      </c>
      <c r="AT18" s="1432" t="s">
        <v>587</v>
      </c>
      <c r="AU18" s="1433"/>
      <c r="AV18" s="1433"/>
      <c r="AW18" s="1515">
        <f>AW16+AW17</f>
        <v>0</v>
      </c>
      <c r="AX18" s="1433"/>
      <c r="AY18" s="1433"/>
      <c r="AZ18" s="2575">
        <f>AZ16+AZ17</f>
        <v>0</v>
      </c>
      <c r="BA18" s="2575"/>
      <c r="BB18" s="1434">
        <f>AZ18-AW18</f>
        <v>0</v>
      </c>
      <c r="BC18" s="1435" t="e">
        <f>BB18/AW18</f>
        <v>#DIV/0!</v>
      </c>
      <c r="BD18" s="1436"/>
      <c r="BE18" s="1437"/>
      <c r="BV18" s="1399"/>
    </row>
    <row r="19" spans="1:74" x14ac:dyDescent="0.25">
      <c r="A19" s="61" t="s">
        <v>1094</v>
      </c>
      <c r="I19" s="61" t="s">
        <v>1699</v>
      </c>
      <c r="T19" s="57"/>
      <c r="W19" s="1362" t="s">
        <v>1089</v>
      </c>
      <c r="Z19" s="1390" t="s">
        <v>1090</v>
      </c>
      <c r="AA19" s="1390" t="s">
        <v>1091</v>
      </c>
      <c r="AL19" s="1392" t="s">
        <v>1092</v>
      </c>
      <c r="AM19" s="1438" t="s">
        <v>1093</v>
      </c>
      <c r="AO19" s="1393" t="s">
        <v>1088</v>
      </c>
      <c r="AP19" s="1362" t="s">
        <v>111</v>
      </c>
      <c r="BV19" s="1399"/>
    </row>
    <row r="20" spans="1:74" x14ac:dyDescent="0.25">
      <c r="A20" s="61" t="s">
        <v>1084</v>
      </c>
      <c r="I20" s="61" t="s">
        <v>1700</v>
      </c>
      <c r="T20" s="57"/>
      <c r="W20" s="1362" t="s">
        <v>1095</v>
      </c>
      <c r="Z20" s="1439" t="s">
        <v>1096</v>
      </c>
      <c r="AA20" s="1390" t="s">
        <v>1097</v>
      </c>
      <c r="AL20" s="1392" t="s">
        <v>424</v>
      </c>
      <c r="AM20" s="1440" t="s">
        <v>1098</v>
      </c>
      <c r="AO20" s="1393" t="s">
        <v>1094</v>
      </c>
      <c r="AP20" s="1362" t="s">
        <v>111</v>
      </c>
      <c r="BV20" s="1399"/>
    </row>
    <row r="21" spans="1:74" x14ac:dyDescent="0.25">
      <c r="A21" s="61" t="s">
        <v>1088</v>
      </c>
      <c r="I21" s="61" t="s">
        <v>605</v>
      </c>
      <c r="S21" s="1415"/>
      <c r="T21" s="57"/>
      <c r="W21" s="1362" t="s">
        <v>1100</v>
      </c>
      <c r="Z21" s="1390" t="s">
        <v>1101</v>
      </c>
      <c r="AA21" s="1390" t="s">
        <v>1102</v>
      </c>
      <c r="AL21" s="1392" t="s">
        <v>425</v>
      </c>
      <c r="AM21" s="1440" t="s">
        <v>1103</v>
      </c>
      <c r="AO21" s="1393" t="s">
        <v>1099</v>
      </c>
      <c r="AP21" s="1362" t="s">
        <v>111</v>
      </c>
      <c r="BU21" s="1398"/>
      <c r="BV21" s="1399"/>
    </row>
    <row r="22" spans="1:74" x14ac:dyDescent="0.25">
      <c r="A22" s="61" t="s">
        <v>1104</v>
      </c>
      <c r="I22" s="61" t="s">
        <v>1039</v>
      </c>
      <c r="T22" s="57"/>
      <c r="W22" s="1362" t="s">
        <v>1105</v>
      </c>
      <c r="Z22" s="1390" t="s">
        <v>1106</v>
      </c>
      <c r="AA22" s="1390" t="s">
        <v>1107</v>
      </c>
      <c r="AL22" s="1392" t="s">
        <v>426</v>
      </c>
      <c r="AM22" s="1438" t="s">
        <v>1108</v>
      </c>
      <c r="AO22" s="1393" t="s">
        <v>1104</v>
      </c>
      <c r="AP22" s="1362" t="s">
        <v>111</v>
      </c>
      <c r="BV22" s="1399"/>
    </row>
    <row r="23" spans="1:74" x14ac:dyDescent="0.25">
      <c r="A23" s="61" t="s">
        <v>1099</v>
      </c>
      <c r="I23" s="61" t="s">
        <v>1047</v>
      </c>
      <c r="T23" s="57"/>
      <c r="W23" s="1362" t="s">
        <v>1110</v>
      </c>
      <c r="Z23" s="1390" t="s">
        <v>1111</v>
      </c>
      <c r="AA23" s="1390" t="s">
        <v>1112</v>
      </c>
      <c r="AL23" s="1392" t="s">
        <v>427</v>
      </c>
      <c r="AM23" s="1392" t="s">
        <v>423</v>
      </c>
      <c r="AO23" s="1393" t="s">
        <v>1109</v>
      </c>
      <c r="AP23" s="1362" t="s">
        <v>111</v>
      </c>
      <c r="BV23" s="1399"/>
    </row>
    <row r="24" spans="1:74" x14ac:dyDescent="0.25">
      <c r="A24" s="61" t="s">
        <v>1109</v>
      </c>
      <c r="I24" s="61" t="s">
        <v>1701</v>
      </c>
      <c r="T24" s="57"/>
      <c r="W24" s="1362" t="s">
        <v>1114</v>
      </c>
      <c r="Z24" s="1390" t="s">
        <v>1115</v>
      </c>
      <c r="AA24" s="1390" t="s">
        <v>1116</v>
      </c>
      <c r="AL24" s="1392" t="s">
        <v>428</v>
      </c>
      <c r="AM24" s="1392" t="s">
        <v>1092</v>
      </c>
      <c r="AO24" s="1393" t="s">
        <v>1113</v>
      </c>
      <c r="AP24" s="1362" t="s">
        <v>111</v>
      </c>
      <c r="BV24" s="1399"/>
    </row>
    <row r="25" spans="1:74" x14ac:dyDescent="0.25">
      <c r="A25" s="61" t="s">
        <v>1121</v>
      </c>
      <c r="I25" s="61" t="s">
        <v>1060</v>
      </c>
      <c r="T25" s="57"/>
      <c r="W25" s="1362" t="s">
        <v>1118</v>
      </c>
      <c r="Z25" s="1390" t="s">
        <v>1119</v>
      </c>
      <c r="AA25" s="1390" t="s">
        <v>1120</v>
      </c>
      <c r="AL25" s="1392" t="s">
        <v>429</v>
      </c>
      <c r="AM25" s="1392" t="s">
        <v>424</v>
      </c>
      <c r="AO25" s="1393" t="s">
        <v>1117</v>
      </c>
      <c r="AP25" s="1362" t="s">
        <v>111</v>
      </c>
      <c r="BU25" s="1398"/>
      <c r="BV25" s="1399"/>
    </row>
    <row r="26" spans="1:74" x14ac:dyDescent="0.25">
      <c r="A26" s="61" t="s">
        <v>1113</v>
      </c>
      <c r="B26" s="1362" t="s">
        <v>1122</v>
      </c>
      <c r="I26" s="61" t="s">
        <v>1063</v>
      </c>
      <c r="T26" s="57"/>
      <c r="W26" s="1362" t="s">
        <v>1124</v>
      </c>
      <c r="Z26" s="1439" t="s">
        <v>1125</v>
      </c>
      <c r="AA26" s="1390" t="s">
        <v>1126</v>
      </c>
      <c r="AL26" s="1392" t="s">
        <v>430</v>
      </c>
      <c r="AM26" s="1392" t="s">
        <v>425</v>
      </c>
      <c r="AO26" s="1393" t="s">
        <v>1121</v>
      </c>
      <c r="AP26" s="1362" t="s">
        <v>111</v>
      </c>
      <c r="BV26" s="1399"/>
    </row>
    <row r="27" spans="1:74" x14ac:dyDescent="0.25">
      <c r="A27" s="61" t="s">
        <v>1117</v>
      </c>
      <c r="B27" s="1362" t="s">
        <v>1128</v>
      </c>
      <c r="I27" s="61" t="s">
        <v>1070</v>
      </c>
      <c r="T27" s="57"/>
      <c r="W27" s="1362" t="s">
        <v>1130</v>
      </c>
      <c r="Z27" s="1390" t="s">
        <v>1131</v>
      </c>
      <c r="AA27" s="1390" t="s">
        <v>1132</v>
      </c>
      <c r="AL27" s="1392" t="s">
        <v>431</v>
      </c>
      <c r="AM27" s="1392" t="s">
        <v>426</v>
      </c>
      <c r="AO27" s="1393" t="s">
        <v>1127</v>
      </c>
      <c r="AP27" s="1362" t="s">
        <v>111</v>
      </c>
      <c r="BV27" s="1399"/>
    </row>
    <row r="28" spans="1:74" x14ac:dyDescent="0.25">
      <c r="A28" s="61" t="s">
        <v>1151</v>
      </c>
      <c r="B28" s="1362" t="s">
        <v>1134</v>
      </c>
      <c r="I28" s="61" t="s">
        <v>1075</v>
      </c>
      <c r="T28" s="57"/>
      <c r="W28" s="1362" t="s">
        <v>1136</v>
      </c>
      <c r="Z28" s="1390" t="s">
        <v>1137</v>
      </c>
      <c r="AA28" s="1390" t="s">
        <v>1138</v>
      </c>
      <c r="AL28" s="1392" t="s">
        <v>432</v>
      </c>
      <c r="AM28" s="1392" t="s">
        <v>1139</v>
      </c>
      <c r="AO28" s="1393" t="s">
        <v>1133</v>
      </c>
      <c r="AP28" s="1362" t="s">
        <v>111</v>
      </c>
      <c r="BV28" s="1399"/>
    </row>
    <row r="29" spans="1:74" x14ac:dyDescent="0.25">
      <c r="A29" s="61" t="s">
        <v>1127</v>
      </c>
      <c r="B29" s="1362" t="s">
        <v>1141</v>
      </c>
      <c r="I29" s="61" t="s">
        <v>1080</v>
      </c>
      <c r="T29" s="57"/>
      <c r="W29" s="1362" t="s">
        <v>1143</v>
      </c>
      <c r="Z29" s="1390" t="s">
        <v>1144</v>
      </c>
      <c r="AA29" s="1390" t="s">
        <v>1145</v>
      </c>
      <c r="AL29" s="1392" t="s">
        <v>433</v>
      </c>
      <c r="AM29" s="1392" t="s">
        <v>427</v>
      </c>
      <c r="AO29" s="1393" t="s">
        <v>1140</v>
      </c>
      <c r="AP29" s="1362" t="s">
        <v>111</v>
      </c>
      <c r="BU29" s="1398"/>
      <c r="BV29" s="1399"/>
    </row>
    <row r="30" spans="1:74" x14ac:dyDescent="0.25">
      <c r="A30" s="61" t="s">
        <v>1133</v>
      </c>
      <c r="B30" s="1362" t="s">
        <v>1147</v>
      </c>
      <c r="I30" s="61" t="s">
        <v>1702</v>
      </c>
      <c r="T30" s="57"/>
      <c r="W30" s="1362" t="s">
        <v>1148</v>
      </c>
      <c r="Z30" s="1390" t="s">
        <v>1149</v>
      </c>
      <c r="AA30" s="1390" t="s">
        <v>1082</v>
      </c>
      <c r="AL30" s="1392" t="s">
        <v>1150</v>
      </c>
      <c r="AM30" s="1392" t="s">
        <v>428</v>
      </c>
      <c r="AO30" s="1393" t="s">
        <v>1146</v>
      </c>
      <c r="AP30" s="1362" t="s">
        <v>111</v>
      </c>
      <c r="BV30" s="1399"/>
    </row>
    <row r="31" spans="1:74" x14ac:dyDescent="0.25">
      <c r="A31" s="61" t="s">
        <v>1140</v>
      </c>
      <c r="B31" s="1362" t="s">
        <v>1152</v>
      </c>
      <c r="I31" s="61" t="s">
        <v>1703</v>
      </c>
      <c r="T31" s="57"/>
      <c r="W31" s="1362" t="s">
        <v>1153</v>
      </c>
      <c r="Z31" s="1439" t="s">
        <v>1154</v>
      </c>
      <c r="AA31" s="1390" t="s">
        <v>1155</v>
      </c>
      <c r="AL31" s="1392" t="s">
        <v>434</v>
      </c>
      <c r="AM31" s="1392" t="s">
        <v>429</v>
      </c>
      <c r="AO31" s="1393" t="s">
        <v>1151</v>
      </c>
      <c r="AP31" s="1362" t="s">
        <v>111</v>
      </c>
      <c r="BV31" s="1399"/>
    </row>
    <row r="32" spans="1:74" x14ac:dyDescent="0.25">
      <c r="A32" s="61" t="s">
        <v>1146</v>
      </c>
      <c r="B32" s="1362" t="s">
        <v>1157</v>
      </c>
      <c r="I32" s="61" t="s">
        <v>1704</v>
      </c>
      <c r="T32" s="57"/>
      <c r="W32" s="1362" t="s">
        <v>1158</v>
      </c>
      <c r="Z32" s="1390" t="s">
        <v>1159</v>
      </c>
      <c r="AA32" s="1390" t="s">
        <v>1160</v>
      </c>
      <c r="AL32" s="1392" t="s">
        <v>435</v>
      </c>
      <c r="AM32" s="1392" t="s">
        <v>430</v>
      </c>
      <c r="AO32" s="1393" t="s">
        <v>1156</v>
      </c>
      <c r="AP32" s="1362" t="s">
        <v>111</v>
      </c>
      <c r="BV32" s="1399"/>
    </row>
    <row r="33" spans="1:74" x14ac:dyDescent="0.25">
      <c r="A33" s="61" t="s">
        <v>1156</v>
      </c>
      <c r="B33" s="1362" t="s">
        <v>1162</v>
      </c>
      <c r="I33" s="61" t="s">
        <v>1705</v>
      </c>
      <c r="T33" s="57"/>
      <c r="W33" s="1362" t="s">
        <v>1163</v>
      </c>
      <c r="Z33" s="1390" t="s">
        <v>1164</v>
      </c>
      <c r="AA33" s="1390" t="s">
        <v>1106</v>
      </c>
      <c r="AL33" s="1392" t="s">
        <v>436</v>
      </c>
      <c r="AM33" s="1392" t="s">
        <v>431</v>
      </c>
      <c r="AO33" s="1393" t="s">
        <v>1161</v>
      </c>
      <c r="AP33" s="1362" t="s">
        <v>111</v>
      </c>
      <c r="BU33" s="1398"/>
      <c r="BV33" s="1399"/>
    </row>
    <row r="34" spans="1:74" x14ac:dyDescent="0.25">
      <c r="A34" s="61" t="s">
        <v>1161</v>
      </c>
      <c r="B34" s="1362" t="s">
        <v>1166</v>
      </c>
      <c r="I34" s="61" t="s">
        <v>1706</v>
      </c>
      <c r="T34" s="57"/>
      <c r="W34" s="1362" t="s">
        <v>1168</v>
      </c>
      <c r="Z34" s="1390" t="s">
        <v>1169</v>
      </c>
      <c r="AA34" s="1390" t="s">
        <v>1170</v>
      </c>
      <c r="AL34" s="1392" t="s">
        <v>437</v>
      </c>
      <c r="AM34" s="1392" t="s">
        <v>432</v>
      </c>
      <c r="AO34" s="1393" t="s">
        <v>1165</v>
      </c>
      <c r="AP34" s="1362" t="s">
        <v>111</v>
      </c>
      <c r="BV34" s="1399"/>
    </row>
    <row r="35" spans="1:74" x14ac:dyDescent="0.25">
      <c r="A35" s="61" t="s">
        <v>1171</v>
      </c>
      <c r="B35" s="1362" t="s">
        <v>1172</v>
      </c>
      <c r="I35" s="61" t="s">
        <v>1123</v>
      </c>
      <c r="T35" s="57"/>
      <c r="Z35" s="1390" t="s">
        <v>1174</v>
      </c>
      <c r="AA35" s="1390" t="s">
        <v>1111</v>
      </c>
      <c r="AL35" s="1441" t="s">
        <v>438</v>
      </c>
      <c r="AM35" s="1392" t="s">
        <v>433</v>
      </c>
      <c r="AO35" s="1393" t="s">
        <v>1171</v>
      </c>
      <c r="AP35" s="1362" t="s">
        <v>111</v>
      </c>
      <c r="BV35" s="1399"/>
    </row>
    <row r="36" spans="1:74" x14ac:dyDescent="0.25">
      <c r="A36" s="61" t="s">
        <v>1165</v>
      </c>
      <c r="B36" s="1362" t="s">
        <v>1176</v>
      </c>
      <c r="I36" s="61" t="s">
        <v>1707</v>
      </c>
      <c r="T36" s="57"/>
      <c r="Z36" s="1390" t="s">
        <v>1178</v>
      </c>
      <c r="AA36" s="1390" t="s">
        <v>1179</v>
      </c>
      <c r="AL36" s="1392" t="s">
        <v>440</v>
      </c>
      <c r="AM36" s="1392" t="s">
        <v>1150</v>
      </c>
      <c r="AO36" s="1393" t="s">
        <v>1175</v>
      </c>
      <c r="AP36" s="1362" t="s">
        <v>111</v>
      </c>
      <c r="BV36" s="1399"/>
    </row>
    <row r="37" spans="1:74" x14ac:dyDescent="0.25">
      <c r="A37" s="61" t="s">
        <v>1175</v>
      </c>
      <c r="B37" s="1362" t="s">
        <v>1181</v>
      </c>
      <c r="I37" s="61" t="s">
        <v>1129</v>
      </c>
      <c r="T37" s="57"/>
      <c r="Z37" s="1390"/>
      <c r="AA37" s="1390" t="s">
        <v>1183</v>
      </c>
      <c r="AL37" s="1392" t="s">
        <v>1184</v>
      </c>
      <c r="AM37" s="1392" t="s">
        <v>434</v>
      </c>
      <c r="AO37" s="1393" t="s">
        <v>1180</v>
      </c>
      <c r="AP37" s="1362" t="s">
        <v>111</v>
      </c>
      <c r="BU37" s="1398"/>
      <c r="BV37" s="1399"/>
    </row>
    <row r="38" spans="1:74" x14ac:dyDescent="0.25">
      <c r="A38" s="61" t="s">
        <v>1180</v>
      </c>
      <c r="I38" s="61" t="s">
        <v>1135</v>
      </c>
      <c r="T38" s="57"/>
      <c r="Z38" s="1390"/>
      <c r="AA38" s="1390" t="s">
        <v>1187</v>
      </c>
      <c r="AL38" s="1392" t="s">
        <v>441</v>
      </c>
      <c r="AM38" s="1392" t="s">
        <v>435</v>
      </c>
      <c r="AO38" s="1393" t="s">
        <v>1185</v>
      </c>
      <c r="AP38" s="1362" t="s">
        <v>111</v>
      </c>
      <c r="BV38" s="1399"/>
    </row>
    <row r="39" spans="1:74" x14ac:dyDescent="0.25">
      <c r="A39" s="61" t="s">
        <v>1185</v>
      </c>
      <c r="I39" s="61" t="s">
        <v>1708</v>
      </c>
      <c r="T39" s="57"/>
      <c r="Z39" s="1390"/>
      <c r="AA39" s="1390" t="s">
        <v>1125</v>
      </c>
      <c r="AL39" s="1392" t="s">
        <v>442</v>
      </c>
      <c r="AM39" s="1392" t="s">
        <v>436</v>
      </c>
      <c r="AO39" s="1393" t="s">
        <v>1188</v>
      </c>
      <c r="AP39" s="1362" t="s">
        <v>110</v>
      </c>
      <c r="BV39" s="1399"/>
    </row>
    <row r="40" spans="1:74" x14ac:dyDescent="0.25">
      <c r="A40" s="61" t="s">
        <v>1188</v>
      </c>
      <c r="I40" s="61" t="s">
        <v>1709</v>
      </c>
      <c r="T40" s="57"/>
      <c r="Z40" s="1390"/>
      <c r="AA40" s="1390" t="s">
        <v>1190</v>
      </c>
      <c r="AL40" s="1392" t="s">
        <v>443</v>
      </c>
      <c r="AM40" s="1392" t="s">
        <v>437</v>
      </c>
      <c r="AO40" s="1393" t="s">
        <v>1189</v>
      </c>
      <c r="AP40" s="1362" t="s">
        <v>110</v>
      </c>
      <c r="BV40" s="1399"/>
    </row>
    <row r="41" spans="1:74" x14ac:dyDescent="0.25">
      <c r="A41" s="61" t="s">
        <v>1189</v>
      </c>
      <c r="I41" s="61" t="s">
        <v>1710</v>
      </c>
      <c r="T41" s="57"/>
      <c r="Z41" s="1390"/>
      <c r="AA41" s="1390" t="s">
        <v>1192</v>
      </c>
      <c r="AL41" s="1392" t="s">
        <v>444</v>
      </c>
      <c r="AM41" s="1441" t="s">
        <v>438</v>
      </c>
      <c r="AO41" s="1393" t="s">
        <v>1191</v>
      </c>
      <c r="AP41" s="1362" t="s">
        <v>111</v>
      </c>
      <c r="BU41" s="1398"/>
      <c r="BV41" s="1399"/>
    </row>
    <row r="42" spans="1:74" x14ac:dyDescent="0.25">
      <c r="A42" s="61" t="s">
        <v>1193</v>
      </c>
      <c r="I42" s="61" t="s">
        <v>1711</v>
      </c>
      <c r="T42" s="57"/>
      <c r="Z42" s="1390"/>
      <c r="AA42" s="1390" t="s">
        <v>1194</v>
      </c>
      <c r="AL42" s="1392" t="s">
        <v>445</v>
      </c>
      <c r="AM42" s="1392" t="s">
        <v>440</v>
      </c>
      <c r="AO42" s="1393" t="s">
        <v>1193</v>
      </c>
      <c r="AP42" s="1362" t="s">
        <v>111</v>
      </c>
      <c r="BV42" s="1399"/>
    </row>
    <row r="43" spans="1:74" x14ac:dyDescent="0.25">
      <c r="A43" s="61" t="s">
        <v>1191</v>
      </c>
      <c r="I43" s="61" t="s">
        <v>1712</v>
      </c>
      <c r="T43" s="57"/>
      <c r="Z43" s="1390"/>
      <c r="AA43" s="1390" t="s">
        <v>1197</v>
      </c>
      <c r="AL43" s="1392" t="s">
        <v>446</v>
      </c>
      <c r="AM43" s="1392" t="s">
        <v>1184</v>
      </c>
      <c r="AO43" s="1393" t="s">
        <v>1195</v>
      </c>
      <c r="AP43" s="1362" t="s">
        <v>111</v>
      </c>
      <c r="BV43" s="1399"/>
    </row>
    <row r="44" spans="1:74" x14ac:dyDescent="0.25">
      <c r="A44" s="61" t="s">
        <v>1195</v>
      </c>
      <c r="I44" s="61" t="s">
        <v>1713</v>
      </c>
      <c r="T44" s="57"/>
      <c r="Z44" s="1390"/>
      <c r="AA44" s="1390" t="s">
        <v>1200</v>
      </c>
      <c r="AL44" s="1392" t="s">
        <v>447</v>
      </c>
      <c r="AM44" s="1392" t="s">
        <v>441</v>
      </c>
      <c r="AO44" s="1393" t="s">
        <v>1198</v>
      </c>
      <c r="AP44" s="1362" t="s">
        <v>111</v>
      </c>
      <c r="BV44" s="1399"/>
    </row>
    <row r="45" spans="1:74" x14ac:dyDescent="0.25">
      <c r="A45" s="61" t="s">
        <v>1686</v>
      </c>
      <c r="I45" s="61" t="s">
        <v>1142</v>
      </c>
      <c r="T45" s="57"/>
      <c r="Z45" s="1390"/>
      <c r="AA45" s="1390" t="s">
        <v>1202</v>
      </c>
      <c r="AL45" s="1392" t="s">
        <v>448</v>
      </c>
      <c r="AM45" s="1392" t="s">
        <v>442</v>
      </c>
      <c r="AO45" s="1393" t="s">
        <v>1201</v>
      </c>
      <c r="AP45" s="1362" t="s">
        <v>111</v>
      </c>
      <c r="BU45" s="1398"/>
      <c r="BV45" s="1399"/>
    </row>
    <row r="46" spans="1:74" x14ac:dyDescent="0.25">
      <c r="A46" s="61" t="s">
        <v>1198</v>
      </c>
      <c r="I46" s="61" t="s">
        <v>1714</v>
      </c>
      <c r="T46" s="57"/>
      <c r="Z46" s="1390"/>
      <c r="AA46" s="1390" t="s">
        <v>1205</v>
      </c>
      <c r="AL46" s="1392" t="s">
        <v>1206</v>
      </c>
      <c r="AM46" s="1392" t="s">
        <v>443</v>
      </c>
      <c r="AO46" s="1393" t="s">
        <v>1203</v>
      </c>
      <c r="AP46" s="1362" t="s">
        <v>111</v>
      </c>
      <c r="BV46" s="1399"/>
    </row>
    <row r="47" spans="1:74" x14ac:dyDescent="0.25">
      <c r="A47" s="61" t="s">
        <v>1201</v>
      </c>
      <c r="I47" s="61" t="s">
        <v>1715</v>
      </c>
      <c r="T47" s="57"/>
      <c r="Z47" s="1390"/>
      <c r="AA47" s="1390" t="s">
        <v>1149</v>
      </c>
      <c r="AL47" s="1392" t="s">
        <v>1208</v>
      </c>
      <c r="AM47" s="1392" t="s">
        <v>444</v>
      </c>
      <c r="AO47" s="1393" t="s">
        <v>1207</v>
      </c>
      <c r="AP47" s="1362" t="s">
        <v>110</v>
      </c>
      <c r="BV47" s="1399"/>
    </row>
    <row r="48" spans="1:74" x14ac:dyDescent="0.25">
      <c r="A48" s="61" t="s">
        <v>1203</v>
      </c>
      <c r="I48" s="61" t="s">
        <v>1167</v>
      </c>
      <c r="T48" s="57"/>
      <c r="Z48" s="1390"/>
      <c r="AA48" s="1390" t="s">
        <v>1210</v>
      </c>
      <c r="AL48" s="1392" t="s">
        <v>450</v>
      </c>
      <c r="AM48" s="1392" t="s">
        <v>445</v>
      </c>
      <c r="AO48" s="1393" t="s">
        <v>1209</v>
      </c>
      <c r="AP48" s="1362" t="s">
        <v>110</v>
      </c>
      <c r="BV48" s="1399"/>
    </row>
    <row r="49" spans="1:74" x14ac:dyDescent="0.25">
      <c r="A49" s="61" t="s">
        <v>1218</v>
      </c>
      <c r="I49" s="61" t="s">
        <v>1173</v>
      </c>
      <c r="T49" s="57"/>
      <c r="Z49" s="1390"/>
      <c r="AA49" s="1390" t="s">
        <v>1213</v>
      </c>
      <c r="AL49" s="1392" t="s">
        <v>451</v>
      </c>
      <c r="AM49" s="1392" t="s">
        <v>446</v>
      </c>
      <c r="AO49" s="1393" t="s">
        <v>1211</v>
      </c>
      <c r="AP49" s="1362" t="s">
        <v>110</v>
      </c>
      <c r="BU49" s="1398"/>
      <c r="BV49" s="1399"/>
    </row>
    <row r="50" spans="1:74" x14ac:dyDescent="0.25">
      <c r="A50" s="61" t="s">
        <v>1207</v>
      </c>
      <c r="I50" s="61" t="s">
        <v>1177</v>
      </c>
      <c r="T50" s="57"/>
      <c r="Z50" s="1390"/>
      <c r="AA50" s="1390" t="s">
        <v>1216</v>
      </c>
      <c r="AL50" s="1392" t="s">
        <v>1217</v>
      </c>
      <c r="AM50" s="1392" t="s">
        <v>447</v>
      </c>
      <c r="AO50" s="1393" t="s">
        <v>1214</v>
      </c>
      <c r="AP50" s="1362" t="s">
        <v>110</v>
      </c>
      <c r="BU50" s="1398"/>
      <c r="BV50" s="1399"/>
    </row>
    <row r="51" spans="1:74" x14ac:dyDescent="0.25">
      <c r="A51" s="61" t="s">
        <v>1209</v>
      </c>
      <c r="I51" s="61" t="s">
        <v>1182</v>
      </c>
      <c r="T51" s="57"/>
      <c r="Z51" s="1390"/>
      <c r="AA51" s="1390" t="s">
        <v>1220</v>
      </c>
      <c r="AL51" s="1392" t="s">
        <v>452</v>
      </c>
      <c r="AM51" s="1392" t="s">
        <v>448</v>
      </c>
      <c r="AO51" s="1393" t="s">
        <v>1218</v>
      </c>
      <c r="AP51" s="1362" t="s">
        <v>110</v>
      </c>
      <c r="BV51" s="1399"/>
    </row>
    <row r="52" spans="1:74" x14ac:dyDescent="0.25">
      <c r="A52" s="61" t="s">
        <v>1211</v>
      </c>
      <c r="I52" s="61" t="s">
        <v>1186</v>
      </c>
      <c r="T52" s="57"/>
      <c r="Z52" s="1390"/>
      <c r="AA52" s="1390" t="s">
        <v>1222</v>
      </c>
      <c r="AL52" s="1392" t="s">
        <v>453</v>
      </c>
      <c r="AM52" s="1392" t="s">
        <v>1206</v>
      </c>
      <c r="AO52" s="1393" t="s">
        <v>1221</v>
      </c>
      <c r="AP52" s="1362" t="s">
        <v>111</v>
      </c>
      <c r="BV52" s="1399"/>
    </row>
    <row r="53" spans="1:74" x14ac:dyDescent="0.25">
      <c r="A53" s="61" t="s">
        <v>1214</v>
      </c>
      <c r="I53" s="61" t="s">
        <v>1716</v>
      </c>
      <c r="T53" s="57"/>
      <c r="Z53" s="1390"/>
      <c r="AA53" s="1390" t="s">
        <v>1224</v>
      </c>
      <c r="AL53" s="1392" t="s">
        <v>1225</v>
      </c>
      <c r="AM53" s="1392" t="s">
        <v>1226</v>
      </c>
      <c r="AO53" s="1393" t="s">
        <v>1223</v>
      </c>
      <c r="AP53" s="1362" t="s">
        <v>111</v>
      </c>
      <c r="BU53" s="1398"/>
      <c r="BV53" s="1399"/>
    </row>
    <row r="54" spans="1:74" x14ac:dyDescent="0.25">
      <c r="A54" s="61" t="s">
        <v>1221</v>
      </c>
      <c r="I54" s="61" t="s">
        <v>1196</v>
      </c>
      <c r="T54" s="57"/>
      <c r="Z54" s="1390"/>
      <c r="AA54" s="1390" t="s">
        <v>1228</v>
      </c>
      <c r="AL54" s="1392" t="s">
        <v>454</v>
      </c>
      <c r="AM54" s="1392" t="s">
        <v>1229</v>
      </c>
      <c r="AO54" s="1393" t="s">
        <v>1227</v>
      </c>
      <c r="AP54" s="1362" t="s">
        <v>111</v>
      </c>
      <c r="BV54" s="1399"/>
    </row>
    <row r="55" spans="1:74" x14ac:dyDescent="0.25">
      <c r="A55" s="61" t="s">
        <v>1223</v>
      </c>
      <c r="I55" s="61" t="s">
        <v>1199</v>
      </c>
      <c r="T55" s="57"/>
      <c r="Z55" s="1390"/>
      <c r="AA55" s="1390" t="s">
        <v>1232</v>
      </c>
      <c r="AL55" s="1392" t="s">
        <v>1233</v>
      </c>
      <c r="AM55" s="1392" t="s">
        <v>1234</v>
      </c>
      <c r="AO55" s="1393" t="s">
        <v>1230</v>
      </c>
      <c r="AP55" s="1362" t="s">
        <v>111</v>
      </c>
      <c r="BV55" s="1442"/>
    </row>
    <row r="56" spans="1:74" x14ac:dyDescent="0.25">
      <c r="A56" s="61" t="s">
        <v>1227</v>
      </c>
      <c r="I56" s="61" t="s">
        <v>1717</v>
      </c>
      <c r="T56" s="57"/>
      <c r="Z56" s="1390"/>
      <c r="AA56" s="1390" t="s">
        <v>1236</v>
      </c>
      <c r="AL56" s="1392" t="s">
        <v>455</v>
      </c>
      <c r="AM56" s="1392" t="s">
        <v>1237</v>
      </c>
      <c r="AO56" s="1393" t="s">
        <v>1235</v>
      </c>
      <c r="AP56" s="1362" t="s">
        <v>111</v>
      </c>
      <c r="BU56" s="1398"/>
      <c r="BV56" s="1399"/>
    </row>
    <row r="57" spans="1:74" x14ac:dyDescent="0.25">
      <c r="A57" s="61" t="s">
        <v>1230</v>
      </c>
      <c r="I57" s="61" t="s">
        <v>1718</v>
      </c>
      <c r="T57" s="57"/>
      <c r="Z57" s="1390"/>
      <c r="AA57" s="1390" t="s">
        <v>1239</v>
      </c>
      <c r="AL57" s="1392" t="s">
        <v>456</v>
      </c>
      <c r="AM57" s="1392" t="s">
        <v>451</v>
      </c>
      <c r="AO57" s="1393" t="s">
        <v>1238</v>
      </c>
      <c r="AP57" s="1362" t="s">
        <v>111</v>
      </c>
      <c r="BV57" s="1399"/>
    </row>
    <row r="58" spans="1:74" x14ac:dyDescent="0.25">
      <c r="A58" s="61" t="s">
        <v>1245</v>
      </c>
      <c r="I58" s="61" t="s">
        <v>1204</v>
      </c>
      <c r="T58" s="57"/>
      <c r="Z58" s="1390"/>
      <c r="AA58" s="1390" t="s">
        <v>1164</v>
      </c>
      <c r="AL58" s="1392" t="s">
        <v>457</v>
      </c>
      <c r="AM58" s="1392" t="s">
        <v>1217</v>
      </c>
      <c r="AO58" s="1393" t="s">
        <v>1240</v>
      </c>
      <c r="AP58" s="1362" t="s">
        <v>111</v>
      </c>
      <c r="BU58" s="1398"/>
      <c r="BV58" s="1399"/>
    </row>
    <row r="59" spans="1:74" x14ac:dyDescent="0.25">
      <c r="A59" s="61" t="s">
        <v>1235</v>
      </c>
      <c r="I59" s="61" t="s">
        <v>1719</v>
      </c>
      <c r="T59" s="57"/>
      <c r="Z59" s="1390"/>
      <c r="AA59" s="1390" t="s">
        <v>1169</v>
      </c>
      <c r="AL59" s="1392" t="s">
        <v>1244</v>
      </c>
      <c r="AM59" s="1392" t="s">
        <v>452</v>
      </c>
      <c r="AO59" s="1393" t="s">
        <v>1242</v>
      </c>
      <c r="AP59" s="1362" t="s">
        <v>111</v>
      </c>
      <c r="BV59" s="1399"/>
    </row>
    <row r="60" spans="1:74" x14ac:dyDescent="0.25">
      <c r="A60" s="61" t="s">
        <v>1238</v>
      </c>
      <c r="I60" s="61" t="s">
        <v>1212</v>
      </c>
      <c r="T60" s="57"/>
      <c r="Z60" s="1390"/>
      <c r="AA60" s="1390" t="s">
        <v>1246</v>
      </c>
      <c r="AL60" s="1392" t="s">
        <v>458</v>
      </c>
      <c r="AM60" s="1392" t="s">
        <v>453</v>
      </c>
      <c r="AO60" s="1393" t="s">
        <v>1245</v>
      </c>
      <c r="AP60" s="1362" t="s">
        <v>111</v>
      </c>
      <c r="BV60" s="1399"/>
    </row>
    <row r="61" spans="1:74" x14ac:dyDescent="0.25">
      <c r="A61" s="61" t="s">
        <v>1240</v>
      </c>
      <c r="I61" s="61" t="s">
        <v>1215</v>
      </c>
      <c r="T61" s="57"/>
      <c r="Z61" s="1390"/>
      <c r="AA61" s="1390" t="s">
        <v>1248</v>
      </c>
      <c r="AL61" s="1392" t="s">
        <v>459</v>
      </c>
      <c r="AM61" s="1392" t="s">
        <v>1225</v>
      </c>
      <c r="AO61" s="1393" t="s">
        <v>1247</v>
      </c>
      <c r="AP61" s="1362" t="s">
        <v>217</v>
      </c>
      <c r="BU61" s="1398"/>
      <c r="BV61" s="1399"/>
    </row>
    <row r="62" spans="1:74" x14ac:dyDescent="0.25">
      <c r="A62" s="61" t="s">
        <v>1242</v>
      </c>
      <c r="I62" s="61" t="s">
        <v>1720</v>
      </c>
      <c r="T62" s="57"/>
      <c r="Z62" s="1390"/>
      <c r="AA62" s="1390" t="s">
        <v>1250</v>
      </c>
      <c r="AL62" s="1392" t="s">
        <v>460</v>
      </c>
      <c r="AM62" s="1392" t="s">
        <v>454</v>
      </c>
      <c r="AO62" s="1393" t="s">
        <v>1249</v>
      </c>
      <c r="AP62" s="1362" t="s">
        <v>110</v>
      </c>
      <c r="BV62" s="1399"/>
    </row>
    <row r="63" spans="1:74" x14ac:dyDescent="0.25">
      <c r="A63" s="61" t="s">
        <v>1247</v>
      </c>
      <c r="I63" s="61" t="s">
        <v>1219</v>
      </c>
      <c r="T63" s="58"/>
      <c r="Z63" s="1390"/>
      <c r="AA63" s="1390" t="s">
        <v>1252</v>
      </c>
      <c r="AL63" s="1392" t="s">
        <v>461</v>
      </c>
      <c r="AM63" s="1392" t="s">
        <v>1233</v>
      </c>
      <c r="AO63" s="1393" t="s">
        <v>1251</v>
      </c>
      <c r="AP63" s="1362" t="s">
        <v>110</v>
      </c>
      <c r="BU63" s="1398"/>
    </row>
    <row r="64" spans="1:74" x14ac:dyDescent="0.25">
      <c r="A64" s="61" t="s">
        <v>1274</v>
      </c>
      <c r="I64" s="61" t="s">
        <v>1721</v>
      </c>
      <c r="T64" s="58"/>
      <c r="Z64" s="1390"/>
      <c r="AA64" s="1390" t="s">
        <v>1255</v>
      </c>
      <c r="AL64" s="1392" t="s">
        <v>463</v>
      </c>
      <c r="AM64" s="1392" t="s">
        <v>455</v>
      </c>
      <c r="AO64" s="1393" t="s">
        <v>1253</v>
      </c>
      <c r="AP64" s="1362" t="s">
        <v>110</v>
      </c>
      <c r="BU64" s="1398"/>
    </row>
    <row r="65" spans="1:74" x14ac:dyDescent="0.25">
      <c r="A65" s="61" t="s">
        <v>1249</v>
      </c>
      <c r="I65" s="61" t="s">
        <v>1722</v>
      </c>
      <c r="T65" s="58"/>
      <c r="Z65" s="1390"/>
      <c r="AA65" s="1390" t="s">
        <v>1258</v>
      </c>
      <c r="AL65" s="1392" t="s">
        <v>462</v>
      </c>
      <c r="AM65" s="1392" t="s">
        <v>456</v>
      </c>
      <c r="AO65" s="1393" t="s">
        <v>1256</v>
      </c>
      <c r="AP65" s="1362" t="s">
        <v>110</v>
      </c>
      <c r="BV65" s="1399"/>
    </row>
    <row r="66" spans="1:74" x14ac:dyDescent="0.25">
      <c r="A66" s="61" t="s">
        <v>1251</v>
      </c>
      <c r="I66" s="61" t="s">
        <v>1723</v>
      </c>
      <c r="T66" s="57"/>
      <c r="Z66" s="1390"/>
      <c r="AA66" s="1390" t="s">
        <v>1261</v>
      </c>
      <c r="AL66" s="1392" t="s">
        <v>1262</v>
      </c>
      <c r="AM66" s="1392" t="s">
        <v>457</v>
      </c>
      <c r="AO66" s="1393" t="s">
        <v>1259</v>
      </c>
      <c r="AP66" s="1362" t="s">
        <v>110</v>
      </c>
      <c r="BU66" s="1398"/>
      <c r="BV66" s="1399"/>
    </row>
    <row r="67" spans="1:74" x14ac:dyDescent="0.25">
      <c r="A67" s="61" t="s">
        <v>1253</v>
      </c>
      <c r="I67" s="61" t="s">
        <v>1231</v>
      </c>
      <c r="T67" s="58"/>
      <c r="Z67" s="1390"/>
      <c r="AA67" s="1390" t="s">
        <v>1265</v>
      </c>
      <c r="AL67" s="1392" t="s">
        <v>464</v>
      </c>
      <c r="AM67" s="1392" t="s">
        <v>1244</v>
      </c>
      <c r="AO67" s="1393" t="s">
        <v>1263</v>
      </c>
      <c r="AP67" s="1362" t="s">
        <v>110</v>
      </c>
      <c r="BU67" s="1398"/>
      <c r="BV67" s="1399"/>
    </row>
    <row r="68" spans="1:74" x14ac:dyDescent="0.25">
      <c r="A68" s="61" t="s">
        <v>1256</v>
      </c>
      <c r="I68" s="61" t="s">
        <v>1241</v>
      </c>
      <c r="T68" s="58"/>
      <c r="Z68" s="1390"/>
      <c r="AA68" s="1390" t="s">
        <v>1268</v>
      </c>
      <c r="AL68" s="1392" t="s">
        <v>465</v>
      </c>
      <c r="AM68" s="1392" t="s">
        <v>1269</v>
      </c>
      <c r="AO68" s="1393" t="s">
        <v>1266</v>
      </c>
      <c r="AP68" s="1362" t="s">
        <v>110</v>
      </c>
      <c r="BV68" s="1399"/>
    </row>
    <row r="69" spans="1:74" x14ac:dyDescent="0.25">
      <c r="A69" s="61" t="s">
        <v>1259</v>
      </c>
      <c r="I69" s="61" t="s">
        <v>1724</v>
      </c>
      <c r="T69" s="57"/>
      <c r="Z69" s="1390"/>
      <c r="AA69" s="1390" t="s">
        <v>1272</v>
      </c>
      <c r="AL69" s="1392" t="s">
        <v>466</v>
      </c>
      <c r="AM69" s="1392" t="s">
        <v>1273</v>
      </c>
      <c r="AO69" s="1393" t="s">
        <v>1270</v>
      </c>
      <c r="AP69" s="1362" t="s">
        <v>110</v>
      </c>
      <c r="BU69" s="1398"/>
      <c r="BV69" s="1399"/>
    </row>
    <row r="70" spans="1:74" x14ac:dyDescent="0.25">
      <c r="A70" s="61" t="s">
        <v>1263</v>
      </c>
      <c r="I70" s="61" t="s">
        <v>1725</v>
      </c>
      <c r="T70" s="57"/>
      <c r="Z70" s="1390"/>
      <c r="AA70" s="1390" t="s">
        <v>1275</v>
      </c>
      <c r="AL70" s="1392" t="s">
        <v>467</v>
      </c>
      <c r="AM70" s="1392" t="s">
        <v>459</v>
      </c>
      <c r="AO70" s="1393" t="s">
        <v>1274</v>
      </c>
      <c r="AP70" s="1362" t="s">
        <v>110</v>
      </c>
      <c r="BU70" s="1398"/>
      <c r="BV70" s="1399"/>
    </row>
    <row r="71" spans="1:74" x14ac:dyDescent="0.25">
      <c r="A71" s="61" t="s">
        <v>1266</v>
      </c>
      <c r="I71" s="61" t="s">
        <v>1243</v>
      </c>
      <c r="T71" s="57"/>
      <c r="Z71" s="1390"/>
      <c r="AA71" s="1390" t="s">
        <v>1277</v>
      </c>
      <c r="AL71" s="1392" t="s">
        <v>468</v>
      </c>
      <c r="AM71" s="1392" t="s">
        <v>460</v>
      </c>
      <c r="AO71" s="1393" t="s">
        <v>1276</v>
      </c>
      <c r="AP71" s="1362" t="s">
        <v>110</v>
      </c>
      <c r="BV71" s="1399"/>
    </row>
    <row r="72" spans="1:74" x14ac:dyDescent="0.25">
      <c r="A72" s="61" t="s">
        <v>1270</v>
      </c>
      <c r="I72" s="61" t="s">
        <v>1726</v>
      </c>
      <c r="T72" s="57"/>
      <c r="AL72" s="1392" t="s">
        <v>1279</v>
      </c>
      <c r="AM72" s="1392" t="s">
        <v>461</v>
      </c>
      <c r="AO72" s="1393" t="s">
        <v>1278</v>
      </c>
      <c r="AP72" s="1362" t="s">
        <v>110</v>
      </c>
      <c r="BU72" s="1398"/>
      <c r="BV72" s="1399"/>
    </row>
    <row r="73" spans="1:74" x14ac:dyDescent="0.25">
      <c r="A73" s="61" t="s">
        <v>1278</v>
      </c>
      <c r="I73" s="61" t="s">
        <v>1254</v>
      </c>
      <c r="T73" s="57"/>
      <c r="AL73" s="1392" t="s">
        <v>469</v>
      </c>
      <c r="AM73" s="1392" t="s">
        <v>463</v>
      </c>
      <c r="AO73" s="1393" t="s">
        <v>1280</v>
      </c>
      <c r="AP73" s="1362" t="s">
        <v>110</v>
      </c>
      <c r="BU73" s="1398"/>
      <c r="BV73" s="1399"/>
    </row>
    <row r="74" spans="1:74" x14ac:dyDescent="0.25">
      <c r="A74" s="61" t="s">
        <v>1276</v>
      </c>
      <c r="I74" s="61" t="s">
        <v>1257</v>
      </c>
      <c r="T74" s="57"/>
      <c r="AL74" s="1392" t="s">
        <v>470</v>
      </c>
      <c r="AM74" s="1392" t="s">
        <v>462</v>
      </c>
      <c r="AO74" s="1393" t="s">
        <v>1281</v>
      </c>
      <c r="AP74" s="1362" t="s">
        <v>110</v>
      </c>
      <c r="BV74" s="1399"/>
    </row>
    <row r="75" spans="1:74" x14ac:dyDescent="0.25">
      <c r="A75" s="61" t="s">
        <v>1280</v>
      </c>
      <c r="I75" s="61" t="s">
        <v>1260</v>
      </c>
      <c r="T75" s="57"/>
      <c r="AL75" s="1392" t="s">
        <v>1284</v>
      </c>
      <c r="AM75" s="1392" t="s">
        <v>1262</v>
      </c>
      <c r="AO75" s="1393" t="s">
        <v>1283</v>
      </c>
      <c r="AP75" s="1362" t="s">
        <v>110</v>
      </c>
      <c r="BU75" s="1398"/>
      <c r="BV75" s="1399"/>
    </row>
    <row r="76" spans="1:74" x14ac:dyDescent="0.25">
      <c r="A76" s="61" t="s">
        <v>1281</v>
      </c>
      <c r="I76" s="61" t="s">
        <v>1264</v>
      </c>
      <c r="T76" s="57"/>
      <c r="AL76" s="1392" t="s">
        <v>471</v>
      </c>
      <c r="AM76" s="1392" t="s">
        <v>464</v>
      </c>
      <c r="AO76" s="1393" t="s">
        <v>1285</v>
      </c>
      <c r="AP76" s="1362" t="s">
        <v>110</v>
      </c>
      <c r="BU76" s="1398"/>
    </row>
    <row r="77" spans="1:74" x14ac:dyDescent="0.25">
      <c r="A77" s="61" t="s">
        <v>1283</v>
      </c>
      <c r="I77" s="61" t="s">
        <v>1267</v>
      </c>
      <c r="T77" s="59"/>
      <c r="AL77" s="1392" t="s">
        <v>472</v>
      </c>
      <c r="AM77" s="1392" t="s">
        <v>465</v>
      </c>
      <c r="AO77" s="1393" t="s">
        <v>1286</v>
      </c>
      <c r="AP77" s="1362" t="s">
        <v>110</v>
      </c>
      <c r="BV77" s="1399"/>
    </row>
    <row r="78" spans="1:74" x14ac:dyDescent="0.25">
      <c r="A78" s="61" t="s">
        <v>1288</v>
      </c>
      <c r="I78" s="61" t="s">
        <v>1271</v>
      </c>
      <c r="T78" s="57"/>
      <c r="AL78" s="1392" t="s">
        <v>473</v>
      </c>
      <c r="AM78" s="1392" t="s">
        <v>466</v>
      </c>
      <c r="AO78" s="1393" t="s">
        <v>1288</v>
      </c>
      <c r="AP78" s="1362" t="s">
        <v>110</v>
      </c>
      <c r="BU78" s="1398"/>
      <c r="BV78" s="1399"/>
    </row>
    <row r="79" spans="1:74" x14ac:dyDescent="0.25">
      <c r="A79" s="61" t="s">
        <v>1285</v>
      </c>
      <c r="I79" s="61" t="s">
        <v>1727</v>
      </c>
      <c r="T79" s="57"/>
      <c r="AL79" s="1392"/>
      <c r="AM79" s="1392" t="s">
        <v>1292</v>
      </c>
      <c r="AO79" s="1393" t="s">
        <v>1290</v>
      </c>
      <c r="AP79" s="1362" t="s">
        <v>111</v>
      </c>
      <c r="BU79" s="1398"/>
    </row>
    <row r="80" spans="1:74" x14ac:dyDescent="0.25">
      <c r="A80" s="61" t="s">
        <v>1286</v>
      </c>
      <c r="I80" s="61" t="s">
        <v>1282</v>
      </c>
      <c r="T80" s="57"/>
      <c r="AL80" s="1392"/>
      <c r="AM80" s="1392" t="s">
        <v>467</v>
      </c>
      <c r="AO80" s="1393" t="s">
        <v>1293</v>
      </c>
      <c r="AP80" s="1362" t="s">
        <v>111</v>
      </c>
    </row>
    <row r="81" spans="1:74" x14ac:dyDescent="0.25">
      <c r="A81" s="61" t="s">
        <v>1290</v>
      </c>
      <c r="I81" s="61" t="s">
        <v>1728</v>
      </c>
      <c r="T81" s="57"/>
      <c r="AL81" s="1440"/>
      <c r="AM81" s="1392" t="s">
        <v>468</v>
      </c>
      <c r="AO81" s="1393" t="s">
        <v>1294</v>
      </c>
      <c r="AP81" s="1362" t="s">
        <v>111</v>
      </c>
      <c r="BU81" s="1398"/>
    </row>
    <row r="82" spans="1:74" x14ac:dyDescent="0.25">
      <c r="A82" s="61" t="s">
        <v>1293</v>
      </c>
      <c r="I82" s="61" t="s">
        <v>1729</v>
      </c>
      <c r="T82" s="57"/>
      <c r="AL82" s="1440"/>
      <c r="AM82" s="1392" t="s">
        <v>1279</v>
      </c>
      <c r="AO82" s="1393" t="s">
        <v>1296</v>
      </c>
      <c r="AP82" s="1362" t="s">
        <v>111</v>
      </c>
      <c r="BU82" s="1398"/>
    </row>
    <row r="83" spans="1:74" x14ac:dyDescent="0.25">
      <c r="A83" s="61" t="s">
        <v>1294</v>
      </c>
      <c r="I83" s="61" t="s">
        <v>1287</v>
      </c>
      <c r="T83" s="57"/>
      <c r="AL83" s="1438"/>
      <c r="AM83" s="1392" t="s">
        <v>469</v>
      </c>
      <c r="AO83" s="1393" t="s">
        <v>1298</v>
      </c>
      <c r="AP83" s="1362" t="s">
        <v>111</v>
      </c>
      <c r="BV83" s="1399"/>
    </row>
    <row r="84" spans="1:74" x14ac:dyDescent="0.25">
      <c r="A84" s="61" t="s">
        <v>1296</v>
      </c>
      <c r="I84" s="61" t="s">
        <v>1289</v>
      </c>
      <c r="T84" s="57"/>
      <c r="AL84" s="1392"/>
      <c r="AM84" s="1392" t="s">
        <v>470</v>
      </c>
      <c r="AO84" s="1393" t="s">
        <v>1299</v>
      </c>
      <c r="AP84" s="1362" t="s">
        <v>111</v>
      </c>
      <c r="BU84" s="1398"/>
      <c r="BV84" s="1399"/>
    </row>
    <row r="85" spans="1:74" x14ac:dyDescent="0.25">
      <c r="A85" s="61" t="s">
        <v>1298</v>
      </c>
      <c r="I85" s="61" t="s">
        <v>1730</v>
      </c>
      <c r="T85" s="57"/>
      <c r="AL85" s="1392"/>
      <c r="AM85" s="1392" t="s">
        <v>1284</v>
      </c>
      <c r="AO85" s="1393" t="s">
        <v>1301</v>
      </c>
      <c r="AP85" s="1362" t="s">
        <v>111</v>
      </c>
      <c r="BU85" s="1398"/>
      <c r="BV85" s="1399"/>
    </row>
    <row r="86" spans="1:74" x14ac:dyDescent="0.25">
      <c r="A86" s="61" t="s">
        <v>1687</v>
      </c>
      <c r="I86" s="61" t="s">
        <v>1291</v>
      </c>
      <c r="T86" s="57"/>
      <c r="AL86" s="1392"/>
      <c r="AM86" s="1392" t="s">
        <v>471</v>
      </c>
      <c r="AO86" s="1393" t="s">
        <v>1303</v>
      </c>
      <c r="AP86" s="1362" t="s">
        <v>111</v>
      </c>
      <c r="BV86" s="1399"/>
    </row>
    <row r="87" spans="1:74" x14ac:dyDescent="0.25">
      <c r="A87" s="61" t="s">
        <v>1299</v>
      </c>
      <c r="I87" s="61" t="s">
        <v>1731</v>
      </c>
      <c r="T87" s="57"/>
      <c r="AL87" s="1392"/>
      <c r="AM87" s="1392" t="s">
        <v>472</v>
      </c>
      <c r="AO87" s="1393" t="s">
        <v>1304</v>
      </c>
      <c r="AP87" s="1362" t="s">
        <v>111</v>
      </c>
      <c r="BU87" s="1398"/>
      <c r="BV87" s="1399"/>
    </row>
    <row r="88" spans="1:74" x14ac:dyDescent="0.25">
      <c r="A88" s="61" t="s">
        <v>1301</v>
      </c>
      <c r="I88" s="61" t="s">
        <v>1732</v>
      </c>
      <c r="T88" s="57"/>
      <c r="AL88" s="1392"/>
      <c r="AM88" s="1392" t="s">
        <v>473</v>
      </c>
      <c r="AO88" s="1393" t="s">
        <v>1306</v>
      </c>
      <c r="AP88" s="1362" t="s">
        <v>111</v>
      </c>
      <c r="BU88" s="1398"/>
      <c r="BV88" s="1399"/>
    </row>
    <row r="89" spans="1:74" x14ac:dyDescent="0.25">
      <c r="A89" s="61" t="s">
        <v>1303</v>
      </c>
      <c r="I89" s="61" t="s">
        <v>1733</v>
      </c>
      <c r="T89" s="57"/>
      <c r="AO89" s="1393" t="s">
        <v>1307</v>
      </c>
      <c r="AP89" s="1362" t="s">
        <v>111</v>
      </c>
      <c r="BV89" s="1399"/>
    </row>
    <row r="90" spans="1:74" x14ac:dyDescent="0.25">
      <c r="A90" s="61" t="s">
        <v>1304</v>
      </c>
      <c r="I90" s="61" t="s">
        <v>1734</v>
      </c>
      <c r="T90" s="57"/>
      <c r="AO90" s="1393" t="s">
        <v>1309</v>
      </c>
      <c r="AP90" s="1362" t="s">
        <v>111</v>
      </c>
      <c r="BU90" s="1398"/>
      <c r="BV90" s="1399"/>
    </row>
    <row r="91" spans="1:74" x14ac:dyDescent="0.25">
      <c r="A91" s="61" t="s">
        <v>1306</v>
      </c>
      <c r="I91" s="61" t="s">
        <v>1735</v>
      </c>
      <c r="T91" s="57"/>
      <c r="AO91" s="1393" t="s">
        <v>1311</v>
      </c>
      <c r="AP91" s="1362" t="s">
        <v>111</v>
      </c>
      <c r="BU91" s="1398"/>
      <c r="BV91" s="1399"/>
    </row>
    <row r="92" spans="1:74" x14ac:dyDescent="0.25">
      <c r="A92" s="61" t="s">
        <v>1307</v>
      </c>
      <c r="I92" s="61" t="s">
        <v>1736</v>
      </c>
      <c r="T92" s="57"/>
      <c r="AO92" s="1393" t="s">
        <v>1312</v>
      </c>
      <c r="AP92" s="1362" t="s">
        <v>111</v>
      </c>
      <c r="BV92" s="1399"/>
    </row>
    <row r="93" spans="1:74" x14ac:dyDescent="0.25">
      <c r="A93" s="61" t="s">
        <v>1314</v>
      </c>
      <c r="I93" s="61" t="s">
        <v>1737</v>
      </c>
      <c r="T93" s="60"/>
      <c r="AO93" s="1393" t="s">
        <v>1313</v>
      </c>
      <c r="AP93" s="1362" t="s">
        <v>111</v>
      </c>
      <c r="BU93" s="1398"/>
      <c r="BV93" s="1399"/>
    </row>
    <row r="94" spans="1:74" x14ac:dyDescent="0.25">
      <c r="A94" s="61" t="s">
        <v>1309</v>
      </c>
      <c r="I94" s="61" t="s">
        <v>1738</v>
      </c>
      <c r="T94" s="57"/>
      <c r="AO94" s="1393" t="s">
        <v>1314</v>
      </c>
      <c r="AP94" s="1362" t="s">
        <v>111</v>
      </c>
      <c r="BU94" s="1398"/>
    </row>
    <row r="95" spans="1:74" x14ac:dyDescent="0.25">
      <c r="A95" s="61" t="s">
        <v>1311</v>
      </c>
      <c r="I95" s="61" t="s">
        <v>1295</v>
      </c>
      <c r="T95" s="57"/>
      <c r="AO95" s="1393" t="s">
        <v>1316</v>
      </c>
      <c r="AP95" s="1362" t="s">
        <v>110</v>
      </c>
    </row>
    <row r="96" spans="1:74" x14ac:dyDescent="0.25">
      <c r="A96" s="61" t="s">
        <v>1312</v>
      </c>
      <c r="I96" s="61" t="s">
        <v>1297</v>
      </c>
      <c r="T96" s="57"/>
      <c r="AO96" s="1393" t="s">
        <v>1318</v>
      </c>
      <c r="AP96" s="1362" t="s">
        <v>111</v>
      </c>
    </row>
    <row r="97" spans="1:42" x14ac:dyDescent="0.25">
      <c r="A97" s="61" t="s">
        <v>1313</v>
      </c>
      <c r="I97" s="61" t="s">
        <v>1739</v>
      </c>
      <c r="T97" s="59"/>
      <c r="AO97" s="1393" t="s">
        <v>1320</v>
      </c>
      <c r="AP97" s="1362" t="s">
        <v>110</v>
      </c>
    </row>
    <row r="98" spans="1:42" x14ac:dyDescent="0.25">
      <c r="A98" s="61" t="s">
        <v>1316</v>
      </c>
      <c r="I98" s="61" t="s">
        <v>1300</v>
      </c>
      <c r="T98" s="57"/>
      <c r="AO98" s="1393" t="s">
        <v>1322</v>
      </c>
      <c r="AP98" s="1362" t="s">
        <v>111</v>
      </c>
    </row>
    <row r="99" spans="1:42" x14ac:dyDescent="0.25">
      <c r="A99" s="61" t="s">
        <v>1318</v>
      </c>
      <c r="I99" s="61" t="s">
        <v>1302</v>
      </c>
      <c r="T99" s="57"/>
      <c r="AO99" s="1393" t="s">
        <v>1324</v>
      </c>
      <c r="AP99" s="1362" t="s">
        <v>110</v>
      </c>
    </row>
    <row r="100" spans="1:42" x14ac:dyDescent="0.25">
      <c r="A100" s="61" t="s">
        <v>1320</v>
      </c>
      <c r="I100" s="61" t="s">
        <v>1740</v>
      </c>
      <c r="T100" s="57"/>
      <c r="AO100" s="1393" t="s">
        <v>1326</v>
      </c>
      <c r="AP100" s="1362" t="s">
        <v>111</v>
      </c>
    </row>
    <row r="101" spans="1:42" x14ac:dyDescent="0.25">
      <c r="A101" s="61" t="s">
        <v>1322</v>
      </c>
      <c r="I101" s="61" t="s">
        <v>1305</v>
      </c>
      <c r="T101" s="57"/>
      <c r="AO101" s="1393" t="s">
        <v>1328</v>
      </c>
      <c r="AP101" s="1362" t="s">
        <v>110</v>
      </c>
    </row>
    <row r="102" spans="1:42" x14ac:dyDescent="0.25">
      <c r="A102" s="61" t="s">
        <v>1324</v>
      </c>
      <c r="I102" s="61" t="s">
        <v>1308</v>
      </c>
      <c r="T102" s="57"/>
    </row>
    <row r="103" spans="1:42" x14ac:dyDescent="0.25">
      <c r="A103" s="61" t="s">
        <v>1326</v>
      </c>
      <c r="I103" s="61" t="s">
        <v>1741</v>
      </c>
      <c r="T103" s="57"/>
    </row>
    <row r="104" spans="1:42" x14ac:dyDescent="0.25">
      <c r="A104" s="61" t="s">
        <v>1328</v>
      </c>
      <c r="I104" s="61" t="s">
        <v>1310</v>
      </c>
      <c r="T104" s="57"/>
    </row>
    <row r="105" spans="1:42" x14ac:dyDescent="0.25">
      <c r="I105" s="61" t="s">
        <v>1742</v>
      </c>
      <c r="T105" s="57"/>
    </row>
    <row r="106" spans="1:42" x14ac:dyDescent="0.25">
      <c r="I106" s="61" t="s">
        <v>1743</v>
      </c>
      <c r="T106" s="57"/>
    </row>
    <row r="107" spans="1:42" x14ac:dyDescent="0.25">
      <c r="I107" s="61" t="s">
        <v>1315</v>
      </c>
      <c r="T107" s="57"/>
    </row>
    <row r="108" spans="1:42" x14ac:dyDescent="0.25">
      <c r="I108" s="61" t="s">
        <v>1317</v>
      </c>
      <c r="T108" s="57"/>
    </row>
    <row r="109" spans="1:42" x14ac:dyDescent="0.25">
      <c r="I109" s="61" t="s">
        <v>1319</v>
      </c>
      <c r="T109" s="57"/>
    </row>
    <row r="110" spans="1:42" x14ac:dyDescent="0.25">
      <c r="I110" s="61" t="s">
        <v>1321</v>
      </c>
      <c r="T110" s="57"/>
    </row>
    <row r="111" spans="1:42" x14ac:dyDescent="0.25">
      <c r="I111" s="61" t="s">
        <v>1323</v>
      </c>
      <c r="T111" s="57"/>
    </row>
    <row r="112" spans="1:42" x14ac:dyDescent="0.25">
      <c r="I112" s="61" t="s">
        <v>1744</v>
      </c>
      <c r="T112" s="57"/>
    </row>
    <row r="113" spans="9:20" x14ac:dyDescent="0.25">
      <c r="I113" s="61" t="s">
        <v>1325</v>
      </c>
      <c r="T113" s="60"/>
    </row>
    <row r="114" spans="9:20" x14ac:dyDescent="0.25">
      <c r="I114" s="61" t="s">
        <v>1745</v>
      </c>
      <c r="T114" s="57"/>
    </row>
    <row r="115" spans="9:20" x14ac:dyDescent="0.25">
      <c r="I115" s="61" t="s">
        <v>1327</v>
      </c>
      <c r="T115" s="57"/>
    </row>
    <row r="116" spans="9:20" x14ac:dyDescent="0.25">
      <c r="I116" s="61" t="s">
        <v>1746</v>
      </c>
      <c r="T116" s="57"/>
    </row>
    <row r="117" spans="9:20" x14ac:dyDescent="0.25">
      <c r="I117" s="61" t="s">
        <v>1747</v>
      </c>
      <c r="T117" s="59"/>
    </row>
    <row r="118" spans="9:20" x14ac:dyDescent="0.25">
      <c r="I118" s="61" t="s">
        <v>1748</v>
      </c>
      <c r="T118" s="57"/>
    </row>
    <row r="119" spans="9:20" x14ac:dyDescent="0.25">
      <c r="I119" s="61" t="s">
        <v>1749</v>
      </c>
      <c r="T119" s="57"/>
    </row>
    <row r="120" spans="9:20" x14ac:dyDescent="0.25">
      <c r="I120" s="61" t="s">
        <v>1750</v>
      </c>
      <c r="T120" s="57"/>
    </row>
    <row r="121" spans="9:20" x14ac:dyDescent="0.25">
      <c r="I121" s="61" t="s">
        <v>1751</v>
      </c>
      <c r="T121" s="57"/>
    </row>
    <row r="122" spans="9:20" x14ac:dyDescent="0.25">
      <c r="I122" s="61" t="s">
        <v>1752</v>
      </c>
      <c r="T122" s="57"/>
    </row>
    <row r="123" spans="9:20" x14ac:dyDescent="0.25">
      <c r="I123" s="61" t="s">
        <v>1753</v>
      </c>
      <c r="T123" s="57"/>
    </row>
    <row r="124" spans="9:20" x14ac:dyDescent="0.25">
      <c r="I124" s="61" t="s">
        <v>1754</v>
      </c>
      <c r="T124" s="57"/>
    </row>
    <row r="125" spans="9:20" x14ac:dyDescent="0.25">
      <c r="I125" s="61" t="s">
        <v>1329</v>
      </c>
      <c r="T125" s="57"/>
    </row>
    <row r="126" spans="9:20" x14ac:dyDescent="0.25">
      <c r="I126" s="61" t="s">
        <v>1755</v>
      </c>
      <c r="T126" s="57"/>
    </row>
    <row r="127" spans="9:20" x14ac:dyDescent="0.25">
      <c r="I127" s="61" t="s">
        <v>1756</v>
      </c>
      <c r="T127" s="57"/>
    </row>
    <row r="128" spans="9:20" x14ac:dyDescent="0.25">
      <c r="I128" s="61" t="s">
        <v>1757</v>
      </c>
      <c r="T128" s="57"/>
    </row>
    <row r="129" spans="9:20" x14ac:dyDescent="0.25">
      <c r="I129" s="61" t="s">
        <v>1758</v>
      </c>
      <c r="T129" s="57"/>
    </row>
    <row r="130" spans="9:20" x14ac:dyDescent="0.25">
      <c r="I130" s="61" t="s">
        <v>1759</v>
      </c>
      <c r="T130" s="57"/>
    </row>
    <row r="131" spans="9:20" x14ac:dyDescent="0.25">
      <c r="I131" s="61" t="s">
        <v>1760</v>
      </c>
      <c r="T131" s="57"/>
    </row>
    <row r="132" spans="9:20" x14ac:dyDescent="0.25">
      <c r="I132" s="61" t="s">
        <v>1761</v>
      </c>
      <c r="T132" s="57"/>
    </row>
    <row r="133" spans="9:20" x14ac:dyDescent="0.25">
      <c r="I133" s="61" t="s">
        <v>1762</v>
      </c>
      <c r="T133" s="60"/>
    </row>
    <row r="134" spans="9:20" x14ac:dyDescent="0.25">
      <c r="I134" s="61" t="s">
        <v>1330</v>
      </c>
      <c r="T134" s="57"/>
    </row>
    <row r="135" spans="9:20" x14ac:dyDescent="0.25">
      <c r="I135" s="61" t="s">
        <v>1331</v>
      </c>
      <c r="T135" s="57"/>
    </row>
    <row r="136" spans="9:20" x14ac:dyDescent="0.25">
      <c r="I136" s="61" t="s">
        <v>1763</v>
      </c>
      <c r="T136" s="57"/>
    </row>
    <row r="137" spans="9:20" x14ac:dyDescent="0.25">
      <c r="I137" s="61" t="s">
        <v>1332</v>
      </c>
      <c r="T137" s="58"/>
    </row>
    <row r="138" spans="9:20" x14ac:dyDescent="0.25">
      <c r="I138" s="61" t="s">
        <v>1333</v>
      </c>
      <c r="T138" s="59"/>
    </row>
    <row r="139" spans="9:20" x14ac:dyDescent="0.25">
      <c r="I139" s="61" t="s">
        <v>1764</v>
      </c>
      <c r="T139" s="57"/>
    </row>
    <row r="140" spans="9:20" x14ac:dyDescent="0.25">
      <c r="I140" s="61" t="s">
        <v>1765</v>
      </c>
      <c r="T140" s="57"/>
    </row>
    <row r="141" spans="9:20" x14ac:dyDescent="0.25">
      <c r="I141" s="61" t="s">
        <v>1334</v>
      </c>
      <c r="T141" s="57"/>
    </row>
    <row r="142" spans="9:20" x14ac:dyDescent="0.25">
      <c r="I142" s="61" t="s">
        <v>1766</v>
      </c>
      <c r="T142" s="57"/>
    </row>
    <row r="143" spans="9:20" x14ac:dyDescent="0.25">
      <c r="I143" s="61" t="s">
        <v>1767</v>
      </c>
      <c r="T143" s="57"/>
    </row>
    <row r="144" spans="9:20" x14ac:dyDescent="0.25">
      <c r="I144" s="61" t="s">
        <v>1335</v>
      </c>
      <c r="T144" s="57"/>
    </row>
    <row r="145" spans="9:20" x14ac:dyDescent="0.25">
      <c r="I145" s="61" t="s">
        <v>1336</v>
      </c>
      <c r="T145" s="57"/>
    </row>
    <row r="146" spans="9:20" x14ac:dyDescent="0.25">
      <c r="I146" s="61" t="s">
        <v>1337</v>
      </c>
      <c r="T146" s="57"/>
    </row>
    <row r="147" spans="9:20" x14ac:dyDescent="0.25">
      <c r="I147" s="61" t="s">
        <v>1338</v>
      </c>
      <c r="T147" s="57"/>
    </row>
    <row r="148" spans="9:20" x14ac:dyDescent="0.25">
      <c r="I148" s="61" t="s">
        <v>1339</v>
      </c>
      <c r="T148" s="57"/>
    </row>
    <row r="149" spans="9:20" x14ac:dyDescent="0.25">
      <c r="I149" s="61" t="s">
        <v>1340</v>
      </c>
      <c r="T149" s="57"/>
    </row>
    <row r="150" spans="9:20" x14ac:dyDescent="0.25">
      <c r="I150" s="61" t="s">
        <v>1768</v>
      </c>
      <c r="T150" s="57"/>
    </row>
    <row r="151" spans="9:20" x14ac:dyDescent="0.25">
      <c r="I151" s="61" t="s">
        <v>1341</v>
      </c>
      <c r="T151" s="57"/>
    </row>
    <row r="152" spans="9:20" x14ac:dyDescent="0.25">
      <c r="I152" s="61" t="s">
        <v>1769</v>
      </c>
      <c r="T152" s="57"/>
    </row>
    <row r="153" spans="9:20" x14ac:dyDescent="0.25">
      <c r="I153" s="61" t="s">
        <v>1342</v>
      </c>
      <c r="T153" s="57"/>
    </row>
    <row r="154" spans="9:20" x14ac:dyDescent="0.25">
      <c r="I154" s="61" t="s">
        <v>1343</v>
      </c>
      <c r="T154" s="60"/>
    </row>
    <row r="155" spans="9:20" x14ac:dyDescent="0.25">
      <c r="I155" s="61" t="s">
        <v>1770</v>
      </c>
      <c r="T155" s="57"/>
    </row>
    <row r="156" spans="9:20" x14ac:dyDescent="0.25">
      <c r="I156" s="61" t="s">
        <v>1344</v>
      </c>
      <c r="T156" s="57"/>
    </row>
    <row r="157" spans="9:20" x14ac:dyDescent="0.25">
      <c r="I157" s="61" t="s">
        <v>1345</v>
      </c>
      <c r="T157" s="57"/>
    </row>
    <row r="158" spans="9:20" x14ac:dyDescent="0.25">
      <c r="I158" s="61" t="s">
        <v>1346</v>
      </c>
      <c r="T158" s="59"/>
    </row>
    <row r="159" spans="9:20" x14ac:dyDescent="0.25">
      <c r="I159" s="61" t="s">
        <v>1347</v>
      </c>
      <c r="T159" s="57"/>
    </row>
    <row r="160" spans="9:20" x14ac:dyDescent="0.25">
      <c r="I160" s="61" t="s">
        <v>1771</v>
      </c>
      <c r="T160" s="57"/>
    </row>
    <row r="161" spans="9:20" x14ac:dyDescent="0.25">
      <c r="I161" s="61" t="s">
        <v>1348</v>
      </c>
      <c r="T161" s="57"/>
    </row>
    <row r="162" spans="9:20" x14ac:dyDescent="0.25">
      <c r="I162" s="61" t="s">
        <v>1349</v>
      </c>
      <c r="T162" s="57"/>
    </row>
    <row r="163" spans="9:20" x14ac:dyDescent="0.25">
      <c r="I163" s="61" t="s">
        <v>1350</v>
      </c>
      <c r="T163" s="57"/>
    </row>
    <row r="164" spans="9:20" x14ac:dyDescent="0.25">
      <c r="I164" s="61" t="s">
        <v>1351</v>
      </c>
      <c r="T164" s="57"/>
    </row>
    <row r="165" spans="9:20" x14ac:dyDescent="0.25">
      <c r="I165" s="61" t="s">
        <v>1772</v>
      </c>
      <c r="T165" s="57"/>
    </row>
    <row r="166" spans="9:20" x14ac:dyDescent="0.25">
      <c r="I166" s="61" t="s">
        <v>1352</v>
      </c>
      <c r="T166" s="57"/>
    </row>
    <row r="167" spans="9:20" x14ac:dyDescent="0.25">
      <c r="I167" s="61" t="s">
        <v>1773</v>
      </c>
      <c r="T167" s="57"/>
    </row>
    <row r="168" spans="9:20" x14ac:dyDescent="0.25">
      <c r="I168" s="61" t="s">
        <v>1353</v>
      </c>
      <c r="T168" s="57"/>
    </row>
    <row r="169" spans="9:20" x14ac:dyDescent="0.25">
      <c r="I169" s="61" t="s">
        <v>1354</v>
      </c>
      <c r="T169" s="57"/>
    </row>
    <row r="170" spans="9:20" x14ac:dyDescent="0.25">
      <c r="I170" s="61" t="s">
        <v>1355</v>
      </c>
      <c r="T170" s="57"/>
    </row>
    <row r="171" spans="9:20" x14ac:dyDescent="0.25">
      <c r="I171" s="61" t="s">
        <v>1356</v>
      </c>
      <c r="T171" s="57"/>
    </row>
    <row r="172" spans="9:20" x14ac:dyDescent="0.25">
      <c r="I172" s="61" t="s">
        <v>1774</v>
      </c>
      <c r="T172" s="57"/>
    </row>
    <row r="173" spans="9:20" x14ac:dyDescent="0.25">
      <c r="I173" s="61" t="s">
        <v>1357</v>
      </c>
      <c r="T173" s="57"/>
    </row>
    <row r="174" spans="9:20" x14ac:dyDescent="0.25">
      <c r="I174" s="61" t="s">
        <v>1775</v>
      </c>
      <c r="T174" s="60"/>
    </row>
    <row r="175" spans="9:20" x14ac:dyDescent="0.25">
      <c r="I175" s="61" t="s">
        <v>1358</v>
      </c>
      <c r="T175" s="57"/>
    </row>
    <row r="176" spans="9:20" x14ac:dyDescent="0.25">
      <c r="I176" s="61" t="s">
        <v>1359</v>
      </c>
      <c r="T176" s="57"/>
    </row>
    <row r="177" spans="1:20" x14ac:dyDescent="0.25">
      <c r="I177" s="61" t="s">
        <v>1776</v>
      </c>
      <c r="T177" s="57"/>
    </row>
    <row r="178" spans="1:20" x14ac:dyDescent="0.25">
      <c r="I178" s="61" t="s">
        <v>1777</v>
      </c>
      <c r="T178" s="59"/>
    </row>
    <row r="179" spans="1:20" x14ac:dyDescent="0.25">
      <c r="I179" s="61" t="s">
        <v>1778</v>
      </c>
      <c r="T179" s="57"/>
    </row>
    <row r="180" spans="1:20" x14ac:dyDescent="0.25">
      <c r="I180" s="61" t="s">
        <v>1779</v>
      </c>
      <c r="T180" s="57"/>
    </row>
    <row r="181" spans="1:20" x14ac:dyDescent="0.25">
      <c r="I181" s="61" t="s">
        <v>1360</v>
      </c>
      <c r="T181" s="57"/>
    </row>
    <row r="182" spans="1:20" x14ac:dyDescent="0.25">
      <c r="I182" s="61" t="s">
        <v>1361</v>
      </c>
      <c r="T182" s="57"/>
    </row>
    <row r="183" spans="1:20" x14ac:dyDescent="0.25">
      <c r="I183" s="61" t="s">
        <v>1362</v>
      </c>
      <c r="T183" s="57"/>
    </row>
    <row r="184" spans="1:20" x14ac:dyDescent="0.25">
      <c r="I184" s="61" t="s">
        <v>1363</v>
      </c>
      <c r="T184" s="57"/>
    </row>
    <row r="185" spans="1:20" x14ac:dyDescent="0.25">
      <c r="I185" s="61" t="s">
        <v>1364</v>
      </c>
      <c r="T185" s="57"/>
    </row>
    <row r="186" spans="1:20" x14ac:dyDescent="0.25">
      <c r="I186" s="61" t="s">
        <v>1365</v>
      </c>
      <c r="T186" s="57"/>
    </row>
    <row r="187" spans="1:20" x14ac:dyDescent="0.25">
      <c r="I187" s="61" t="s">
        <v>1366</v>
      </c>
      <c r="T187" s="57"/>
    </row>
    <row r="188" spans="1:20" x14ac:dyDescent="0.25">
      <c r="I188" s="61" t="s">
        <v>1367</v>
      </c>
      <c r="T188" s="57"/>
    </row>
    <row r="189" spans="1:20" x14ac:dyDescent="0.25">
      <c r="I189" s="61" t="s">
        <v>1368</v>
      </c>
      <c r="T189" s="57"/>
    </row>
    <row r="190" spans="1:20" x14ac:dyDescent="0.25">
      <c r="I190" s="61" t="s">
        <v>1369</v>
      </c>
      <c r="T190" s="57"/>
    </row>
    <row r="191" spans="1:20" x14ac:dyDescent="0.25">
      <c r="A191" s="1443"/>
      <c r="I191" s="61" t="s">
        <v>1370</v>
      </c>
      <c r="T191" s="57"/>
    </row>
    <row r="192" spans="1:20" x14ac:dyDescent="0.25">
      <c r="A192" s="1443"/>
      <c r="I192" s="61" t="s">
        <v>1371</v>
      </c>
      <c r="T192" s="57"/>
    </row>
    <row r="193" spans="1:20" x14ac:dyDescent="0.25">
      <c r="I193" s="61" t="s">
        <v>1372</v>
      </c>
      <c r="T193" s="57"/>
    </row>
    <row r="194" spans="1:20" x14ac:dyDescent="0.25">
      <c r="I194" s="61" t="s">
        <v>1373</v>
      </c>
      <c r="T194" s="60"/>
    </row>
    <row r="195" spans="1:20" x14ac:dyDescent="0.25">
      <c r="I195" s="61" t="s">
        <v>1374</v>
      </c>
      <c r="T195" s="57"/>
    </row>
    <row r="196" spans="1:20" x14ac:dyDescent="0.25">
      <c r="A196" s="1443"/>
      <c r="I196" s="61" t="s">
        <v>1375</v>
      </c>
    </row>
    <row r="197" spans="1:20" x14ac:dyDescent="0.25">
      <c r="A197" s="1443"/>
      <c r="I197" s="61" t="s">
        <v>1376</v>
      </c>
    </row>
    <row r="198" spans="1:20" x14ac:dyDescent="0.25">
      <c r="I198" s="61" t="s">
        <v>1780</v>
      </c>
    </row>
    <row r="199" spans="1:20" x14ac:dyDescent="0.25">
      <c r="A199" s="1443"/>
      <c r="I199" s="61" t="s">
        <v>1377</v>
      </c>
    </row>
    <row r="200" spans="1:20" x14ac:dyDescent="0.25">
      <c r="A200" s="1445"/>
      <c r="I200" s="61" t="s">
        <v>1378</v>
      </c>
    </row>
    <row r="201" spans="1:20" x14ac:dyDescent="0.25">
      <c r="I201" s="61" t="s">
        <v>1379</v>
      </c>
    </row>
    <row r="202" spans="1:20" x14ac:dyDescent="0.25">
      <c r="I202" s="61" t="s">
        <v>1380</v>
      </c>
    </row>
    <row r="203" spans="1:20" x14ac:dyDescent="0.25">
      <c r="I203" s="61" t="s">
        <v>1781</v>
      </c>
    </row>
    <row r="204" spans="1:20" x14ac:dyDescent="0.25">
      <c r="I204" s="61" t="s">
        <v>1782</v>
      </c>
    </row>
    <row r="205" spans="1:20" x14ac:dyDescent="0.25">
      <c r="I205" s="61" t="s">
        <v>27</v>
      </c>
    </row>
    <row r="206" spans="1:20" x14ac:dyDescent="0.25">
      <c r="I206" s="61" t="s">
        <v>562</v>
      </c>
    </row>
    <row r="207" spans="1:20" x14ac:dyDescent="0.25">
      <c r="I207" s="61" t="s">
        <v>1783</v>
      </c>
    </row>
    <row r="208" spans="1:20" x14ac:dyDescent="0.25">
      <c r="I208" s="1356" t="s">
        <v>943</v>
      </c>
    </row>
    <row r="209" spans="9:9" x14ac:dyDescent="0.25">
      <c r="I209" s="61" t="s">
        <v>1784</v>
      </c>
    </row>
    <row r="210" spans="9:9" x14ac:dyDescent="0.25">
      <c r="I210" s="61" t="s">
        <v>1381</v>
      </c>
    </row>
    <row r="211" spans="9:9" x14ac:dyDescent="0.25">
      <c r="I211" s="61" t="s">
        <v>1382</v>
      </c>
    </row>
    <row r="212" spans="9:9" x14ac:dyDescent="0.25">
      <c r="I212" s="61" t="s">
        <v>941</v>
      </c>
    </row>
    <row r="213" spans="9:9" x14ac:dyDescent="0.25">
      <c r="I213" s="1446"/>
    </row>
    <row r="214" spans="9:9" x14ac:dyDescent="0.25">
      <c r="I214" s="1447"/>
    </row>
    <row r="215" spans="9:9" x14ac:dyDescent="0.25">
      <c r="I215" s="1446"/>
    </row>
    <row r="216" spans="9:9" x14ac:dyDescent="0.25">
      <c r="I216" s="1446"/>
    </row>
    <row r="217" spans="9:9" x14ac:dyDescent="0.25">
      <c r="I217" s="1448"/>
    </row>
    <row r="218" spans="9:9" x14ac:dyDescent="0.25">
      <c r="I218" s="1447"/>
    </row>
    <row r="219" spans="9:9" x14ac:dyDescent="0.25">
      <c r="I219" s="1446"/>
    </row>
    <row r="220" spans="9:9" x14ac:dyDescent="0.25">
      <c r="I220" s="1446"/>
    </row>
    <row r="221" spans="9:9" x14ac:dyDescent="0.25">
      <c r="I221" s="1446"/>
    </row>
    <row r="222" spans="9:9" x14ac:dyDescent="0.25">
      <c r="I222" s="1446"/>
    </row>
    <row r="223" spans="9:9" x14ac:dyDescent="0.25">
      <c r="I223" s="1447"/>
    </row>
    <row r="224" spans="9:9" x14ac:dyDescent="0.25">
      <c r="I224" s="1447"/>
    </row>
    <row r="225" spans="9:9" x14ac:dyDescent="0.25">
      <c r="I225" s="1446"/>
    </row>
    <row r="226" spans="9:9" x14ac:dyDescent="0.25">
      <c r="I226" s="1447"/>
    </row>
    <row r="227" spans="9:9" x14ac:dyDescent="0.25">
      <c r="I227" s="1415"/>
    </row>
    <row r="228" spans="9:9" x14ac:dyDescent="0.25">
      <c r="I228" s="1415"/>
    </row>
    <row r="229" spans="9:9" x14ac:dyDescent="0.25">
      <c r="I229" s="1415"/>
    </row>
    <row r="230" spans="9:9" x14ac:dyDescent="0.25">
      <c r="I230" s="1415"/>
    </row>
    <row r="231" spans="9:9" x14ac:dyDescent="0.25">
      <c r="I231" s="1415"/>
    </row>
    <row r="232" spans="9:9" x14ac:dyDescent="0.25">
      <c r="I232" s="1415"/>
    </row>
    <row r="233" spans="9:9" x14ac:dyDescent="0.25">
      <c r="I233" s="1415"/>
    </row>
    <row r="234" spans="9:9" x14ac:dyDescent="0.25">
      <c r="I234" s="1415"/>
    </row>
    <row r="235" spans="9:9" x14ac:dyDescent="0.25">
      <c r="I235" s="1415"/>
    </row>
    <row r="236" spans="9:9" x14ac:dyDescent="0.25">
      <c r="I236" s="1415"/>
    </row>
    <row r="237" spans="9:9" x14ac:dyDescent="0.25">
      <c r="I237" s="1415"/>
    </row>
    <row r="238" spans="9:9" x14ac:dyDescent="0.25">
      <c r="I238" s="1415"/>
    </row>
    <row r="239" spans="9:9" x14ac:dyDescent="0.25">
      <c r="I239" s="1415"/>
    </row>
    <row r="240" spans="9:9" x14ac:dyDescent="0.25">
      <c r="I240" s="1415"/>
    </row>
    <row r="241" spans="9:9" x14ac:dyDescent="0.25">
      <c r="I241" s="1415"/>
    </row>
    <row r="242" spans="9:9" x14ac:dyDescent="0.25">
      <c r="I242" s="1415"/>
    </row>
    <row r="243" spans="9:9" x14ac:dyDescent="0.25">
      <c r="I243" s="1415"/>
    </row>
    <row r="244" spans="9:9" x14ac:dyDescent="0.25">
      <c r="I244" s="1415"/>
    </row>
    <row r="300" spans="2:11" s="61" customFormat="1" x14ac:dyDescent="0.25">
      <c r="B300" s="1362"/>
      <c r="C300" s="1362"/>
      <c r="D300" s="1362"/>
      <c r="E300" s="1362"/>
      <c r="F300" s="1362"/>
      <c r="G300" s="1362"/>
      <c r="H300" s="1362"/>
      <c r="K300" s="264"/>
    </row>
    <row r="301" spans="2:11" s="61" customFormat="1" x14ac:dyDescent="0.25">
      <c r="B301" s="1362"/>
      <c r="C301" s="1362"/>
      <c r="D301" s="1362"/>
      <c r="E301" s="1362"/>
      <c r="F301" s="1362"/>
      <c r="G301" s="1362"/>
      <c r="H301" s="1362"/>
    </row>
    <row r="302" spans="2:11" s="61" customFormat="1" ht="84" customHeight="1" x14ac:dyDescent="0.25">
      <c r="B302" s="1362"/>
      <c r="C302" s="1362"/>
      <c r="D302" s="1362"/>
      <c r="E302" s="1362"/>
      <c r="F302" s="1362"/>
      <c r="G302" s="1362"/>
      <c r="H302" s="1362"/>
    </row>
    <row r="303" spans="2:11" s="61" customFormat="1" x14ac:dyDescent="0.25">
      <c r="B303" s="1362"/>
      <c r="C303" s="1362"/>
      <c r="D303" s="1362"/>
      <c r="E303" s="1362"/>
      <c r="F303" s="1362"/>
      <c r="G303" s="1362"/>
      <c r="H303" s="1362"/>
    </row>
    <row r="304" spans="2:11" s="61" customFormat="1" x14ac:dyDescent="0.25">
      <c r="B304" s="1362"/>
      <c r="C304" s="1362"/>
      <c r="D304" s="1362"/>
      <c r="E304" s="1362"/>
      <c r="F304" s="1362"/>
      <c r="G304" s="1362"/>
      <c r="H304" s="1362"/>
    </row>
    <row r="305" spans="2:8" s="61" customFormat="1" ht="84.75" customHeight="1" x14ac:dyDescent="0.25">
      <c r="B305" s="1362"/>
      <c r="C305" s="1362"/>
      <c r="D305" s="1362"/>
      <c r="E305" s="1362"/>
      <c r="F305" s="1362"/>
      <c r="G305" s="1362"/>
      <c r="H305" s="1362"/>
    </row>
    <row r="306" spans="2:8" s="61" customFormat="1" ht="84.75" customHeight="1" x14ac:dyDescent="0.25">
      <c r="B306" s="1362"/>
      <c r="C306" s="1362"/>
      <c r="D306" s="1362"/>
      <c r="E306" s="1362"/>
      <c r="F306" s="1362"/>
      <c r="G306" s="1362"/>
      <c r="H306" s="1362"/>
    </row>
    <row r="307" spans="2:8" s="61" customFormat="1" ht="84.75" customHeight="1" x14ac:dyDescent="0.25">
      <c r="B307" s="1362"/>
      <c r="C307" s="1362"/>
      <c r="D307" s="1362"/>
      <c r="E307" s="1362"/>
      <c r="F307" s="1362"/>
      <c r="G307" s="1362"/>
      <c r="H307" s="1362"/>
    </row>
    <row r="308" spans="2:8" s="61" customFormat="1" ht="84.75" customHeight="1" x14ac:dyDescent="0.25">
      <c r="B308" s="1362"/>
      <c r="C308" s="1362"/>
      <c r="D308" s="1362"/>
      <c r="E308" s="1362"/>
      <c r="F308" s="1362"/>
      <c r="G308" s="1362"/>
      <c r="H308" s="1362"/>
    </row>
    <row r="309" spans="2:8" s="61" customFormat="1" x14ac:dyDescent="0.25">
      <c r="B309" s="1362"/>
      <c r="C309" s="1362"/>
      <c r="D309" s="1362"/>
      <c r="E309" s="1362"/>
      <c r="F309" s="1362"/>
      <c r="G309" s="1362"/>
      <c r="H309" s="1362"/>
    </row>
    <row r="310" spans="2:8" s="61" customFormat="1" x14ac:dyDescent="0.25">
      <c r="B310" s="1362"/>
      <c r="C310" s="1362"/>
      <c r="D310" s="1362"/>
      <c r="E310" s="1362"/>
      <c r="F310" s="1362"/>
      <c r="G310" s="1362"/>
      <c r="H310" s="1362"/>
    </row>
    <row r="311" spans="2:8" s="61" customFormat="1" x14ac:dyDescent="0.25">
      <c r="B311" s="1362"/>
      <c r="C311" s="1362"/>
      <c r="D311" s="1362"/>
      <c r="E311" s="1362"/>
      <c r="F311" s="1362"/>
      <c r="G311" s="1362"/>
      <c r="H311" s="1362"/>
    </row>
    <row r="312" spans="2:8" s="61" customFormat="1" x14ac:dyDescent="0.25">
      <c r="B312" s="1362"/>
      <c r="C312" s="1362"/>
      <c r="D312" s="1362"/>
      <c r="E312" s="1362"/>
      <c r="F312" s="1362"/>
      <c r="G312" s="1362"/>
      <c r="H312" s="1362"/>
    </row>
    <row r="313" spans="2:8" s="61" customFormat="1" x14ac:dyDescent="0.25">
      <c r="B313" s="1362"/>
      <c r="C313" s="1362"/>
      <c r="D313" s="1362"/>
      <c r="E313" s="1362"/>
      <c r="F313" s="1362"/>
      <c r="G313" s="1362"/>
      <c r="H313" s="1362"/>
    </row>
    <row r="314" spans="2:8" s="61" customFormat="1" x14ac:dyDescent="0.25">
      <c r="B314" s="1362"/>
      <c r="C314" s="1362"/>
      <c r="D314" s="1362"/>
      <c r="E314" s="1362"/>
      <c r="F314" s="1362"/>
      <c r="G314" s="1362"/>
      <c r="H314" s="1362"/>
    </row>
    <row r="315" spans="2:8" s="61" customFormat="1" x14ac:dyDescent="0.25">
      <c r="B315" s="1362"/>
      <c r="C315" s="1362"/>
      <c r="D315" s="1362"/>
      <c r="E315" s="1362"/>
      <c r="F315" s="1362"/>
      <c r="G315" s="1362"/>
      <c r="H315" s="1362"/>
    </row>
    <row r="316" spans="2:8" s="61" customFormat="1" x14ac:dyDescent="0.25">
      <c r="B316" s="1362"/>
      <c r="C316" s="1362"/>
      <c r="D316" s="1362"/>
      <c r="E316" s="1362"/>
      <c r="F316" s="1362"/>
      <c r="G316" s="1362"/>
      <c r="H316" s="1362"/>
    </row>
    <row r="317" spans="2:8" s="61" customFormat="1" x14ac:dyDescent="0.25">
      <c r="B317" s="1362"/>
      <c r="C317" s="1362"/>
      <c r="D317" s="1362"/>
      <c r="E317" s="1362"/>
      <c r="F317" s="1362"/>
      <c r="G317" s="1362"/>
      <c r="H317" s="1362"/>
    </row>
    <row r="318" spans="2:8" s="61" customFormat="1" x14ac:dyDescent="0.25">
      <c r="B318" s="1362"/>
      <c r="C318" s="1362"/>
      <c r="D318" s="1362"/>
      <c r="E318" s="1362"/>
      <c r="F318" s="1362"/>
      <c r="G318" s="1362"/>
      <c r="H318" s="1362"/>
    </row>
    <row r="319" spans="2:8" s="61" customFormat="1" x14ac:dyDescent="0.25">
      <c r="B319" s="1362"/>
      <c r="C319" s="1362"/>
      <c r="D319" s="1362"/>
      <c r="E319" s="1362"/>
      <c r="F319" s="1362"/>
      <c r="G319" s="1362"/>
      <c r="H319" s="1362"/>
    </row>
    <row r="320" spans="2:8" s="61" customFormat="1" x14ac:dyDescent="0.25">
      <c r="B320" s="1362"/>
      <c r="C320" s="1362"/>
      <c r="D320" s="1362"/>
      <c r="E320" s="1362"/>
      <c r="F320" s="1362"/>
      <c r="G320" s="1362"/>
      <c r="H320" s="1362"/>
    </row>
    <row r="321" spans="2:8" s="61" customFormat="1" x14ac:dyDescent="0.25">
      <c r="B321" s="1362"/>
      <c r="C321" s="1362"/>
      <c r="D321" s="1362"/>
      <c r="E321" s="1362"/>
      <c r="F321" s="1362"/>
      <c r="G321" s="1362"/>
      <c r="H321" s="1362"/>
    </row>
    <row r="322" spans="2:8" s="61" customFormat="1" x14ac:dyDescent="0.25">
      <c r="B322" s="1362"/>
      <c r="C322" s="1362"/>
      <c r="D322" s="1362"/>
      <c r="E322" s="1362"/>
      <c r="F322" s="1362"/>
      <c r="G322" s="1362"/>
      <c r="H322" s="1362"/>
    </row>
    <row r="323" spans="2:8" s="61" customFormat="1" x14ac:dyDescent="0.25">
      <c r="B323" s="1362"/>
      <c r="C323" s="1362"/>
      <c r="D323" s="1362"/>
      <c r="E323" s="1362"/>
      <c r="F323" s="1362"/>
      <c r="G323" s="1362"/>
      <c r="H323" s="1362"/>
    </row>
    <row r="324" spans="2:8" s="61" customFormat="1" x14ac:dyDescent="0.25">
      <c r="B324" s="1362"/>
      <c r="C324" s="1362"/>
      <c r="D324" s="1362"/>
      <c r="E324" s="1362"/>
      <c r="F324" s="1362"/>
      <c r="G324" s="1362"/>
      <c r="H324" s="1362"/>
    </row>
    <row r="325" spans="2:8" s="61" customFormat="1" x14ac:dyDescent="0.25">
      <c r="B325" s="1362"/>
      <c r="C325" s="1362"/>
      <c r="D325" s="1362"/>
      <c r="E325" s="1362"/>
      <c r="F325" s="1362"/>
      <c r="G325" s="1362"/>
      <c r="H325" s="1362"/>
    </row>
    <row r="326" spans="2:8" s="61" customFormat="1" x14ac:dyDescent="0.25">
      <c r="B326" s="1362"/>
      <c r="C326" s="1362"/>
      <c r="D326" s="1362"/>
      <c r="E326" s="1362"/>
      <c r="F326" s="1362"/>
      <c r="G326" s="1362"/>
      <c r="H326" s="1362"/>
    </row>
    <row r="327" spans="2:8" s="61" customFormat="1" x14ac:dyDescent="0.25">
      <c r="B327" s="1362"/>
      <c r="C327" s="1362"/>
      <c r="D327" s="1362"/>
      <c r="E327" s="1362"/>
      <c r="F327" s="1362"/>
      <c r="G327" s="1362"/>
      <c r="H327" s="1362"/>
    </row>
    <row r="328" spans="2:8" s="61" customFormat="1" x14ac:dyDescent="0.25">
      <c r="B328" s="1362"/>
      <c r="C328" s="1362"/>
      <c r="D328" s="1362"/>
      <c r="E328" s="1362"/>
      <c r="F328" s="1362"/>
      <c r="G328" s="1362"/>
      <c r="H328" s="1362"/>
    </row>
    <row r="329" spans="2:8" s="61" customFormat="1" x14ac:dyDescent="0.25">
      <c r="B329" s="1362"/>
      <c r="C329" s="1362"/>
      <c r="D329" s="1362"/>
      <c r="E329" s="1362"/>
      <c r="F329" s="1362"/>
      <c r="G329" s="1362"/>
      <c r="H329" s="1362"/>
    </row>
    <row r="330" spans="2:8" s="61" customFormat="1" x14ac:dyDescent="0.25">
      <c r="B330" s="1362"/>
      <c r="C330" s="1362"/>
      <c r="D330" s="1362"/>
      <c r="E330" s="1362"/>
      <c r="F330" s="1362"/>
      <c r="G330" s="1362"/>
      <c r="H330" s="1362"/>
    </row>
    <row r="331" spans="2:8" s="61" customFormat="1" x14ac:dyDescent="0.25">
      <c r="B331" s="1362"/>
      <c r="C331" s="1362"/>
      <c r="D331" s="1362"/>
      <c r="E331" s="1362"/>
      <c r="F331" s="1362"/>
      <c r="G331" s="1362"/>
      <c r="H331" s="1362"/>
    </row>
    <row r="332" spans="2:8" s="61" customFormat="1" x14ac:dyDescent="0.25">
      <c r="B332" s="1362"/>
      <c r="C332" s="1362"/>
      <c r="D332" s="1362"/>
      <c r="E332" s="1362"/>
      <c r="F332" s="1362"/>
      <c r="G332" s="1362"/>
      <c r="H332" s="1362"/>
    </row>
    <row r="333" spans="2:8" s="61" customFormat="1" x14ac:dyDescent="0.25">
      <c r="B333" s="1362"/>
      <c r="C333" s="1362"/>
      <c r="D333" s="1362"/>
      <c r="E333" s="1362"/>
      <c r="F333" s="1362"/>
      <c r="G333" s="1362"/>
      <c r="H333" s="1362"/>
    </row>
    <row r="334" spans="2:8" s="61" customFormat="1" x14ac:dyDescent="0.25">
      <c r="B334" s="1362"/>
      <c r="C334" s="1362"/>
      <c r="D334" s="1362"/>
      <c r="E334" s="1362"/>
      <c r="F334" s="1362"/>
      <c r="G334" s="1362"/>
      <c r="H334" s="1362"/>
    </row>
    <row r="335" spans="2:8" s="61" customFormat="1" x14ac:dyDescent="0.25">
      <c r="B335" s="1362"/>
      <c r="C335" s="1362"/>
      <c r="D335" s="1362"/>
      <c r="E335" s="1362"/>
      <c r="F335" s="1362"/>
      <c r="G335" s="1362"/>
      <c r="H335" s="1362"/>
    </row>
    <row r="336" spans="2:8" s="61" customFormat="1" x14ac:dyDescent="0.25">
      <c r="B336" s="1362"/>
      <c r="C336" s="1362"/>
      <c r="D336" s="1362"/>
      <c r="E336" s="1362"/>
      <c r="F336" s="1362"/>
      <c r="G336" s="1362"/>
      <c r="H336" s="1362"/>
    </row>
    <row r="337" spans="2:8" s="61" customFormat="1" x14ac:dyDescent="0.25">
      <c r="B337" s="1362"/>
      <c r="C337" s="1362"/>
      <c r="D337" s="1362"/>
      <c r="E337" s="1362"/>
      <c r="F337" s="1362"/>
      <c r="G337" s="1362"/>
      <c r="H337" s="1362"/>
    </row>
    <row r="338" spans="2:8" s="61" customFormat="1" x14ac:dyDescent="0.25">
      <c r="B338" s="1362"/>
      <c r="C338" s="1362"/>
      <c r="D338" s="1362"/>
      <c r="E338" s="1362"/>
      <c r="F338" s="1362"/>
      <c r="G338" s="1362"/>
      <c r="H338" s="1362"/>
    </row>
    <row r="339" spans="2:8" s="61" customFormat="1" x14ac:dyDescent="0.25">
      <c r="B339" s="1362"/>
      <c r="C339" s="1362"/>
      <c r="D339" s="1362"/>
      <c r="E339" s="1362"/>
      <c r="F339" s="1362"/>
      <c r="G339" s="1362"/>
      <c r="H339" s="1362"/>
    </row>
    <row r="340" spans="2:8" s="61" customFormat="1" x14ac:dyDescent="0.25">
      <c r="B340" s="1362"/>
      <c r="C340" s="1362"/>
      <c r="D340" s="1362"/>
      <c r="E340" s="1362"/>
      <c r="F340" s="1362"/>
      <c r="G340" s="1362"/>
      <c r="H340" s="1362"/>
    </row>
    <row r="341" spans="2:8" s="61" customFormat="1" x14ac:dyDescent="0.25">
      <c r="B341" s="1362"/>
      <c r="C341" s="1362"/>
      <c r="D341" s="1362"/>
      <c r="E341" s="1362"/>
      <c r="F341" s="1362"/>
      <c r="G341" s="1362"/>
      <c r="H341" s="1362"/>
    </row>
    <row r="342" spans="2:8" s="61" customFormat="1" x14ac:dyDescent="0.25">
      <c r="B342" s="1362"/>
      <c r="C342" s="1362"/>
      <c r="D342" s="1362"/>
      <c r="E342" s="1362"/>
      <c r="F342" s="1362"/>
      <c r="G342" s="1362"/>
      <c r="H342" s="1362"/>
    </row>
    <row r="343" spans="2:8" s="61" customFormat="1" x14ac:dyDescent="0.25">
      <c r="B343" s="1362"/>
      <c r="C343" s="1362"/>
      <c r="D343" s="1362"/>
      <c r="E343" s="1362"/>
      <c r="F343" s="1362"/>
      <c r="G343" s="1362"/>
      <c r="H343" s="1362"/>
    </row>
    <row r="344" spans="2:8" s="61" customFormat="1" x14ac:dyDescent="0.25">
      <c r="B344" s="1362"/>
      <c r="C344" s="1362"/>
      <c r="D344" s="1362"/>
      <c r="E344" s="1362"/>
      <c r="F344" s="1362"/>
      <c r="G344" s="1362"/>
      <c r="H344" s="1362"/>
    </row>
    <row r="345" spans="2:8" s="61" customFormat="1" x14ac:dyDescent="0.25">
      <c r="B345" s="1362"/>
      <c r="C345" s="1362"/>
      <c r="D345" s="1362"/>
      <c r="E345" s="1362"/>
      <c r="F345" s="1362"/>
      <c r="G345" s="1362"/>
      <c r="H345" s="1362"/>
    </row>
    <row r="346" spans="2:8" s="61" customFormat="1" x14ac:dyDescent="0.25">
      <c r="B346" s="1362"/>
      <c r="C346" s="1362"/>
      <c r="D346" s="1362"/>
      <c r="E346" s="1362"/>
      <c r="F346" s="1362"/>
      <c r="G346" s="1362"/>
      <c r="H346" s="1362"/>
    </row>
    <row r="347" spans="2:8" s="61" customFormat="1" x14ac:dyDescent="0.25">
      <c r="B347" s="1362"/>
      <c r="C347" s="1362"/>
      <c r="D347" s="1362"/>
      <c r="E347" s="1362"/>
      <c r="F347" s="1362"/>
      <c r="G347" s="1362"/>
      <c r="H347" s="1362"/>
    </row>
    <row r="349" spans="2:8" s="61" customFormat="1" ht="12.75" x14ac:dyDescent="0.2"/>
    <row r="350" spans="2:8" s="61" customFormat="1" ht="12.75" x14ac:dyDescent="0.2"/>
    <row r="351" spans="2:8" s="61" customFormat="1" ht="12.75" x14ac:dyDescent="0.2"/>
    <row r="352" spans="2:8" s="61" customFormat="1" ht="12.75" x14ac:dyDescent="0.2"/>
    <row r="353" s="61" customFormat="1" ht="12.75" x14ac:dyDescent="0.2"/>
    <row r="354" s="61" customFormat="1" ht="12.75" x14ac:dyDescent="0.2"/>
    <row r="355" s="61" customFormat="1" ht="12.75" x14ac:dyDescent="0.2"/>
    <row r="356" s="61" customFormat="1" ht="12.75" x14ac:dyDescent="0.2"/>
    <row r="357" s="61" customFormat="1" ht="12.75" x14ac:dyDescent="0.2"/>
    <row r="358" s="61" customFormat="1" ht="12.75" x14ac:dyDescent="0.2"/>
    <row r="359" s="61" customFormat="1" ht="12.75" x14ac:dyDescent="0.2"/>
    <row r="360" s="61" customFormat="1" ht="24" customHeight="1" x14ac:dyDescent="0.2"/>
    <row r="361" s="61" customFormat="1" ht="12.75" x14ac:dyDescent="0.2"/>
    <row r="362" s="61" customFormat="1" ht="28.5" customHeight="1" x14ac:dyDescent="0.2"/>
    <row r="363" s="61" customFormat="1" ht="12.75" x14ac:dyDescent="0.2"/>
    <row r="364" s="61" customFormat="1" ht="27" customHeight="1" x14ac:dyDescent="0.2"/>
    <row r="365" s="61" customFormat="1" ht="12.75" x14ac:dyDescent="0.2"/>
    <row r="366" s="61" customFormat="1" ht="12.75" x14ac:dyDescent="0.2"/>
    <row r="367" s="61" customFormat="1" ht="12.75" x14ac:dyDescent="0.2"/>
    <row r="368" s="61" customFormat="1" ht="15" customHeight="1" x14ac:dyDescent="0.2"/>
    <row r="369" s="61" customFormat="1" ht="15" customHeight="1" x14ac:dyDescent="0.2"/>
    <row r="370" s="61" customFormat="1" ht="15" customHeight="1" x14ac:dyDescent="0.2"/>
    <row r="371" s="61" customFormat="1" ht="15" customHeight="1" x14ac:dyDescent="0.2"/>
    <row r="372" s="61" customFormat="1" ht="15" customHeight="1" x14ac:dyDescent="0.2"/>
    <row r="373" s="61" customFormat="1" ht="15" customHeight="1" x14ac:dyDescent="0.2"/>
    <row r="374" s="61" customFormat="1" ht="15" customHeight="1" x14ac:dyDescent="0.2"/>
    <row r="375" s="61" customFormat="1" ht="15" customHeight="1" x14ac:dyDescent="0.2"/>
    <row r="376" s="61" customFormat="1" ht="15" customHeight="1" x14ac:dyDescent="0.2"/>
    <row r="377" s="61" customFormat="1" ht="15" customHeight="1" x14ac:dyDescent="0.2"/>
    <row r="378" s="61" customFormat="1" ht="15" customHeight="1" x14ac:dyDescent="0.2"/>
    <row r="379" s="61" customFormat="1" ht="15" customHeight="1" x14ac:dyDescent="0.2"/>
    <row r="380" s="61" customFormat="1" ht="15" customHeight="1" x14ac:dyDescent="0.2"/>
    <row r="381" s="61" customFormat="1" ht="15" customHeight="1" x14ac:dyDescent="0.2"/>
    <row r="382" s="61" customFormat="1" ht="15" customHeight="1" x14ac:dyDescent="0.2"/>
    <row r="383" s="61" customFormat="1" ht="15" customHeight="1" x14ac:dyDescent="0.2"/>
    <row r="384" s="61" customFormat="1" ht="15" customHeight="1" x14ac:dyDescent="0.2"/>
    <row r="385" s="61" customFormat="1" ht="15" customHeight="1" x14ac:dyDescent="0.2"/>
    <row r="386" s="61" customFormat="1" ht="15" customHeight="1" x14ac:dyDescent="0.2"/>
    <row r="387" s="61" customFormat="1" ht="15" customHeight="1" x14ac:dyDescent="0.2"/>
    <row r="388" s="61" customFormat="1" ht="15" customHeight="1" x14ac:dyDescent="0.2"/>
    <row r="389" s="61" customFormat="1" ht="15" customHeight="1" x14ac:dyDescent="0.2"/>
    <row r="390" s="61" customFormat="1" ht="15" customHeight="1" x14ac:dyDescent="0.2"/>
    <row r="391" s="61" customFormat="1" ht="15" customHeight="1" x14ac:dyDescent="0.2"/>
    <row r="392" s="61" customFormat="1" ht="15" customHeight="1" x14ac:dyDescent="0.2"/>
    <row r="393" s="61" customFormat="1" ht="15" customHeight="1" x14ac:dyDescent="0.2"/>
    <row r="394" s="61" customFormat="1" ht="15" customHeight="1" x14ac:dyDescent="0.2"/>
    <row r="395" s="61" customFormat="1" ht="15" customHeight="1" x14ac:dyDescent="0.2"/>
    <row r="396" s="61" customFormat="1" ht="15" customHeight="1" x14ac:dyDescent="0.2"/>
    <row r="397" s="61" customFormat="1" ht="15" customHeight="1" x14ac:dyDescent="0.2"/>
    <row r="398" s="61" customFormat="1" ht="12.75" x14ac:dyDescent="0.2"/>
    <row r="399" s="61" customFormat="1" ht="15" customHeight="1" x14ac:dyDescent="0.2"/>
    <row r="400" s="61" customFormat="1" ht="15" customHeight="1" x14ac:dyDescent="0.2"/>
    <row r="401" s="61" customFormat="1" ht="15" customHeight="1" x14ac:dyDescent="0.2"/>
    <row r="402" s="61" customFormat="1" ht="12.75" x14ac:dyDescent="0.2"/>
    <row r="403" s="61" customFormat="1" ht="12.75" x14ac:dyDescent="0.2"/>
    <row r="404" s="61" customFormat="1" ht="12.75" x14ac:dyDescent="0.2"/>
    <row r="405" s="61" customFormat="1" ht="12.75" x14ac:dyDescent="0.2"/>
    <row r="406" s="61" customFormat="1" ht="15" customHeight="1" x14ac:dyDescent="0.2"/>
    <row r="407" s="61" customFormat="1" ht="15" customHeight="1" x14ac:dyDescent="0.2"/>
    <row r="408" s="61" customFormat="1" ht="15" customHeight="1" x14ac:dyDescent="0.2"/>
    <row r="409" s="61" customFormat="1" ht="15" customHeight="1" x14ac:dyDescent="0.2"/>
    <row r="410" s="61" customFormat="1" ht="15" customHeight="1" x14ac:dyDescent="0.2"/>
    <row r="411" s="61" customFormat="1" ht="15" customHeight="1" x14ac:dyDescent="0.2"/>
    <row r="412" s="61" customFormat="1" ht="15" customHeight="1" x14ac:dyDescent="0.2"/>
    <row r="413" s="61" customFormat="1" ht="15" customHeight="1" x14ac:dyDescent="0.2"/>
    <row r="414" s="61" customFormat="1" ht="15" customHeight="1" x14ac:dyDescent="0.2"/>
    <row r="415" s="61" customFormat="1" ht="15" customHeight="1" x14ac:dyDescent="0.2"/>
    <row r="416" s="61" customFormat="1" ht="15" customHeight="1" x14ac:dyDescent="0.2"/>
    <row r="417" s="61" customFormat="1" ht="15" customHeight="1" x14ac:dyDescent="0.2"/>
    <row r="418" s="61" customFormat="1" ht="12.75" x14ac:dyDescent="0.2"/>
    <row r="419" s="61" customFormat="1" ht="12.75" x14ac:dyDescent="0.2"/>
    <row r="420" s="61" customFormat="1" ht="12.75" x14ac:dyDescent="0.2"/>
    <row r="421" s="61" customFormat="1" ht="12.75" x14ac:dyDescent="0.2"/>
    <row r="422" s="61" customFormat="1" ht="12.75" x14ac:dyDescent="0.2"/>
    <row r="423" s="61" customFormat="1" ht="15" customHeight="1" x14ac:dyDescent="0.2"/>
    <row r="424" s="61" customFormat="1" ht="12.75" x14ac:dyDescent="0.2"/>
    <row r="425" s="61" customFormat="1" ht="12.75" x14ac:dyDescent="0.2"/>
    <row r="426" s="61" customFormat="1" ht="12.75" x14ac:dyDescent="0.2"/>
    <row r="427" s="61" customFormat="1" ht="12.75" x14ac:dyDescent="0.2"/>
    <row r="428" s="61" customFormat="1" ht="12.75" x14ac:dyDescent="0.2"/>
    <row r="429" s="61" customFormat="1" ht="12.75" x14ac:dyDescent="0.2"/>
    <row r="430" s="61" customFormat="1" ht="12.75" x14ac:dyDescent="0.2"/>
    <row r="431" s="61" customFormat="1" ht="12.75" x14ac:dyDescent="0.2"/>
    <row r="432" s="61" customFormat="1" ht="12.75" x14ac:dyDescent="0.2"/>
    <row r="433" s="61" customFormat="1" ht="15" customHeight="1" x14ac:dyDescent="0.2"/>
    <row r="434" s="61" customFormat="1" ht="15" customHeight="1" x14ac:dyDescent="0.2"/>
    <row r="435" s="61" customFormat="1" ht="15" customHeight="1" x14ac:dyDescent="0.2"/>
    <row r="436" s="61" customFormat="1" ht="15" customHeight="1" x14ac:dyDescent="0.2"/>
    <row r="437" s="61" customFormat="1" ht="15" customHeight="1" x14ac:dyDescent="0.2"/>
    <row r="438" s="61" customFormat="1" ht="15" customHeight="1" x14ac:dyDescent="0.2"/>
    <row r="439" s="61" customFormat="1" ht="15" customHeight="1" x14ac:dyDescent="0.2"/>
    <row r="440" s="61" customFormat="1" ht="15" customHeight="1" x14ac:dyDescent="0.2"/>
    <row r="441" s="61" customFormat="1" ht="12.75" x14ac:dyDescent="0.2"/>
    <row r="442" s="61" customFormat="1" ht="12.75" x14ac:dyDescent="0.2"/>
    <row r="443" s="61" customFormat="1" ht="12.75" x14ac:dyDescent="0.2"/>
    <row r="444" s="61" customFormat="1" ht="12.75" x14ac:dyDescent="0.2"/>
    <row r="445" s="61" customFormat="1" ht="12.75" x14ac:dyDescent="0.2"/>
    <row r="446" s="61" customFormat="1" ht="15" customHeight="1" x14ac:dyDescent="0.2"/>
    <row r="447" s="61" customFormat="1" ht="12.75" x14ac:dyDescent="0.2"/>
    <row r="448" s="61" customFormat="1" ht="15" customHeight="1" x14ac:dyDescent="0.2"/>
    <row r="449" s="61" customFormat="1" ht="12.75" x14ac:dyDescent="0.2"/>
    <row r="450" s="61" customFormat="1" ht="12.75" x14ac:dyDescent="0.2"/>
    <row r="451" s="61" customFormat="1" ht="12.75" x14ac:dyDescent="0.2"/>
    <row r="452" s="61" customFormat="1" ht="12.75" x14ac:dyDescent="0.2"/>
    <row r="453" s="61" customFormat="1" ht="12.75" x14ac:dyDescent="0.2"/>
    <row r="454" s="61" customFormat="1" ht="12.75" x14ac:dyDescent="0.2"/>
    <row r="455" s="61" customFormat="1" ht="12.75" x14ac:dyDescent="0.2"/>
    <row r="456" s="61" customFormat="1" ht="12.75" x14ac:dyDescent="0.2"/>
    <row r="457" s="61" customFormat="1" ht="24.75" customHeight="1" x14ac:dyDescent="0.2"/>
    <row r="458" s="61" customFormat="1" ht="12.75" x14ac:dyDescent="0.2"/>
    <row r="459" s="61" customFormat="1" ht="24" customHeight="1" x14ac:dyDescent="0.2"/>
    <row r="460" s="61" customFormat="1" ht="12.75" x14ac:dyDescent="0.2"/>
    <row r="461" s="61" customFormat="1" ht="24.75" customHeight="1" x14ac:dyDescent="0.2"/>
    <row r="462" s="61" customFormat="1" ht="12.75" x14ac:dyDescent="0.2"/>
    <row r="463" s="61" customFormat="1" ht="25.5" customHeight="1" x14ac:dyDescent="0.2"/>
    <row r="464" s="61" customFormat="1" ht="12.75" x14ac:dyDescent="0.2"/>
    <row r="465" s="61" customFormat="1" ht="12.75" customHeight="1" x14ac:dyDescent="0.2"/>
    <row r="466" s="61" customFormat="1" ht="12.75" x14ac:dyDescent="0.2"/>
    <row r="467" s="61" customFormat="1" ht="12.75" x14ac:dyDescent="0.2"/>
    <row r="468" s="61" customFormat="1" ht="12.75" x14ac:dyDescent="0.2"/>
    <row r="469" s="61" customFormat="1" ht="12.75" x14ac:dyDescent="0.2"/>
    <row r="470" s="61" customFormat="1" ht="12.75" x14ac:dyDescent="0.2"/>
    <row r="471" s="61" customFormat="1" ht="12.75" x14ac:dyDescent="0.2"/>
    <row r="472" s="61" customFormat="1" ht="12.75" x14ac:dyDescent="0.2"/>
    <row r="473" s="61" customFormat="1" ht="12.75" x14ac:dyDescent="0.2"/>
    <row r="474" s="61" customFormat="1" ht="12.75" x14ac:dyDescent="0.2"/>
    <row r="475" s="61" customFormat="1" ht="12.75" x14ac:dyDescent="0.2"/>
    <row r="476" s="61" customFormat="1" ht="12.75" x14ac:dyDescent="0.2"/>
    <row r="477" s="61" customFormat="1" ht="12.75" x14ac:dyDescent="0.2"/>
    <row r="478" s="61" customFormat="1" ht="12.75" x14ac:dyDescent="0.2"/>
    <row r="479" s="61" customFormat="1" ht="12.75" x14ac:dyDescent="0.2"/>
    <row r="480" s="61" customFormat="1" ht="12.75" x14ac:dyDescent="0.2"/>
    <row r="481" s="61" customFormat="1" ht="12.75" x14ac:dyDescent="0.2"/>
    <row r="482" s="61" customFormat="1" ht="12.75" x14ac:dyDescent="0.2"/>
    <row r="483" s="61" customFormat="1" ht="15" customHeight="1" x14ac:dyDescent="0.2"/>
    <row r="484" s="61" customFormat="1" ht="12.75" x14ac:dyDescent="0.2"/>
    <row r="485" s="61" customFormat="1" ht="12.75" x14ac:dyDescent="0.2"/>
    <row r="486" s="61" customFormat="1" ht="12.75" x14ac:dyDescent="0.2"/>
    <row r="487" s="61" customFormat="1" ht="12.75" x14ac:dyDescent="0.2"/>
    <row r="488" s="61" customFormat="1" ht="12.75" x14ac:dyDescent="0.2"/>
    <row r="489" s="61" customFormat="1" ht="12.75" x14ac:dyDescent="0.2"/>
    <row r="490" s="61" customFormat="1" ht="12.75" x14ac:dyDescent="0.2"/>
    <row r="491" s="61" customFormat="1" ht="12.75" x14ac:dyDescent="0.2"/>
  </sheetData>
  <mergeCells count="18">
    <mergeCell ref="AZ13:BA13"/>
    <mergeCell ref="AZ12:BA12"/>
    <mergeCell ref="AZ1:BA1"/>
    <mergeCell ref="AZ2:BA2"/>
    <mergeCell ref="AZ3:BA3"/>
    <mergeCell ref="AZ4:BA4"/>
    <mergeCell ref="AZ5:BA5"/>
    <mergeCell ref="AZ6:BA6"/>
    <mergeCell ref="AZ7:BA7"/>
    <mergeCell ref="AZ8:BA8"/>
    <mergeCell ref="AZ9:BA9"/>
    <mergeCell ref="AZ10:BA10"/>
    <mergeCell ref="AZ11:BA11"/>
    <mergeCell ref="AZ14:BA14"/>
    <mergeCell ref="AZ15:BA15"/>
    <mergeCell ref="AZ16:BA16"/>
    <mergeCell ref="AZ17:BA17"/>
    <mergeCell ref="AZ18:BA18"/>
  </mergeCells>
  <dataValidations count="1">
    <dataValidation allowBlank="1" showInputMessage="1" showErrorMessage="1" sqref="I69"/>
  </dataValidations>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dimension ref="A1:J494"/>
  <sheetViews>
    <sheetView workbookViewId="0">
      <selection activeCell="A53" sqref="A53:XFD195"/>
    </sheetView>
  </sheetViews>
  <sheetFormatPr defaultRowHeight="15" x14ac:dyDescent="0.25"/>
  <cols>
    <col min="1" max="1" width="58.28515625" style="1362" customWidth="1"/>
    <col min="2" max="2" width="16.42578125" style="1362" customWidth="1"/>
    <col min="3" max="3" width="5.7109375" style="1362" customWidth="1"/>
    <col min="4" max="4" width="8" style="1362" customWidth="1"/>
    <col min="5" max="6" width="14.5703125" style="1362" customWidth="1"/>
    <col min="7" max="10" width="9.140625" style="1362"/>
    <col min="11" max="16384" width="9.140625" style="61"/>
  </cols>
  <sheetData>
    <row r="1" spans="1:10" ht="18" x14ac:dyDescent="0.25">
      <c r="A1" s="2531" t="s">
        <v>938</v>
      </c>
      <c r="B1" s="2531"/>
      <c r="C1" s="2531"/>
      <c r="D1" s="2531"/>
      <c r="E1" s="100"/>
      <c r="F1" s="100"/>
      <c r="G1" s="100"/>
      <c r="H1" s="100"/>
      <c r="I1" s="100"/>
    </row>
    <row r="2" spans="1:10" x14ac:dyDescent="0.25">
      <c r="A2" s="68"/>
      <c r="B2" s="68"/>
      <c r="C2" s="68"/>
      <c r="D2" s="68"/>
      <c r="E2" s="68"/>
      <c r="F2" s="68"/>
      <c r="G2" s="68"/>
      <c r="H2" s="68"/>
      <c r="I2" s="68"/>
      <c r="J2" s="1363"/>
    </row>
    <row r="3" spans="1:10" ht="87" customHeight="1" x14ac:dyDescent="0.25">
      <c r="A3" s="2533"/>
      <c r="B3" s="2533"/>
      <c r="C3" s="2533"/>
      <c r="D3" s="2533"/>
    </row>
    <row r="4" spans="1:10" x14ac:dyDescent="0.25">
      <c r="A4" s="46" t="s">
        <v>939</v>
      </c>
      <c r="B4" s="45"/>
      <c r="C4" s="45"/>
      <c r="D4" s="45"/>
      <c r="E4" s="45"/>
      <c r="F4" s="45"/>
      <c r="G4" s="45"/>
      <c r="H4" s="45"/>
      <c r="I4" s="45"/>
    </row>
    <row r="5" spans="1:10" x14ac:dyDescent="0.25">
      <c r="A5" s="45"/>
      <c r="B5" s="45"/>
      <c r="C5" s="45"/>
      <c r="D5" s="45"/>
      <c r="E5" s="45"/>
      <c r="F5" s="45"/>
      <c r="G5" s="45"/>
      <c r="H5" s="45"/>
      <c r="I5" s="45"/>
    </row>
    <row r="6" spans="1:10" ht="87" customHeight="1" x14ac:dyDescent="0.25">
      <c r="A6" s="2533"/>
      <c r="B6" s="2533"/>
      <c r="C6" s="2533"/>
      <c r="D6" s="2533"/>
    </row>
    <row r="7" spans="1:10" ht="87" customHeight="1" x14ac:dyDescent="0.25">
      <c r="A7" s="2533"/>
      <c r="B7" s="2533"/>
      <c r="C7" s="2533"/>
      <c r="D7" s="2533"/>
    </row>
    <row r="8" spans="1:10" ht="87" customHeight="1" x14ac:dyDescent="0.25">
      <c r="A8" s="2533"/>
      <c r="B8" s="2533"/>
      <c r="C8" s="2533"/>
      <c r="D8" s="2533"/>
      <c r="H8" s="45"/>
      <c r="I8" s="75"/>
    </row>
    <row r="9" spans="1:10" ht="87" customHeight="1" x14ac:dyDescent="0.25">
      <c r="A9" s="2533"/>
      <c r="B9" s="2533"/>
      <c r="C9" s="2533"/>
      <c r="D9" s="2533"/>
      <c r="H9" s="45"/>
      <c r="I9" s="75"/>
    </row>
    <row r="10" spans="1:10" x14ac:dyDescent="0.25">
      <c r="G10" s="1363"/>
      <c r="H10" s="45"/>
      <c r="I10" s="75"/>
    </row>
    <row r="11" spans="1:10" x14ac:dyDescent="0.25">
      <c r="A11" s="46" t="s">
        <v>1397</v>
      </c>
      <c r="B11" s="45"/>
      <c r="C11" s="45"/>
      <c r="D11" s="45"/>
      <c r="G11" s="45"/>
      <c r="H11" s="45"/>
      <c r="I11" s="75"/>
    </row>
    <row r="12" spans="1:10" ht="15.75" thickBot="1" x14ac:dyDescent="0.3">
      <c r="A12" s="46"/>
      <c r="B12" s="45"/>
      <c r="C12" s="45"/>
      <c r="D12" s="45"/>
      <c r="G12" s="45"/>
      <c r="H12" s="45"/>
      <c r="I12" s="75"/>
    </row>
    <row r="13" spans="1:10" ht="16.5" thickTop="1" thickBot="1" x14ac:dyDescent="0.3">
      <c r="A13" s="2530"/>
      <c r="B13" s="2530"/>
      <c r="C13" s="94"/>
      <c r="D13" s="95"/>
      <c r="G13" s="69"/>
      <c r="H13" s="45"/>
      <c r="I13" s="75"/>
    </row>
    <row r="14" spans="1:10" ht="16.5" thickTop="1" thickBot="1" x14ac:dyDescent="0.3">
      <c r="A14" s="2530"/>
      <c r="B14" s="2530"/>
      <c r="C14" s="94"/>
      <c r="D14" s="95"/>
      <c r="G14" s="70"/>
      <c r="H14" s="45"/>
      <c r="I14" s="75"/>
    </row>
    <row r="15" spans="1:10" ht="16.5" thickTop="1" thickBot="1" x14ac:dyDescent="0.3">
      <c r="A15" s="2530"/>
      <c r="B15" s="2530"/>
      <c r="C15" s="94"/>
      <c r="D15" s="95"/>
      <c r="G15" s="70"/>
      <c r="H15" s="45"/>
      <c r="I15" s="75"/>
    </row>
    <row r="16" spans="1:10" ht="16.5" thickTop="1" thickBot="1" x14ac:dyDescent="0.3">
      <c r="A16" s="2530"/>
      <c r="B16" s="2530"/>
      <c r="C16" s="94"/>
      <c r="D16" s="95"/>
      <c r="G16" s="70"/>
      <c r="H16" s="45"/>
      <c r="I16" s="75"/>
    </row>
    <row r="17" spans="1:9" ht="16.5" thickTop="1" thickBot="1" x14ac:dyDescent="0.3">
      <c r="A17" s="2530"/>
      <c r="B17" s="2530"/>
      <c r="C17" s="94"/>
      <c r="D17" s="95"/>
      <c r="G17" s="70"/>
      <c r="H17" s="45"/>
      <c r="I17" s="75"/>
    </row>
    <row r="18" spans="1:9" ht="16.5" thickTop="1" thickBot="1" x14ac:dyDescent="0.3">
      <c r="A18" s="2530"/>
      <c r="B18" s="2530"/>
      <c r="C18" s="94"/>
      <c r="D18" s="95"/>
      <c r="G18" s="70"/>
      <c r="H18" s="45"/>
      <c r="I18" s="75"/>
    </row>
    <row r="19" spans="1:9" ht="16.5" thickTop="1" thickBot="1" x14ac:dyDescent="0.3">
      <c r="A19" s="2530"/>
      <c r="B19" s="2530"/>
      <c r="C19" s="94"/>
      <c r="D19" s="95"/>
      <c r="G19" s="70"/>
      <c r="H19" s="45"/>
      <c r="I19" s="75"/>
    </row>
    <row r="20" spans="1:9" ht="16.5" thickTop="1" thickBot="1" x14ac:dyDescent="0.3">
      <c r="A20" s="2530"/>
      <c r="B20" s="2530"/>
      <c r="C20" s="94"/>
      <c r="D20" s="95"/>
      <c r="G20" s="70"/>
      <c r="H20" s="45"/>
      <c r="I20" s="75"/>
    </row>
    <row r="21" spans="1:9" ht="16.5" thickTop="1" thickBot="1" x14ac:dyDescent="0.3">
      <c r="A21" s="2530"/>
      <c r="B21" s="2530"/>
      <c r="C21" s="94"/>
      <c r="D21" s="95"/>
      <c r="G21" s="70"/>
      <c r="H21" s="45"/>
      <c r="I21" s="75"/>
    </row>
    <row r="22" spans="1:9" ht="16.5" thickTop="1" thickBot="1" x14ac:dyDescent="0.3">
      <c r="A22" s="2530"/>
      <c r="B22" s="2530"/>
      <c r="C22" s="94"/>
      <c r="D22" s="95"/>
      <c r="G22" s="70"/>
      <c r="H22" s="45"/>
      <c r="I22" s="75"/>
    </row>
    <row r="23" spans="1:9" ht="16.5" thickTop="1" thickBot="1" x14ac:dyDescent="0.3">
      <c r="A23" s="2530"/>
      <c r="B23" s="2530"/>
      <c r="C23" s="94"/>
      <c r="D23" s="95"/>
      <c r="G23" s="70"/>
      <c r="H23" s="45"/>
      <c r="I23" s="75"/>
    </row>
    <row r="24" spans="1:9" ht="16.5" thickTop="1" thickBot="1" x14ac:dyDescent="0.3">
      <c r="A24" s="2530"/>
      <c r="B24" s="2530"/>
      <c r="C24" s="94"/>
      <c r="D24" s="95"/>
      <c r="G24" s="70"/>
      <c r="H24" s="45"/>
      <c r="I24" s="75"/>
    </row>
    <row r="25" spans="1:9" ht="16.5" thickTop="1" thickBot="1" x14ac:dyDescent="0.3">
      <c r="A25" s="2530"/>
      <c r="B25" s="2530"/>
      <c r="C25" s="94"/>
      <c r="D25" s="95"/>
      <c r="G25" s="70"/>
      <c r="H25" s="45"/>
      <c r="I25" s="75"/>
    </row>
    <row r="26" spans="1:9" ht="16.5" thickTop="1" thickBot="1" x14ac:dyDescent="0.3">
      <c r="A26" s="2530"/>
      <c r="B26" s="2530"/>
      <c r="C26" s="94"/>
      <c r="D26" s="95"/>
      <c r="G26" s="70"/>
      <c r="H26" s="45"/>
      <c r="I26" s="75"/>
    </row>
    <row r="27" spans="1:9" ht="16.5" thickTop="1" thickBot="1" x14ac:dyDescent="0.3">
      <c r="A27" s="2530"/>
      <c r="B27" s="2530"/>
      <c r="C27" s="94"/>
      <c r="D27" s="95"/>
      <c r="G27" s="70"/>
      <c r="H27" s="45"/>
      <c r="I27" s="75"/>
    </row>
    <row r="28" spans="1:9" ht="16.5" thickTop="1" thickBot="1" x14ac:dyDescent="0.3">
      <c r="A28" s="2530"/>
      <c r="B28" s="2530"/>
      <c r="C28" s="94"/>
      <c r="D28" s="95"/>
      <c r="G28" s="70"/>
      <c r="H28" s="45"/>
      <c r="I28" s="75"/>
    </row>
    <row r="29" spans="1:9" ht="16.5" thickTop="1" thickBot="1" x14ac:dyDescent="0.3">
      <c r="A29" s="2530"/>
      <c r="B29" s="2530"/>
      <c r="C29" s="94"/>
      <c r="D29" s="95"/>
      <c r="G29" s="70"/>
      <c r="H29" s="45"/>
      <c r="I29" s="75"/>
    </row>
    <row r="30" spans="1:9" ht="16.5" thickTop="1" thickBot="1" x14ac:dyDescent="0.3">
      <c r="A30" s="2530"/>
      <c r="B30" s="2530"/>
      <c r="C30" s="94"/>
      <c r="D30" s="95"/>
      <c r="G30" s="70"/>
      <c r="H30" s="45"/>
      <c r="I30" s="75"/>
    </row>
    <row r="31" spans="1:9" ht="16.5" thickTop="1" thickBot="1" x14ac:dyDescent="0.3">
      <c r="A31" s="2530"/>
      <c r="B31" s="2530"/>
      <c r="C31" s="94"/>
      <c r="D31" s="95"/>
      <c r="G31" s="70"/>
      <c r="H31" s="45"/>
      <c r="I31" s="75"/>
    </row>
    <row r="32" spans="1:9" ht="16.5" thickTop="1" thickBot="1" x14ac:dyDescent="0.3">
      <c r="A32" s="2530"/>
      <c r="B32" s="2530"/>
      <c r="C32" s="94"/>
      <c r="D32" s="95"/>
      <c r="G32" s="70"/>
      <c r="H32" s="45"/>
      <c r="I32" s="75"/>
    </row>
    <row r="33" spans="1:9" ht="16.5" thickTop="1" thickBot="1" x14ac:dyDescent="0.3">
      <c r="A33" s="2530"/>
      <c r="B33" s="2530"/>
      <c r="C33" s="94"/>
      <c r="D33" s="95"/>
      <c r="G33" s="70"/>
      <c r="H33" s="45"/>
      <c r="I33" s="75"/>
    </row>
    <row r="34" spans="1:9" ht="16.5" thickTop="1" thickBot="1" x14ac:dyDescent="0.3">
      <c r="A34" s="2530"/>
      <c r="B34" s="2530"/>
      <c r="C34" s="94"/>
      <c r="D34" s="95"/>
      <c r="G34" s="70"/>
      <c r="H34" s="45"/>
      <c r="I34" s="75"/>
    </row>
    <row r="35" spans="1:9" ht="16.5" thickTop="1" thickBot="1" x14ac:dyDescent="0.3">
      <c r="A35" s="2530"/>
      <c r="B35" s="2530"/>
      <c r="C35" s="94"/>
      <c r="D35" s="95"/>
      <c r="G35" s="70"/>
      <c r="H35" s="45"/>
      <c r="I35" s="75"/>
    </row>
    <row r="36" spans="1:9" ht="16.5" thickTop="1" thickBot="1" x14ac:dyDescent="0.3">
      <c r="A36" s="2530"/>
      <c r="B36" s="2530"/>
      <c r="C36" s="94"/>
      <c r="D36" s="95"/>
      <c r="G36" s="70"/>
      <c r="H36" s="45"/>
      <c r="I36" s="75"/>
    </row>
    <row r="37" spans="1:9" ht="16.5" thickTop="1" thickBot="1" x14ac:dyDescent="0.3">
      <c r="A37" s="2530"/>
      <c r="B37" s="2530"/>
      <c r="C37" s="94"/>
      <c r="D37" s="95"/>
      <c r="G37" s="70"/>
      <c r="H37" s="45"/>
      <c r="I37" s="75"/>
    </row>
    <row r="38" spans="1:9" ht="16.5" thickTop="1" thickBot="1" x14ac:dyDescent="0.3">
      <c r="A38" s="2530"/>
      <c r="B38" s="2530"/>
      <c r="C38" s="94"/>
      <c r="D38" s="95"/>
      <c r="G38" s="70"/>
      <c r="H38" s="45"/>
      <c r="I38" s="75"/>
    </row>
    <row r="39" spans="1:9" ht="16.5" thickTop="1" thickBot="1" x14ac:dyDescent="0.3">
      <c r="A39" s="2530"/>
      <c r="B39" s="2530"/>
      <c r="C39" s="94"/>
      <c r="D39" s="95"/>
      <c r="G39" s="70"/>
      <c r="H39" s="45"/>
      <c r="I39" s="75"/>
    </row>
    <row r="40" spans="1:9" ht="16.5" thickTop="1" thickBot="1" x14ac:dyDescent="0.3">
      <c r="A40" s="2530"/>
      <c r="B40" s="2530"/>
      <c r="C40" s="94"/>
      <c r="D40" s="95"/>
      <c r="G40" s="70"/>
      <c r="H40" s="45"/>
      <c r="I40" s="75"/>
    </row>
    <row r="41" spans="1:9" ht="16.5" thickTop="1" thickBot="1" x14ac:dyDescent="0.3">
      <c r="A41" s="2530"/>
      <c r="B41" s="2530"/>
      <c r="C41" s="94"/>
      <c r="D41" s="95"/>
      <c r="G41" s="70"/>
      <c r="H41" s="45"/>
      <c r="I41" s="75"/>
    </row>
    <row r="42" spans="1:9" ht="16.5" thickTop="1" thickBot="1" x14ac:dyDescent="0.3">
      <c r="A42" s="2530"/>
      <c r="B42" s="2530"/>
      <c r="C42" s="94"/>
      <c r="D42" s="95"/>
      <c r="G42" s="71"/>
      <c r="H42" s="45"/>
      <c r="I42" s="75"/>
    </row>
    <row r="43" spans="1:9" ht="15.75" thickTop="1" x14ac:dyDescent="0.25">
      <c r="A43" s="45"/>
      <c r="B43" s="45"/>
      <c r="C43" s="45"/>
      <c r="D43" s="45"/>
      <c r="G43" s="72"/>
      <c r="H43" s="45"/>
      <c r="I43" s="75"/>
    </row>
    <row r="44" spans="1:9" x14ac:dyDescent="0.25">
      <c r="A44" s="46" t="s">
        <v>940</v>
      </c>
      <c r="B44" s="45"/>
      <c r="C44" s="45"/>
      <c r="D44" s="45"/>
      <c r="G44" s="72"/>
      <c r="H44" s="45"/>
      <c r="I44" s="75"/>
    </row>
    <row r="45" spans="1:9" x14ac:dyDescent="0.25">
      <c r="A45" s="45"/>
      <c r="B45" s="45"/>
      <c r="C45" s="45"/>
      <c r="D45" s="45"/>
      <c r="G45" s="72"/>
      <c r="H45" s="45"/>
      <c r="I45" s="75"/>
    </row>
    <row r="46" spans="1:9" ht="15.75" thickBot="1" x14ac:dyDescent="0.3">
      <c r="A46" s="2550" t="s">
        <v>941</v>
      </c>
      <c r="B46" s="2551"/>
      <c r="C46" s="77" t="s">
        <v>988</v>
      </c>
      <c r="D46" s="65">
        <v>4.4000000000000003E-3</v>
      </c>
      <c r="G46" s="73"/>
    </row>
    <row r="47" spans="1:9" ht="16.5" thickTop="1" thickBot="1" x14ac:dyDescent="0.3">
      <c r="A47" s="2550" t="s">
        <v>942</v>
      </c>
      <c r="B47" s="2551"/>
      <c r="C47" s="78" t="s">
        <v>988</v>
      </c>
      <c r="D47" s="66">
        <v>1.2999999999999999E-3</v>
      </c>
      <c r="G47" s="73"/>
    </row>
    <row r="48" spans="1:9" ht="16.5" thickTop="1" thickBot="1" x14ac:dyDescent="0.3">
      <c r="A48" s="2550" t="s">
        <v>943</v>
      </c>
      <c r="B48" s="2551"/>
      <c r="C48" s="79" t="s">
        <v>217</v>
      </c>
      <c r="D48" s="67">
        <v>0.25</v>
      </c>
      <c r="G48" s="73"/>
    </row>
    <row r="49" spans="1:9" ht="15.75" thickTop="1" x14ac:dyDescent="0.25">
      <c r="A49" s="2550"/>
      <c r="B49" s="2581"/>
      <c r="C49" s="2581"/>
      <c r="D49" s="2581"/>
      <c r="E49" s="2581"/>
      <c r="F49" s="2581"/>
      <c r="G49" s="74"/>
      <c r="H49" s="76"/>
      <c r="I49" s="75"/>
    </row>
    <row r="50" spans="1:9" x14ac:dyDescent="0.25">
      <c r="A50" s="45"/>
      <c r="B50" s="45"/>
      <c r="C50" s="45"/>
      <c r="D50" s="45"/>
      <c r="E50" s="45"/>
      <c r="F50" s="45"/>
      <c r="G50" s="72"/>
      <c r="H50" s="76"/>
      <c r="I50" s="75"/>
    </row>
    <row r="51" spans="1:9" x14ac:dyDescent="0.25">
      <c r="A51" s="45"/>
      <c r="B51" s="45"/>
      <c r="C51" s="45"/>
      <c r="D51" s="45"/>
      <c r="E51" s="45"/>
      <c r="F51" s="45"/>
      <c r="G51" s="72"/>
      <c r="H51" s="76"/>
      <c r="I51" s="75"/>
    </row>
    <row r="52" spans="1:9" x14ac:dyDescent="0.25">
      <c r="G52" s="1363"/>
      <c r="H52" s="1449"/>
      <c r="I52" s="1450"/>
    </row>
    <row r="53" spans="1:9" ht="18" x14ac:dyDescent="0.25">
      <c r="A53" s="1366" t="s">
        <v>944</v>
      </c>
      <c r="B53" s="48"/>
      <c r="C53" s="48"/>
      <c r="D53" s="48"/>
      <c r="E53" s="61"/>
      <c r="F53" s="61"/>
      <c r="G53" s="666"/>
      <c r="H53" s="979"/>
      <c r="I53" s="64"/>
    </row>
    <row r="54" spans="1:9" x14ac:dyDescent="0.25">
      <c r="A54" s="49"/>
      <c r="B54" s="48"/>
      <c r="C54" s="48"/>
      <c r="D54" s="48"/>
      <c r="E54" s="61"/>
      <c r="F54" s="61"/>
      <c r="G54" s="666"/>
      <c r="H54" s="979"/>
      <c r="I54" s="64"/>
    </row>
    <row r="55" spans="1:9" x14ac:dyDescent="0.25">
      <c r="A55" s="2552" t="s">
        <v>945</v>
      </c>
      <c r="B55" s="2553"/>
      <c r="C55" s="96"/>
      <c r="D55" s="81"/>
      <c r="G55" s="80"/>
    </row>
    <row r="56" spans="1:9" x14ac:dyDescent="0.25">
      <c r="A56" s="2554"/>
      <c r="B56" s="2555"/>
      <c r="C56" s="96"/>
      <c r="D56" s="82"/>
      <c r="G56" s="1451"/>
    </row>
    <row r="57" spans="1:9" x14ac:dyDescent="0.25">
      <c r="A57" s="2556"/>
      <c r="B57" s="2557"/>
      <c r="C57" s="96"/>
      <c r="D57" s="82"/>
      <c r="G57" s="1451"/>
    </row>
    <row r="58" spans="1:9" x14ac:dyDescent="0.25">
      <c r="A58" s="2552" t="s">
        <v>946</v>
      </c>
      <c r="B58" s="2553"/>
      <c r="C58" s="97"/>
      <c r="D58" s="83"/>
      <c r="G58" s="80"/>
    </row>
    <row r="59" spans="1:9" x14ac:dyDescent="0.25">
      <c r="A59" s="49"/>
      <c r="B59" s="48"/>
      <c r="C59" s="48"/>
      <c r="D59" s="50"/>
      <c r="E59" s="61"/>
      <c r="F59" s="61"/>
      <c r="G59" s="61"/>
      <c r="H59" s="1491"/>
      <c r="I59" s="61"/>
    </row>
    <row r="60" spans="1:9" ht="18" x14ac:dyDescent="0.25">
      <c r="A60" s="1366" t="s">
        <v>947</v>
      </c>
      <c r="B60" s="48"/>
      <c r="C60" s="48"/>
      <c r="D60" s="50"/>
      <c r="E60" s="61"/>
      <c r="F60" s="61"/>
      <c r="G60" s="61"/>
      <c r="H60" s="61"/>
      <c r="I60" s="61"/>
    </row>
    <row r="61" spans="1:9" x14ac:dyDescent="0.25">
      <c r="A61" s="49"/>
      <c r="B61" s="48"/>
      <c r="C61" s="48"/>
      <c r="D61" s="50"/>
      <c r="E61" s="61"/>
      <c r="F61" s="61"/>
      <c r="G61" s="61"/>
      <c r="H61" s="61"/>
      <c r="I61" s="61"/>
    </row>
    <row r="62" spans="1:9" x14ac:dyDescent="0.25">
      <c r="A62" s="49" t="s">
        <v>939</v>
      </c>
      <c r="B62" s="48"/>
      <c r="C62" s="48"/>
      <c r="D62" s="50"/>
      <c r="E62" s="61"/>
      <c r="F62" s="61"/>
      <c r="G62" s="61"/>
      <c r="H62" s="61"/>
      <c r="I62" s="61"/>
    </row>
    <row r="63" spans="1:9" x14ac:dyDescent="0.25">
      <c r="A63" s="49"/>
      <c r="B63" s="48"/>
      <c r="C63" s="48"/>
      <c r="D63" s="50"/>
      <c r="E63" s="61"/>
      <c r="F63" s="61"/>
      <c r="G63" s="61"/>
      <c r="H63" s="61"/>
      <c r="I63" s="61"/>
    </row>
    <row r="64" spans="1:9" ht="38.25" customHeight="1" x14ac:dyDescent="0.25">
      <c r="A64" s="2558" t="s">
        <v>1384</v>
      </c>
      <c r="B64" s="2558"/>
      <c r="C64" s="2558"/>
      <c r="D64" s="2558"/>
      <c r="E64" s="1373"/>
      <c r="F64" s="1373"/>
      <c r="G64" s="1373"/>
      <c r="H64" s="1373"/>
      <c r="I64" s="1373"/>
    </row>
    <row r="65" spans="1:9" x14ac:dyDescent="0.25">
      <c r="A65" s="1373"/>
      <c r="B65" s="1496"/>
      <c r="C65" s="1496"/>
      <c r="D65" s="1496"/>
      <c r="E65" s="62"/>
      <c r="F65" s="62"/>
      <c r="G65" s="62"/>
      <c r="H65" s="62"/>
      <c r="I65" s="62"/>
    </row>
    <row r="66" spans="1:9" ht="38.25" customHeight="1" x14ac:dyDescent="0.25">
      <c r="A66" s="2558" t="s">
        <v>1385</v>
      </c>
      <c r="B66" s="2558"/>
      <c r="C66" s="2558"/>
      <c r="D66" s="2558"/>
      <c r="E66" s="2558"/>
      <c r="F66" s="2558"/>
      <c r="G66" s="2558"/>
      <c r="H66" s="2558"/>
      <c r="I66" s="1512"/>
    </row>
    <row r="67" spans="1:9" x14ac:dyDescent="0.25">
      <c r="A67" s="1373"/>
      <c r="B67" s="1496"/>
      <c r="C67" s="1496"/>
      <c r="D67" s="1496"/>
      <c r="E67" s="62"/>
      <c r="F67" s="62"/>
      <c r="G67" s="62"/>
      <c r="H67" s="62"/>
      <c r="I67" s="62"/>
    </row>
    <row r="68" spans="1:9" ht="39" customHeight="1" x14ac:dyDescent="0.25">
      <c r="A68" s="2558" t="s">
        <v>1386</v>
      </c>
      <c r="B68" s="2558"/>
      <c r="C68" s="2558"/>
      <c r="D68" s="2558"/>
      <c r="E68" s="2558"/>
      <c r="F68" s="2558"/>
      <c r="G68" s="2558"/>
      <c r="H68" s="2558"/>
      <c r="I68" s="1512"/>
    </row>
    <row r="69" spans="1:9" x14ac:dyDescent="0.25">
      <c r="A69" s="1375"/>
      <c r="B69" s="1376"/>
      <c r="C69" s="1376"/>
      <c r="D69" s="1452"/>
      <c r="E69" s="62"/>
      <c r="F69" s="62"/>
      <c r="G69" s="62"/>
      <c r="H69" s="62"/>
      <c r="I69" s="62"/>
    </row>
    <row r="70" spans="1:9" x14ac:dyDescent="0.25">
      <c r="A70" s="49" t="s">
        <v>948</v>
      </c>
      <c r="B70" s="48"/>
      <c r="C70" s="48"/>
      <c r="D70" s="50"/>
      <c r="E70" s="61"/>
      <c r="F70" s="61"/>
      <c r="G70" s="61"/>
      <c r="H70" s="61"/>
      <c r="I70" s="61"/>
    </row>
    <row r="71" spans="1:9" x14ac:dyDescent="0.25">
      <c r="A71" s="49"/>
      <c r="B71" s="48"/>
      <c r="C71" s="48"/>
      <c r="D71" s="50"/>
      <c r="E71" s="61"/>
      <c r="F71" s="61"/>
      <c r="G71" s="61"/>
      <c r="H71" s="61"/>
      <c r="I71" s="61"/>
    </row>
    <row r="72" spans="1:9" x14ac:dyDescent="0.25">
      <c r="A72" s="2560"/>
      <c r="B72" s="2560"/>
      <c r="C72" s="1378"/>
      <c r="D72" s="1453"/>
      <c r="E72" s="61"/>
      <c r="F72" s="61"/>
      <c r="G72" s="61"/>
    </row>
    <row r="73" spans="1:9" x14ac:dyDescent="0.25">
      <c r="A73" s="2560"/>
      <c r="B73" s="2560"/>
      <c r="C73" s="1378"/>
      <c r="D73" s="1453"/>
      <c r="E73" s="61"/>
      <c r="F73" s="61"/>
      <c r="G73" s="61"/>
    </row>
    <row r="74" spans="1:9" x14ac:dyDescent="0.25">
      <c r="A74" s="2560"/>
      <c r="B74" s="2560"/>
      <c r="C74" s="1378"/>
      <c r="D74" s="1453"/>
      <c r="E74" s="61"/>
      <c r="F74" s="61"/>
      <c r="G74" s="61"/>
    </row>
    <row r="75" spans="1:9" x14ac:dyDescent="0.25">
      <c r="A75" s="2560"/>
      <c r="B75" s="2560"/>
      <c r="C75" s="1378"/>
      <c r="D75" s="1453"/>
      <c r="E75" s="61"/>
      <c r="F75" s="61"/>
      <c r="G75" s="61"/>
    </row>
    <row r="76" spans="1:9" x14ac:dyDescent="0.25">
      <c r="A76" s="2560"/>
      <c r="B76" s="2560"/>
      <c r="C76" s="1378"/>
      <c r="D76" s="1453"/>
      <c r="E76" s="61"/>
      <c r="F76" s="61"/>
      <c r="G76" s="61"/>
    </row>
    <row r="77" spans="1:9" x14ac:dyDescent="0.25">
      <c r="A77" s="2560"/>
      <c r="B77" s="2560"/>
      <c r="C77" s="1378"/>
      <c r="D77" s="1453"/>
      <c r="E77" s="61"/>
      <c r="F77" s="61"/>
      <c r="G77" s="61"/>
    </row>
    <row r="78" spans="1:9" x14ac:dyDescent="0.25">
      <c r="A78" s="2560"/>
      <c r="B78" s="2560"/>
      <c r="C78" s="1378"/>
      <c r="D78" s="1453"/>
      <c r="E78" s="61"/>
      <c r="F78" s="61"/>
      <c r="G78" s="61"/>
    </row>
    <row r="79" spans="1:9" x14ac:dyDescent="0.25">
      <c r="A79" s="2560"/>
      <c r="B79" s="2560"/>
      <c r="C79" s="1378"/>
      <c r="D79" s="1453"/>
      <c r="E79" s="61"/>
      <c r="F79" s="61"/>
      <c r="G79" s="61"/>
    </row>
    <row r="80" spans="1:9" x14ac:dyDescent="0.25">
      <c r="A80" s="2560"/>
      <c r="B80" s="2560"/>
      <c r="C80" s="1378"/>
      <c r="D80" s="1453"/>
      <c r="E80" s="61"/>
      <c r="F80" s="61"/>
      <c r="G80" s="61"/>
    </row>
    <row r="81" spans="1:7" x14ac:dyDescent="0.25">
      <c r="A81" s="2560"/>
      <c r="B81" s="2560"/>
      <c r="C81" s="1378"/>
      <c r="D81" s="1453"/>
      <c r="E81" s="61"/>
      <c r="F81" s="61"/>
      <c r="G81" s="61"/>
    </row>
    <row r="82" spans="1:7" x14ac:dyDescent="0.25">
      <c r="A82" s="2560"/>
      <c r="B82" s="2560"/>
      <c r="C82" s="1378"/>
      <c r="D82" s="1453"/>
      <c r="E82" s="61"/>
      <c r="F82" s="61"/>
      <c r="G82" s="61"/>
    </row>
    <row r="83" spans="1:7" x14ac:dyDescent="0.25">
      <c r="A83" s="2560"/>
      <c r="B83" s="2560"/>
      <c r="C83" s="1378"/>
      <c r="D83" s="1453"/>
      <c r="E83" s="61"/>
      <c r="F83" s="61"/>
      <c r="G83" s="61"/>
    </row>
    <row r="84" spans="1:7" x14ac:dyDescent="0.25">
      <c r="A84" s="2560"/>
      <c r="B84" s="2560"/>
      <c r="C84" s="1378"/>
      <c r="D84" s="1453"/>
      <c r="E84" s="61"/>
      <c r="F84" s="61"/>
      <c r="G84" s="61"/>
    </row>
    <row r="85" spans="1:7" x14ac:dyDescent="0.25">
      <c r="A85" s="2560"/>
      <c r="B85" s="2560"/>
      <c r="C85" s="1378"/>
      <c r="D85" s="1453"/>
      <c r="E85" s="61"/>
      <c r="F85" s="61"/>
      <c r="G85" s="61"/>
    </row>
    <row r="86" spans="1:7" x14ac:dyDescent="0.25">
      <c r="A86" s="2560"/>
      <c r="B86" s="2560"/>
      <c r="C86" s="1378"/>
      <c r="D86" s="1453"/>
      <c r="E86" s="61"/>
      <c r="F86" s="61"/>
      <c r="G86" s="61"/>
    </row>
    <row r="87" spans="1:7" x14ac:dyDescent="0.25">
      <c r="A87" s="2560"/>
      <c r="B87" s="2560"/>
      <c r="C87" s="1378"/>
      <c r="D87" s="1453"/>
      <c r="E87" s="61"/>
      <c r="F87" s="61"/>
      <c r="G87" s="61"/>
    </row>
    <row r="88" spans="1:7" x14ac:dyDescent="0.25">
      <c r="A88" s="2560"/>
      <c r="B88" s="2560"/>
      <c r="C88" s="1378"/>
      <c r="D88" s="1453"/>
      <c r="E88" s="61"/>
      <c r="F88" s="61"/>
      <c r="G88" s="61"/>
    </row>
    <row r="89" spans="1:7" x14ac:dyDescent="0.25">
      <c r="A89" s="2560"/>
      <c r="B89" s="2560"/>
      <c r="C89" s="1378"/>
      <c r="D89" s="1453"/>
      <c r="E89" s="61"/>
      <c r="F89" s="61"/>
      <c r="G89" s="61"/>
    </row>
    <row r="90" spans="1:7" x14ac:dyDescent="0.25">
      <c r="A90" s="2560"/>
      <c r="B90" s="2560"/>
      <c r="C90" s="1378"/>
      <c r="D90" s="1453"/>
      <c r="E90" s="61"/>
      <c r="F90" s="61"/>
      <c r="G90" s="61"/>
    </row>
    <row r="91" spans="1:7" x14ac:dyDescent="0.25">
      <c r="A91" s="2560"/>
      <c r="B91" s="2560"/>
      <c r="C91" s="1378"/>
      <c r="D91" s="1453"/>
      <c r="E91" s="61"/>
      <c r="F91" s="61"/>
      <c r="G91" s="61"/>
    </row>
    <row r="92" spans="1:7" x14ac:dyDescent="0.25">
      <c r="A92" s="2560"/>
      <c r="B92" s="2560"/>
      <c r="C92" s="1378"/>
      <c r="D92" s="1453"/>
      <c r="E92" s="61"/>
      <c r="F92" s="61"/>
      <c r="G92" s="61"/>
    </row>
    <row r="93" spans="1:7" x14ac:dyDescent="0.25">
      <c r="A93" s="2560"/>
      <c r="B93" s="2560"/>
      <c r="C93" s="1378"/>
      <c r="D93" s="1453"/>
      <c r="E93" s="61"/>
      <c r="F93" s="61"/>
      <c r="G93" s="61"/>
    </row>
    <row r="94" spans="1:7" x14ac:dyDescent="0.25">
      <c r="A94" s="2560"/>
      <c r="B94" s="2560"/>
      <c r="C94" s="1378"/>
      <c r="D94" s="1453"/>
      <c r="E94" s="61"/>
      <c r="F94" s="61"/>
      <c r="G94" s="61"/>
    </row>
    <row r="95" spans="1:7" x14ac:dyDescent="0.25">
      <c r="A95" s="2560"/>
      <c r="B95" s="2560"/>
      <c r="C95" s="1378"/>
      <c r="D95" s="1453"/>
      <c r="E95" s="61"/>
      <c r="F95" s="61"/>
      <c r="G95" s="61"/>
    </row>
    <row r="96" spans="1:7" x14ac:dyDescent="0.25">
      <c r="A96" s="2560"/>
      <c r="B96" s="2560"/>
      <c r="C96" s="1378"/>
      <c r="D96" s="1453"/>
      <c r="E96" s="61"/>
      <c r="F96" s="61"/>
      <c r="G96" s="61"/>
    </row>
    <row r="97" spans="1:9" x14ac:dyDescent="0.25">
      <c r="A97" s="2560"/>
      <c r="B97" s="2560"/>
      <c r="C97" s="1378"/>
      <c r="D97" s="1453"/>
      <c r="E97" s="61"/>
      <c r="F97" s="61"/>
      <c r="G97" s="61"/>
    </row>
    <row r="98" spans="1:9" x14ac:dyDescent="0.25">
      <c r="A98" s="2560"/>
      <c r="B98" s="2560"/>
      <c r="C98" s="1378"/>
      <c r="D98" s="1453"/>
      <c r="E98" s="61"/>
      <c r="F98" s="61"/>
      <c r="G98" s="61"/>
    </row>
    <row r="99" spans="1:9" x14ac:dyDescent="0.25">
      <c r="A99" s="2560"/>
      <c r="B99" s="2560"/>
      <c r="C99" s="1378"/>
      <c r="D99" s="1453"/>
      <c r="E99" s="61"/>
      <c r="F99" s="61"/>
      <c r="G99" s="61"/>
    </row>
    <row r="100" spans="1:9" x14ac:dyDescent="0.25">
      <c r="A100" s="2560"/>
      <c r="B100" s="2560"/>
      <c r="C100" s="1378"/>
      <c r="D100" s="1453"/>
      <c r="E100" s="61"/>
      <c r="F100" s="61"/>
      <c r="G100" s="61"/>
    </row>
    <row r="101" spans="1:9" x14ac:dyDescent="0.25">
      <c r="A101" s="2561"/>
      <c r="B101" s="2562"/>
      <c r="C101" s="1378"/>
      <c r="D101" s="1453"/>
    </row>
    <row r="102" spans="1:9" x14ac:dyDescent="0.25">
      <c r="A102" s="2563"/>
      <c r="B102" s="2564"/>
      <c r="C102" s="1378"/>
      <c r="D102" s="1453"/>
    </row>
    <row r="103" spans="1:9" x14ac:dyDescent="0.25">
      <c r="A103" s="2563"/>
      <c r="B103" s="2564"/>
      <c r="C103" s="1378"/>
      <c r="D103" s="1453"/>
    </row>
    <row r="104" spans="1:9" x14ac:dyDescent="0.25">
      <c r="A104" s="2563"/>
      <c r="B104" s="2564"/>
      <c r="C104" s="1378"/>
      <c r="D104" s="1453"/>
    </row>
    <row r="105" spans="1:9" x14ac:dyDescent="0.25">
      <c r="A105" s="2563"/>
      <c r="B105" s="2564"/>
      <c r="C105" s="1378"/>
      <c r="D105" s="1453"/>
    </row>
    <row r="106" spans="1:9" ht="15.75" thickBot="1" x14ac:dyDescent="0.3">
      <c r="A106" s="2565"/>
      <c r="B106" s="2566"/>
      <c r="C106" s="1378"/>
      <c r="D106" s="1453"/>
    </row>
    <row r="107" spans="1:9" ht="15.75" thickTop="1" x14ac:dyDescent="0.25">
      <c r="A107" s="49"/>
      <c r="B107" s="48"/>
      <c r="C107" s="48"/>
      <c r="D107" s="50"/>
      <c r="E107" s="61"/>
      <c r="F107" s="61"/>
      <c r="G107" s="61"/>
      <c r="H107" s="1454"/>
      <c r="I107" s="84"/>
    </row>
    <row r="108" spans="1:9" x14ac:dyDescent="0.25">
      <c r="A108" s="49" t="s">
        <v>949</v>
      </c>
      <c r="B108" s="48"/>
      <c r="C108" s="48"/>
      <c r="D108" s="50"/>
      <c r="E108" s="61"/>
      <c r="F108" s="61"/>
      <c r="G108" s="61"/>
      <c r="H108" s="1454"/>
      <c r="I108" s="84"/>
    </row>
    <row r="109" spans="1:9" x14ac:dyDescent="0.25">
      <c r="A109" s="51"/>
      <c r="B109" s="52"/>
      <c r="C109" s="52"/>
      <c r="D109" s="53"/>
      <c r="E109" s="61"/>
      <c r="F109" s="61"/>
      <c r="G109" s="61"/>
      <c r="H109" s="1454"/>
      <c r="I109" s="84"/>
    </row>
    <row r="110" spans="1:9" x14ac:dyDescent="0.25">
      <c r="A110" s="2567"/>
      <c r="B110" s="2567"/>
      <c r="C110" s="1378"/>
      <c r="D110" s="1453"/>
      <c r="E110" s="61"/>
      <c r="F110" s="61"/>
      <c r="G110" s="61"/>
      <c r="H110" s="1454"/>
      <c r="I110" s="84"/>
    </row>
    <row r="111" spans="1:9" x14ac:dyDescent="0.25">
      <c r="A111" s="2567"/>
      <c r="B111" s="2567"/>
      <c r="C111" s="1378"/>
      <c r="D111" s="1453"/>
      <c r="E111" s="61"/>
      <c r="F111" s="61"/>
      <c r="G111" s="61"/>
      <c r="H111" s="1454"/>
      <c r="I111" s="84"/>
    </row>
    <row r="112" spans="1:9" x14ac:dyDescent="0.25">
      <c r="A112" s="2567"/>
      <c r="B112" s="2567"/>
      <c r="C112" s="1378"/>
      <c r="D112" s="1453"/>
      <c r="E112" s="61"/>
      <c r="F112" s="61"/>
      <c r="G112" s="61"/>
      <c r="H112" s="1454"/>
      <c r="I112" s="84"/>
    </row>
    <row r="113" spans="1:9" x14ac:dyDescent="0.25">
      <c r="A113" s="2567"/>
      <c r="B113" s="2567"/>
      <c r="C113" s="1378"/>
      <c r="D113" s="1453"/>
      <c r="E113" s="61"/>
      <c r="F113" s="61"/>
      <c r="G113" s="61"/>
      <c r="H113" s="1454"/>
      <c r="I113" s="84"/>
    </row>
    <row r="114" spans="1:9" x14ac:dyDescent="0.25">
      <c r="A114" s="2567"/>
      <c r="B114" s="2567"/>
      <c r="C114" s="1378"/>
      <c r="D114" s="1453"/>
      <c r="E114" s="61"/>
      <c r="F114" s="61"/>
      <c r="G114" s="61"/>
      <c r="H114" s="1454"/>
      <c r="I114" s="84"/>
    </row>
    <row r="115" spans="1:9" x14ac:dyDescent="0.25">
      <c r="A115" s="2567"/>
      <c r="B115" s="2567"/>
      <c r="C115" s="1378"/>
      <c r="D115" s="1453"/>
      <c r="E115" s="61"/>
      <c r="F115" s="61"/>
      <c r="G115" s="61"/>
      <c r="H115" s="1454"/>
      <c r="I115" s="84"/>
    </row>
    <row r="116" spans="1:9" x14ac:dyDescent="0.25">
      <c r="A116" s="2567"/>
      <c r="B116" s="2567"/>
      <c r="C116" s="1378"/>
      <c r="D116" s="1453"/>
      <c r="E116" s="61"/>
      <c r="F116" s="61"/>
      <c r="G116" s="61"/>
      <c r="H116" s="1454"/>
      <c r="I116" s="84"/>
    </row>
    <row r="117" spans="1:9" x14ac:dyDescent="0.25">
      <c r="A117" s="2567"/>
      <c r="B117" s="2567"/>
      <c r="C117" s="1378"/>
      <c r="D117" s="1453"/>
      <c r="E117" s="61"/>
      <c r="F117" s="61"/>
      <c r="G117" s="61"/>
      <c r="H117" s="1454"/>
      <c r="I117" s="84"/>
    </row>
    <row r="118" spans="1:9" x14ac:dyDescent="0.25">
      <c r="A118" s="2567"/>
      <c r="B118" s="2567"/>
      <c r="C118" s="1378"/>
      <c r="D118" s="1453"/>
      <c r="E118" s="61"/>
      <c r="F118" s="61"/>
      <c r="G118" s="61"/>
      <c r="H118" s="1454"/>
      <c r="I118" s="84"/>
    </row>
    <row r="119" spans="1:9" x14ac:dyDescent="0.25">
      <c r="A119" s="2567"/>
      <c r="B119" s="2567"/>
      <c r="C119" s="1378"/>
      <c r="D119" s="1453"/>
      <c r="E119" s="61"/>
      <c r="F119" s="61"/>
      <c r="G119" s="61"/>
      <c r="H119" s="1454"/>
      <c r="I119" s="84"/>
    </row>
    <row r="120" spans="1:9" x14ac:dyDescent="0.25">
      <c r="A120" s="2567"/>
      <c r="B120" s="2567"/>
      <c r="C120" s="1378"/>
      <c r="D120" s="1453"/>
      <c r="E120" s="61"/>
      <c r="F120" s="61"/>
      <c r="G120" s="61"/>
      <c r="H120" s="1454"/>
      <c r="I120" s="84"/>
    </row>
    <row r="121" spans="1:9" x14ac:dyDescent="0.25">
      <c r="A121" s="2567"/>
      <c r="B121" s="2567"/>
      <c r="C121" s="1378"/>
      <c r="D121" s="1453"/>
      <c r="E121" s="61"/>
      <c r="F121" s="61"/>
      <c r="G121" s="61"/>
      <c r="H121" s="1454"/>
      <c r="I121" s="84"/>
    </row>
    <row r="122" spans="1:9" x14ac:dyDescent="0.25">
      <c r="A122" s="2567"/>
      <c r="B122" s="2567"/>
      <c r="C122" s="1378"/>
      <c r="D122" s="1453"/>
      <c r="E122" s="61"/>
      <c r="F122" s="61"/>
      <c r="G122" s="61"/>
      <c r="H122" s="1454"/>
      <c r="I122" s="84"/>
    </row>
    <row r="123" spans="1:9" x14ac:dyDescent="0.25">
      <c r="A123" s="2567"/>
      <c r="B123" s="2567"/>
      <c r="C123" s="1378"/>
      <c r="D123" s="1453"/>
      <c r="E123" s="61"/>
      <c r="F123" s="61"/>
      <c r="G123" s="61"/>
      <c r="H123" s="1454"/>
      <c r="I123" s="84"/>
    </row>
    <row r="124" spans="1:9" x14ac:dyDescent="0.25">
      <c r="A124" s="2567"/>
      <c r="B124" s="2567"/>
      <c r="C124" s="1378"/>
      <c r="D124" s="1453"/>
      <c r="E124" s="61"/>
      <c r="F124" s="61"/>
      <c r="G124" s="61"/>
      <c r="H124" s="1454"/>
      <c r="I124" s="84"/>
    </row>
    <row r="125" spans="1:9" x14ac:dyDescent="0.25">
      <c r="A125" s="2567"/>
      <c r="B125" s="2567"/>
      <c r="C125" s="1378"/>
      <c r="D125" s="1453"/>
      <c r="E125" s="61"/>
      <c r="F125" s="61"/>
      <c r="G125" s="61"/>
      <c r="H125" s="1454"/>
      <c r="I125" s="84"/>
    </row>
    <row r="126" spans="1:9" x14ac:dyDescent="0.25">
      <c r="A126" s="2567"/>
      <c r="B126" s="2567"/>
      <c r="C126" s="1378"/>
      <c r="D126" s="1453"/>
      <c r="E126" s="61"/>
      <c r="F126" s="61"/>
      <c r="G126" s="61"/>
      <c r="H126" s="1454"/>
      <c r="I126" s="84"/>
    </row>
    <row r="127" spans="1:9" x14ac:dyDescent="0.25">
      <c r="A127" s="2567"/>
      <c r="B127" s="2567"/>
      <c r="C127" s="1378"/>
      <c r="D127" s="1453"/>
      <c r="E127" s="61"/>
      <c r="F127" s="61"/>
      <c r="G127" s="61"/>
      <c r="H127" s="1454"/>
      <c r="I127" s="84"/>
    </row>
    <row r="128" spans="1:9" x14ac:dyDescent="0.25">
      <c r="A128" s="2567"/>
      <c r="B128" s="2567"/>
      <c r="C128" s="1378"/>
      <c r="D128" s="1453"/>
      <c r="E128" s="61"/>
      <c r="F128" s="61"/>
      <c r="G128" s="61"/>
      <c r="H128" s="1454"/>
      <c r="I128" s="84"/>
    </row>
    <row r="129" spans="1:9" x14ac:dyDescent="0.25">
      <c r="A129" s="2567"/>
      <c r="B129" s="2567"/>
      <c r="C129" s="1378"/>
      <c r="D129" s="1453"/>
      <c r="E129" s="61"/>
      <c r="F129" s="61"/>
      <c r="G129" s="61"/>
      <c r="H129" s="1454"/>
      <c r="I129" s="84"/>
    </row>
    <row r="130" spans="1:9" x14ac:dyDescent="0.25">
      <c r="A130" s="2563"/>
      <c r="B130" s="2564"/>
      <c r="C130" s="1378"/>
      <c r="D130" s="63"/>
      <c r="E130" s="61"/>
      <c r="F130" s="61"/>
      <c r="G130" s="61"/>
      <c r="H130" s="1454"/>
      <c r="I130" s="84"/>
    </row>
    <row r="131" spans="1:9" x14ac:dyDescent="0.25">
      <c r="A131" s="2563"/>
      <c r="B131" s="2564"/>
      <c r="C131" s="1378"/>
      <c r="D131" s="63"/>
      <c r="E131" s="61"/>
      <c r="F131" s="61"/>
      <c r="G131" s="61"/>
      <c r="H131" s="1454"/>
      <c r="I131" s="84"/>
    </row>
    <row r="132" spans="1:9" x14ac:dyDescent="0.25">
      <c r="A132" s="2563"/>
      <c r="B132" s="2564"/>
      <c r="C132" s="1378"/>
      <c r="D132" s="63"/>
      <c r="E132" s="61"/>
      <c r="F132" s="61"/>
      <c r="G132" s="61"/>
      <c r="H132" s="1454"/>
      <c r="I132" s="84"/>
    </row>
    <row r="133" spans="1:9" x14ac:dyDescent="0.25">
      <c r="A133" s="2563"/>
      <c r="B133" s="2564"/>
      <c r="C133" s="1378"/>
      <c r="D133" s="63"/>
      <c r="E133" s="61"/>
      <c r="F133" s="61"/>
      <c r="G133" s="61"/>
      <c r="H133" s="1454"/>
      <c r="I133" s="84"/>
    </row>
    <row r="134" spans="1:9" x14ac:dyDescent="0.25">
      <c r="A134" s="2563"/>
      <c r="B134" s="2564"/>
      <c r="C134" s="1378"/>
      <c r="D134" s="63"/>
      <c r="E134" s="61"/>
      <c r="F134" s="61"/>
      <c r="G134" s="61"/>
      <c r="H134" s="1454"/>
      <c r="I134" s="84"/>
    </row>
    <row r="135" spans="1:9" x14ac:dyDescent="0.25">
      <c r="A135" s="49"/>
      <c r="B135" s="48"/>
      <c r="C135" s="1381"/>
      <c r="D135" s="50"/>
      <c r="E135" s="61"/>
      <c r="F135" s="61"/>
      <c r="G135" s="61"/>
      <c r="H135" s="1454"/>
      <c r="I135" s="84"/>
    </row>
    <row r="136" spans="1:9" x14ac:dyDescent="0.25">
      <c r="A136" s="49"/>
      <c r="B136" s="48"/>
      <c r="C136" s="48"/>
      <c r="D136" s="50"/>
      <c r="E136" s="61"/>
      <c r="F136" s="61"/>
      <c r="G136" s="61"/>
      <c r="H136" s="1454"/>
      <c r="I136" s="84"/>
    </row>
    <row r="137" spans="1:9" x14ac:dyDescent="0.25">
      <c r="A137" s="2567"/>
      <c r="B137" s="2567"/>
      <c r="C137" s="1378"/>
      <c r="D137" s="1453"/>
      <c r="E137" s="61"/>
      <c r="F137" s="61"/>
      <c r="G137" s="61"/>
    </row>
    <row r="138" spans="1:9" x14ac:dyDescent="0.25">
      <c r="A138" s="2567"/>
      <c r="B138" s="2567"/>
      <c r="C138" s="1378"/>
      <c r="D138" s="1453"/>
      <c r="E138" s="61"/>
      <c r="F138" s="61"/>
      <c r="G138" s="61"/>
    </row>
    <row r="139" spans="1:9" x14ac:dyDescent="0.25">
      <c r="A139" s="2567"/>
      <c r="B139" s="2567"/>
      <c r="C139" s="1378"/>
      <c r="D139" s="1453"/>
      <c r="E139" s="61"/>
      <c r="F139" s="61"/>
      <c r="G139" s="61"/>
    </row>
    <row r="140" spans="1:9" x14ac:dyDescent="0.25">
      <c r="A140" s="2567"/>
      <c r="B140" s="2567"/>
      <c r="C140" s="1378"/>
      <c r="D140" s="1453"/>
      <c r="E140" s="61"/>
      <c r="F140" s="61"/>
      <c r="G140" s="61"/>
    </row>
    <row r="141" spans="1:9" x14ac:dyDescent="0.25">
      <c r="A141" s="2567"/>
      <c r="B141" s="2567"/>
      <c r="C141" s="1378"/>
      <c r="D141" s="1453"/>
      <c r="E141" s="61"/>
      <c r="F141" s="61"/>
      <c r="G141" s="61"/>
    </row>
    <row r="142" spans="1:9" x14ac:dyDescent="0.25">
      <c r="A142" s="2567"/>
      <c r="B142" s="2567"/>
      <c r="C142" s="1378"/>
      <c r="D142" s="1453"/>
      <c r="E142" s="61"/>
      <c r="F142" s="61"/>
      <c r="G142" s="61"/>
    </row>
    <row r="143" spans="1:9" x14ac:dyDescent="0.25">
      <c r="A143" s="2567"/>
      <c r="B143" s="2567"/>
      <c r="C143" s="1378"/>
      <c r="D143" s="1453"/>
      <c r="E143" s="61"/>
      <c r="F143" s="61"/>
      <c r="G143" s="61"/>
    </row>
    <row r="144" spans="1:9" x14ac:dyDescent="0.25">
      <c r="A144" s="2567"/>
      <c r="B144" s="2567"/>
      <c r="C144" s="1378"/>
      <c r="D144" s="1453"/>
      <c r="E144" s="61"/>
      <c r="F144" s="61"/>
      <c r="G144" s="61"/>
    </row>
    <row r="145" spans="1:9" x14ac:dyDescent="0.25">
      <c r="A145" s="2567"/>
      <c r="B145" s="2567"/>
      <c r="C145" s="1378"/>
      <c r="D145" s="1453"/>
      <c r="E145" s="61"/>
      <c r="F145" s="61"/>
      <c r="G145" s="61"/>
    </row>
    <row r="146" spans="1:9" x14ac:dyDescent="0.25">
      <c r="A146" s="2567"/>
      <c r="B146" s="2567"/>
      <c r="C146" s="1378"/>
      <c r="D146" s="1453"/>
      <c r="E146" s="61"/>
      <c r="F146" s="61"/>
      <c r="G146" s="61"/>
    </row>
    <row r="147" spans="1:9" x14ac:dyDescent="0.25">
      <c r="A147" s="2567"/>
      <c r="B147" s="2567"/>
      <c r="C147" s="1378"/>
      <c r="D147" s="1453"/>
      <c r="E147" s="61"/>
      <c r="F147" s="61"/>
      <c r="G147" s="61"/>
    </row>
    <row r="148" spans="1:9" x14ac:dyDescent="0.25">
      <c r="A148" s="2567"/>
      <c r="B148" s="2567"/>
      <c r="C148" s="1378"/>
      <c r="D148" s="1453"/>
      <c r="E148" s="61"/>
      <c r="F148" s="61"/>
      <c r="G148" s="61"/>
    </row>
    <row r="149" spans="1:9" x14ac:dyDescent="0.25">
      <c r="A149" s="2567"/>
      <c r="B149" s="2567"/>
      <c r="C149" s="1378"/>
      <c r="D149" s="1453"/>
      <c r="E149" s="61"/>
      <c r="F149" s="61"/>
      <c r="G149" s="61"/>
    </row>
    <row r="150" spans="1:9" x14ac:dyDescent="0.25">
      <c r="A150" s="2567"/>
      <c r="B150" s="2567"/>
      <c r="C150" s="1378"/>
      <c r="D150" s="1453"/>
      <c r="E150" s="61"/>
      <c r="F150" s="61"/>
      <c r="G150" s="61"/>
    </row>
    <row r="151" spans="1:9" x14ac:dyDescent="0.25">
      <c r="A151" s="2567"/>
      <c r="B151" s="2567"/>
      <c r="C151" s="1378"/>
      <c r="D151" s="1453"/>
      <c r="E151" s="61"/>
      <c r="F151" s="61"/>
      <c r="G151" s="61"/>
    </row>
    <row r="152" spans="1:9" x14ac:dyDescent="0.25">
      <c r="A152" s="2567"/>
      <c r="B152" s="2567"/>
      <c r="C152" s="1378"/>
      <c r="D152" s="1453"/>
      <c r="E152" s="61"/>
      <c r="F152" s="61"/>
      <c r="G152" s="61"/>
    </row>
    <row r="153" spans="1:9" x14ac:dyDescent="0.25">
      <c r="A153" s="2563"/>
      <c r="B153" s="2564"/>
      <c r="C153" s="1378"/>
      <c r="D153" s="1453"/>
      <c r="E153" s="61"/>
      <c r="F153" s="61"/>
      <c r="G153" s="61"/>
    </row>
    <row r="154" spans="1:9" x14ac:dyDescent="0.25">
      <c r="A154" s="2563"/>
      <c r="B154" s="2564"/>
      <c r="C154" s="1378"/>
      <c r="D154" s="1453"/>
      <c r="E154" s="61"/>
      <c r="F154" s="61"/>
      <c r="G154" s="61"/>
    </row>
    <row r="155" spans="1:9" x14ac:dyDescent="0.25">
      <c r="A155" s="2563"/>
      <c r="B155" s="2564"/>
      <c r="C155" s="1378"/>
      <c r="D155" s="1453"/>
      <c r="E155" s="61"/>
      <c r="F155" s="61"/>
      <c r="G155" s="61"/>
    </row>
    <row r="156" spans="1:9" x14ac:dyDescent="0.25">
      <c r="A156" s="2563"/>
      <c r="B156" s="2564"/>
      <c r="C156" s="1378"/>
      <c r="D156" s="1453"/>
      <c r="E156" s="61"/>
      <c r="F156" s="61"/>
      <c r="G156" s="61"/>
    </row>
    <row r="157" spans="1:9" x14ac:dyDescent="0.25">
      <c r="A157" s="2563"/>
      <c r="B157" s="2564"/>
      <c r="C157" s="1378"/>
      <c r="D157" s="1453"/>
      <c r="E157" s="61"/>
      <c r="F157" s="61"/>
      <c r="G157" s="61"/>
    </row>
    <row r="158" spans="1:9" x14ac:dyDescent="0.25">
      <c r="A158" s="1382"/>
      <c r="B158" s="1383"/>
      <c r="C158" s="1383"/>
      <c r="D158" s="1383"/>
      <c r="E158" s="267"/>
      <c r="F158" s="267"/>
      <c r="G158" s="61"/>
    </row>
    <row r="159" spans="1:9" ht="18" x14ac:dyDescent="0.25">
      <c r="A159" s="1366" t="s">
        <v>950</v>
      </c>
      <c r="B159" s="48"/>
      <c r="C159" s="48"/>
      <c r="D159" s="50"/>
      <c r="E159" s="61"/>
      <c r="F159" s="61"/>
      <c r="G159" s="61"/>
      <c r="H159" s="61"/>
      <c r="I159" s="61"/>
    </row>
    <row r="160" spans="1:9" x14ac:dyDescent="0.25">
      <c r="A160" s="49"/>
      <c r="B160" s="48"/>
      <c r="C160" s="48"/>
      <c r="D160" s="50"/>
      <c r="E160" s="61"/>
      <c r="F160" s="61"/>
      <c r="G160" s="61"/>
      <c r="H160" s="61"/>
      <c r="I160" s="61"/>
    </row>
    <row r="161" spans="1:9" ht="36.75" customHeight="1" x14ac:dyDescent="0.25">
      <c r="A161" s="2558" t="s">
        <v>1384</v>
      </c>
      <c r="B161" s="2558"/>
      <c r="C161" s="2558"/>
      <c r="D161" s="2558"/>
      <c r="E161" s="2558"/>
      <c r="F161" s="2558"/>
      <c r="G161" s="2558"/>
      <c r="H161" s="2558"/>
      <c r="I161" s="1512"/>
    </row>
    <row r="162" spans="1:9" x14ac:dyDescent="0.25">
      <c r="A162" s="2558"/>
      <c r="B162" s="2558"/>
      <c r="C162" s="2558"/>
      <c r="D162" s="2558"/>
      <c r="E162" s="2558"/>
      <c r="F162" s="2558"/>
      <c r="G162" s="2558"/>
      <c r="H162" s="2558"/>
      <c r="I162" s="1512"/>
    </row>
    <row r="163" spans="1:9" ht="51" customHeight="1" x14ac:dyDescent="0.25">
      <c r="A163" s="2558" t="s">
        <v>1387</v>
      </c>
      <c r="B163" s="2558"/>
      <c r="C163" s="2558"/>
      <c r="D163" s="2558"/>
      <c r="E163" s="2558"/>
      <c r="F163" s="2558"/>
      <c r="G163" s="2558"/>
      <c r="H163" s="2558"/>
      <c r="I163" s="1512"/>
    </row>
    <row r="164" spans="1:9" x14ac:dyDescent="0.25">
      <c r="A164" s="2558"/>
      <c r="B164" s="2558"/>
      <c r="C164" s="2558"/>
      <c r="D164" s="2558"/>
      <c r="E164" s="2558"/>
      <c r="F164" s="2558"/>
      <c r="G164" s="2558"/>
      <c r="H164" s="2558"/>
      <c r="I164" s="1512"/>
    </row>
    <row r="165" spans="1:9" ht="27" customHeight="1" x14ac:dyDescent="0.25">
      <c r="A165" s="2558" t="s">
        <v>1388</v>
      </c>
      <c r="B165" s="2558"/>
      <c r="C165" s="2558"/>
      <c r="D165" s="2558"/>
      <c r="E165" s="2558"/>
      <c r="F165" s="2558"/>
      <c r="G165" s="2558"/>
      <c r="H165" s="2558"/>
      <c r="I165" s="1512"/>
    </row>
    <row r="166" spans="1:9" x14ac:dyDescent="0.25">
      <c r="A166" s="2558"/>
      <c r="B166" s="2558"/>
      <c r="C166" s="2558"/>
      <c r="D166" s="2558"/>
      <c r="E166" s="2558"/>
      <c r="F166" s="2558"/>
      <c r="G166" s="2558"/>
      <c r="H166" s="2558"/>
      <c r="I166" s="1512"/>
    </row>
    <row r="167" spans="1:9" ht="36.75" customHeight="1" x14ac:dyDescent="0.25">
      <c r="A167" s="2558" t="s">
        <v>1386</v>
      </c>
      <c r="B167" s="2558"/>
      <c r="C167" s="2558"/>
      <c r="D167" s="2558"/>
      <c r="E167" s="2558"/>
      <c r="F167" s="2558"/>
      <c r="G167" s="2558"/>
      <c r="H167" s="2558"/>
      <c r="I167" s="1512"/>
    </row>
    <row r="168" spans="1:9" x14ac:dyDescent="0.25">
      <c r="A168" s="2558"/>
      <c r="B168" s="2558"/>
      <c r="C168" s="2558"/>
      <c r="D168" s="2558"/>
      <c r="E168" s="2558"/>
      <c r="F168" s="2558"/>
      <c r="G168" s="2558"/>
      <c r="H168" s="2558"/>
      <c r="I168" s="1512"/>
    </row>
    <row r="169" spans="1:9" ht="24.75" customHeight="1" x14ac:dyDescent="0.25">
      <c r="A169" s="2558" t="s">
        <v>1389</v>
      </c>
      <c r="B169" s="2558"/>
      <c r="C169" s="2558"/>
      <c r="D169" s="2558"/>
      <c r="E169" s="2558"/>
      <c r="F169" s="2558"/>
      <c r="G169" s="2558"/>
      <c r="H169" s="2558"/>
      <c r="I169" s="1512"/>
    </row>
    <row r="170" spans="1:9" x14ac:dyDescent="0.25">
      <c r="A170" s="1386"/>
      <c r="B170" s="48"/>
      <c r="C170" s="48"/>
      <c r="D170" s="50"/>
      <c r="E170" s="61"/>
      <c r="F170" s="61"/>
      <c r="G170" s="61"/>
      <c r="H170" s="61"/>
      <c r="I170" s="61"/>
    </row>
    <row r="171" spans="1:9" ht="15" customHeight="1" x14ac:dyDescent="0.25">
      <c r="A171" s="2550" t="s">
        <v>951</v>
      </c>
      <c r="B171" s="2551"/>
      <c r="C171" s="86" t="s">
        <v>217</v>
      </c>
      <c r="D171" s="87">
        <v>100</v>
      </c>
      <c r="E171" s="2550"/>
      <c r="F171" s="2551"/>
      <c r="G171" s="85"/>
    </row>
    <row r="172" spans="1:9" x14ac:dyDescent="0.25">
      <c r="A172" s="2550" t="s">
        <v>952</v>
      </c>
      <c r="B172" s="2551"/>
      <c r="C172" s="86" t="s">
        <v>217</v>
      </c>
      <c r="D172" s="87">
        <v>20</v>
      </c>
      <c r="E172" s="99"/>
      <c r="F172" s="98"/>
      <c r="G172" s="85"/>
    </row>
    <row r="173" spans="1:9" x14ac:dyDescent="0.25">
      <c r="A173" s="2550" t="s">
        <v>953</v>
      </c>
      <c r="B173" s="2551"/>
      <c r="C173" s="86" t="s">
        <v>954</v>
      </c>
      <c r="D173" s="87">
        <v>0.5</v>
      </c>
      <c r="E173" s="99"/>
      <c r="F173" s="98"/>
      <c r="G173" s="85"/>
    </row>
    <row r="174" spans="1:9" x14ac:dyDescent="0.25">
      <c r="A174" s="2550" t="s">
        <v>955</v>
      </c>
      <c r="B174" s="2551"/>
      <c r="C174" s="86" t="s">
        <v>954</v>
      </c>
      <c r="D174" s="87">
        <v>0.3</v>
      </c>
      <c r="E174" s="99"/>
      <c r="F174" s="98"/>
      <c r="G174" s="85"/>
    </row>
    <row r="175" spans="1:9" x14ac:dyDescent="0.25">
      <c r="A175" s="2550" t="s">
        <v>956</v>
      </c>
      <c r="B175" s="2551"/>
      <c r="C175" s="86" t="s">
        <v>954</v>
      </c>
      <c r="D175" s="87">
        <v>-0.3</v>
      </c>
      <c r="E175" s="99"/>
      <c r="F175" s="98"/>
      <c r="G175" s="85"/>
    </row>
    <row r="176" spans="1:9" x14ac:dyDescent="0.25">
      <c r="A176" s="2550" t="s">
        <v>957</v>
      </c>
      <c r="B176" s="2551"/>
      <c r="C176" s="88"/>
      <c r="D176" s="88"/>
      <c r="E176" s="99"/>
      <c r="F176" s="98"/>
      <c r="G176" s="85"/>
    </row>
    <row r="177" spans="1:9" x14ac:dyDescent="0.25">
      <c r="A177" s="2571" t="s">
        <v>958</v>
      </c>
      <c r="B177" s="2572"/>
      <c r="C177" s="86" t="s">
        <v>217</v>
      </c>
      <c r="D177" s="87">
        <v>0.25</v>
      </c>
      <c r="E177" s="99"/>
      <c r="F177" s="98"/>
      <c r="G177" s="89"/>
    </row>
    <row r="178" spans="1:9" x14ac:dyDescent="0.25">
      <c r="A178" s="2571" t="s">
        <v>959</v>
      </c>
      <c r="B178" s="2572"/>
      <c r="C178" s="86" t="s">
        <v>217</v>
      </c>
      <c r="D178" s="87">
        <v>0.5</v>
      </c>
      <c r="E178" s="99"/>
      <c r="F178" s="98"/>
      <c r="G178" s="89"/>
    </row>
    <row r="179" spans="1:9" ht="15" customHeight="1" x14ac:dyDescent="0.25">
      <c r="A179" s="2550" t="s">
        <v>960</v>
      </c>
      <c r="B179" s="2551"/>
      <c r="C179" s="88"/>
      <c r="D179" s="88"/>
      <c r="E179" s="99"/>
      <c r="F179" s="98"/>
      <c r="G179" s="90"/>
    </row>
    <row r="180" spans="1:9" ht="15" customHeight="1" x14ac:dyDescent="0.25">
      <c r="A180" s="2550" t="s">
        <v>961</v>
      </c>
      <c r="B180" s="2551"/>
      <c r="C180" s="88"/>
      <c r="D180" s="88"/>
      <c r="E180" s="99"/>
      <c r="F180" s="98"/>
      <c r="G180" s="90"/>
    </row>
    <row r="181" spans="1:9" ht="15" customHeight="1" x14ac:dyDescent="0.25">
      <c r="A181" s="2550" t="s">
        <v>962</v>
      </c>
      <c r="B181" s="2551"/>
      <c r="C181" s="88"/>
      <c r="D181" s="88"/>
      <c r="E181" s="99"/>
      <c r="F181" s="98"/>
      <c r="G181" s="90"/>
    </row>
    <row r="182" spans="1:9" x14ac:dyDescent="0.25">
      <c r="A182" s="2571" t="s">
        <v>963</v>
      </c>
      <c r="B182" s="2572"/>
      <c r="C182" s="86" t="s">
        <v>217</v>
      </c>
      <c r="D182" s="91" t="s">
        <v>964</v>
      </c>
      <c r="E182" s="99"/>
      <c r="F182" s="98"/>
      <c r="G182" s="89"/>
    </row>
    <row r="183" spans="1:9" ht="15" customHeight="1" x14ac:dyDescent="0.25">
      <c r="A183" s="2571" t="s">
        <v>965</v>
      </c>
      <c r="B183" s="2572"/>
      <c r="C183" s="86" t="s">
        <v>217</v>
      </c>
      <c r="D183" s="87">
        <v>2</v>
      </c>
      <c r="E183" s="99"/>
      <c r="F183" s="98"/>
      <c r="G183" s="89"/>
    </row>
    <row r="184" spans="1:9" x14ac:dyDescent="0.25">
      <c r="A184" s="49"/>
      <c r="B184" s="48"/>
      <c r="C184" s="1381"/>
      <c r="D184" s="50"/>
      <c r="E184" s="61"/>
      <c r="F184" s="61"/>
      <c r="G184" s="61"/>
      <c r="H184" s="61"/>
      <c r="I184" s="61"/>
    </row>
    <row r="185" spans="1:9" ht="20.25" x14ac:dyDescent="0.3">
      <c r="A185" s="1387" t="s">
        <v>966</v>
      </c>
      <c r="B185" s="48"/>
      <c r="C185" s="48"/>
      <c r="D185" s="50"/>
      <c r="E185" s="61"/>
      <c r="F185" s="61"/>
      <c r="G185" s="61"/>
      <c r="H185" s="61"/>
      <c r="I185" s="61"/>
    </row>
    <row r="186" spans="1:9" x14ac:dyDescent="0.25">
      <c r="A186" s="61"/>
      <c r="B186" s="61"/>
      <c r="C186" s="61"/>
      <c r="D186" s="61"/>
      <c r="E186" s="61"/>
      <c r="F186" s="61"/>
      <c r="G186" s="61"/>
      <c r="H186" s="61"/>
      <c r="I186" s="61"/>
    </row>
    <row r="187" spans="1:9" ht="27.75" customHeight="1" x14ac:dyDescent="0.25">
      <c r="A187" s="2558" t="s">
        <v>967</v>
      </c>
      <c r="B187" s="2558"/>
      <c r="C187" s="2558"/>
      <c r="D187" s="2558"/>
      <c r="E187" s="2558"/>
      <c r="F187" s="2558"/>
      <c r="G187" s="2558"/>
      <c r="H187" s="2558"/>
      <c r="I187" s="1512"/>
    </row>
    <row r="188" spans="1:9" x14ac:dyDescent="0.25">
      <c r="A188" s="1388"/>
      <c r="B188" s="88"/>
      <c r="C188" s="88"/>
      <c r="D188" s="88"/>
      <c r="E188" s="88"/>
      <c r="F188" s="88"/>
      <c r="G188" s="88"/>
      <c r="H188" s="88"/>
      <c r="I188" s="88"/>
    </row>
    <row r="189" spans="1:9" x14ac:dyDescent="0.25">
      <c r="A189" s="88"/>
      <c r="B189" s="88"/>
      <c r="C189" s="88"/>
      <c r="D189" s="88"/>
      <c r="F189" s="88"/>
      <c r="G189" s="88"/>
      <c r="H189" s="88"/>
      <c r="I189" s="88"/>
    </row>
    <row r="190" spans="1:9" x14ac:dyDescent="0.25">
      <c r="A190" s="2570"/>
      <c r="B190" s="2570"/>
      <c r="C190" s="88"/>
      <c r="D190" s="54"/>
      <c r="F190" s="88"/>
      <c r="G190" s="88"/>
      <c r="H190" s="88"/>
    </row>
    <row r="191" spans="1:9" x14ac:dyDescent="0.25">
      <c r="A191" s="2570"/>
      <c r="B191" s="2570"/>
      <c r="C191" s="88"/>
      <c r="D191" s="55"/>
      <c r="F191" s="88"/>
      <c r="G191" s="88"/>
      <c r="H191" s="88"/>
    </row>
    <row r="192" spans="1:9" x14ac:dyDescent="0.25">
      <c r="A192" s="2570"/>
      <c r="B192" s="2570"/>
      <c r="C192" s="88"/>
      <c r="D192" s="55"/>
      <c r="F192" s="88"/>
      <c r="G192" s="88"/>
      <c r="H192" s="88"/>
    </row>
    <row r="193" spans="1:8" x14ac:dyDescent="0.25">
      <c r="A193" s="2570"/>
      <c r="B193" s="2570"/>
      <c r="C193" s="88"/>
      <c r="D193" s="55"/>
      <c r="F193" s="88"/>
      <c r="G193" s="88"/>
      <c r="H193" s="88"/>
    </row>
    <row r="194" spans="1:8" x14ac:dyDescent="0.25">
      <c r="A194" s="2570"/>
      <c r="B194" s="2570"/>
      <c r="C194" s="88"/>
      <c r="D194" s="55"/>
      <c r="F194" s="88"/>
      <c r="G194" s="88"/>
      <c r="H194" s="88"/>
    </row>
    <row r="195" spans="1:8" x14ac:dyDescent="0.25">
      <c r="A195" s="2570"/>
      <c r="B195" s="2570"/>
      <c r="C195" s="88"/>
      <c r="D195" s="56"/>
      <c r="F195" s="88"/>
      <c r="G195" s="88"/>
      <c r="H195" s="88"/>
    </row>
    <row r="196" spans="1:8" x14ac:dyDescent="0.25">
      <c r="C196" s="88"/>
    </row>
    <row r="197" spans="1:8" x14ac:dyDescent="0.25">
      <c r="C197" s="88"/>
    </row>
    <row r="303" spans="1:10" ht="12.75" x14ac:dyDescent="0.2">
      <c r="A303" s="61"/>
      <c r="B303" s="61"/>
      <c r="C303" s="61"/>
      <c r="D303" s="61"/>
      <c r="E303" s="61"/>
      <c r="F303" s="61"/>
      <c r="G303" s="61"/>
      <c r="H303" s="61"/>
      <c r="I303" s="61"/>
      <c r="J303" s="61"/>
    </row>
    <row r="304" spans="1:10" ht="12.75" x14ac:dyDescent="0.2">
      <c r="A304" s="61"/>
      <c r="B304" s="61"/>
      <c r="C304" s="61"/>
      <c r="D304" s="61"/>
      <c r="E304" s="61"/>
      <c r="F304" s="61"/>
      <c r="G304" s="61"/>
      <c r="H304" s="61"/>
      <c r="I304" s="61"/>
      <c r="J304" s="61"/>
    </row>
    <row r="305" spans="1:10" ht="12.75" x14ac:dyDescent="0.2">
      <c r="A305" s="61"/>
      <c r="B305" s="61"/>
      <c r="C305" s="61"/>
      <c r="D305" s="61"/>
      <c r="E305" s="61"/>
      <c r="F305" s="61"/>
      <c r="G305" s="61"/>
      <c r="H305" s="61"/>
      <c r="I305" s="61"/>
      <c r="J305" s="61"/>
    </row>
    <row r="306" spans="1:10" ht="12.75" x14ac:dyDescent="0.2">
      <c r="A306" s="61"/>
      <c r="B306" s="61"/>
      <c r="C306" s="61"/>
      <c r="D306" s="61"/>
      <c r="E306" s="61"/>
      <c r="F306" s="61"/>
      <c r="G306" s="61"/>
      <c r="H306" s="61"/>
      <c r="I306" s="61"/>
      <c r="J306" s="61"/>
    </row>
    <row r="307" spans="1:10" ht="12.75" x14ac:dyDescent="0.2">
      <c r="A307" s="61"/>
      <c r="B307" s="61"/>
      <c r="C307" s="61"/>
      <c r="D307" s="61"/>
      <c r="E307" s="61"/>
      <c r="F307" s="61"/>
      <c r="G307" s="61"/>
      <c r="H307" s="61"/>
      <c r="I307" s="61"/>
      <c r="J307" s="61"/>
    </row>
    <row r="308" spans="1:10" ht="12.75" x14ac:dyDescent="0.2">
      <c r="A308" s="61"/>
      <c r="B308" s="61"/>
      <c r="C308" s="61"/>
      <c r="D308" s="61"/>
      <c r="E308" s="61"/>
      <c r="F308" s="61"/>
      <c r="G308" s="61"/>
      <c r="H308" s="61"/>
      <c r="I308" s="61"/>
      <c r="J308" s="61"/>
    </row>
    <row r="309" spans="1:10" ht="12.75" x14ac:dyDescent="0.2">
      <c r="A309" s="61"/>
      <c r="B309" s="61"/>
      <c r="C309" s="61"/>
      <c r="D309" s="61"/>
      <c r="E309" s="61"/>
      <c r="F309" s="61"/>
      <c r="G309" s="61"/>
      <c r="H309" s="61"/>
      <c r="I309" s="61"/>
      <c r="J309" s="61"/>
    </row>
    <row r="310" spans="1:10" ht="12.75" x14ac:dyDescent="0.2">
      <c r="A310" s="61"/>
      <c r="B310" s="61"/>
      <c r="C310" s="61"/>
      <c r="D310" s="61"/>
      <c r="E310" s="61"/>
      <c r="F310" s="61"/>
      <c r="G310" s="61"/>
      <c r="H310" s="61"/>
      <c r="I310" s="61"/>
      <c r="J310" s="61"/>
    </row>
    <row r="311" spans="1:10" ht="12.75" x14ac:dyDescent="0.2">
      <c r="A311" s="61"/>
      <c r="B311" s="61"/>
      <c r="C311" s="61"/>
      <c r="D311" s="61"/>
      <c r="E311" s="61"/>
      <c r="F311" s="61"/>
      <c r="G311" s="61"/>
      <c r="H311" s="61"/>
      <c r="I311" s="61"/>
      <c r="J311" s="61"/>
    </row>
    <row r="312" spans="1:10" ht="12.75" x14ac:dyDescent="0.2">
      <c r="A312" s="61"/>
      <c r="B312" s="61"/>
      <c r="C312" s="61"/>
      <c r="D312" s="61"/>
      <c r="E312" s="61"/>
      <c r="F312" s="61"/>
      <c r="G312" s="61"/>
      <c r="H312" s="61"/>
      <c r="I312" s="61"/>
      <c r="J312" s="61"/>
    </row>
    <row r="313" spans="1:10" ht="12.75" x14ac:dyDescent="0.2">
      <c r="A313" s="61"/>
      <c r="B313" s="61"/>
      <c r="C313" s="61"/>
      <c r="D313" s="61"/>
      <c r="E313" s="61"/>
      <c r="F313" s="61"/>
      <c r="G313" s="61"/>
      <c r="H313" s="61"/>
      <c r="I313" s="61"/>
      <c r="J313" s="61"/>
    </row>
    <row r="314" spans="1:10" ht="12.75" x14ac:dyDescent="0.2">
      <c r="A314" s="61"/>
      <c r="B314" s="61"/>
      <c r="C314" s="61"/>
      <c r="D314" s="61"/>
      <c r="E314" s="61"/>
      <c r="F314" s="61"/>
      <c r="G314" s="61"/>
      <c r="H314" s="61"/>
      <c r="I314" s="61"/>
      <c r="J314" s="61"/>
    </row>
    <row r="315" spans="1:10" ht="12.75" x14ac:dyDescent="0.2">
      <c r="A315" s="61"/>
      <c r="B315" s="61"/>
      <c r="C315" s="61"/>
      <c r="D315" s="61"/>
      <c r="E315" s="61"/>
      <c r="F315" s="61"/>
      <c r="G315" s="61"/>
      <c r="H315" s="61"/>
      <c r="I315" s="61"/>
      <c r="J315" s="61"/>
    </row>
    <row r="316" spans="1:10" ht="12.75" x14ac:dyDescent="0.2">
      <c r="A316" s="61"/>
      <c r="B316" s="61"/>
      <c r="C316" s="61"/>
      <c r="D316" s="61"/>
      <c r="E316" s="61"/>
      <c r="F316" s="61"/>
      <c r="G316" s="61"/>
      <c r="H316" s="61"/>
      <c r="I316" s="61"/>
      <c r="J316" s="61"/>
    </row>
    <row r="317" spans="1:10" ht="12.75" x14ac:dyDescent="0.2">
      <c r="A317" s="61"/>
      <c r="B317" s="61"/>
      <c r="C317" s="61"/>
      <c r="D317" s="61"/>
      <c r="E317" s="61"/>
      <c r="F317" s="61"/>
      <c r="G317" s="61"/>
      <c r="H317" s="61"/>
      <c r="I317" s="61"/>
      <c r="J317" s="61"/>
    </row>
    <row r="318" spans="1:10" ht="12.75" x14ac:dyDescent="0.2">
      <c r="A318" s="61"/>
      <c r="B318" s="61"/>
      <c r="C318" s="61"/>
      <c r="D318" s="61"/>
      <c r="E318" s="61"/>
      <c r="F318" s="61"/>
      <c r="G318" s="61"/>
      <c r="H318" s="61"/>
      <c r="I318" s="61"/>
      <c r="J318" s="61"/>
    </row>
    <row r="319" spans="1:10" ht="12.75" x14ac:dyDescent="0.2">
      <c r="A319" s="61"/>
      <c r="B319" s="61"/>
      <c r="C319" s="61"/>
      <c r="D319" s="61"/>
      <c r="E319" s="61"/>
      <c r="F319" s="61"/>
      <c r="G319" s="61"/>
      <c r="H319" s="61"/>
      <c r="I319" s="61"/>
      <c r="J319" s="61"/>
    </row>
    <row r="320" spans="1:10" ht="12.75" x14ac:dyDescent="0.2">
      <c r="A320" s="61"/>
      <c r="B320" s="61"/>
      <c r="C320" s="61"/>
      <c r="D320" s="61"/>
      <c r="E320" s="61"/>
      <c r="F320" s="61"/>
      <c r="G320" s="61"/>
      <c r="H320" s="61"/>
      <c r="I320" s="61"/>
      <c r="J320" s="61"/>
    </row>
    <row r="321" spans="1:10" ht="12.75" x14ac:dyDescent="0.2">
      <c r="A321" s="61"/>
      <c r="B321" s="61"/>
      <c r="C321" s="61"/>
      <c r="D321" s="61"/>
      <c r="E321" s="61"/>
      <c r="F321" s="61"/>
      <c r="G321" s="61"/>
      <c r="H321" s="61"/>
      <c r="I321" s="61"/>
      <c r="J321" s="61"/>
    </row>
    <row r="322" spans="1:10" ht="12.75" x14ac:dyDescent="0.2">
      <c r="A322" s="61"/>
      <c r="B322" s="61"/>
      <c r="C322" s="61"/>
      <c r="D322" s="61"/>
      <c r="E322" s="61"/>
      <c r="F322" s="61"/>
      <c r="G322" s="61"/>
      <c r="H322" s="61"/>
      <c r="I322" s="61"/>
      <c r="J322" s="61"/>
    </row>
    <row r="323" spans="1:10" ht="12.75" x14ac:dyDescent="0.2">
      <c r="A323" s="61"/>
      <c r="B323" s="61"/>
      <c r="C323" s="61"/>
      <c r="D323" s="61"/>
      <c r="E323" s="61"/>
      <c r="F323" s="61"/>
      <c r="G323" s="61"/>
      <c r="H323" s="61"/>
      <c r="I323" s="61"/>
      <c r="J323" s="61"/>
    </row>
    <row r="324" spans="1:10" ht="12.75" x14ac:dyDescent="0.2">
      <c r="A324" s="61"/>
      <c r="B324" s="61"/>
      <c r="C324" s="61"/>
      <c r="D324" s="61"/>
      <c r="E324" s="61"/>
      <c r="F324" s="61"/>
      <c r="G324" s="61"/>
      <c r="H324" s="61"/>
      <c r="I324" s="61"/>
      <c r="J324" s="61"/>
    </row>
    <row r="325" spans="1:10" ht="12.75" x14ac:dyDescent="0.2">
      <c r="A325" s="61"/>
      <c r="B325" s="61"/>
      <c r="C325" s="61"/>
      <c r="D325" s="61"/>
      <c r="E325" s="61"/>
      <c r="F325" s="61"/>
      <c r="G325" s="61"/>
      <c r="H325" s="61"/>
      <c r="I325" s="61"/>
      <c r="J325" s="61"/>
    </row>
    <row r="326" spans="1:10" ht="12.75" x14ac:dyDescent="0.2">
      <c r="A326" s="61"/>
      <c r="B326" s="61"/>
      <c r="C326" s="61"/>
      <c r="D326" s="61"/>
      <c r="E326" s="61"/>
      <c r="F326" s="61"/>
      <c r="G326" s="61"/>
      <c r="H326" s="61"/>
      <c r="I326" s="61"/>
      <c r="J326" s="61"/>
    </row>
    <row r="327" spans="1:10" ht="12.75" x14ac:dyDescent="0.2">
      <c r="A327" s="61"/>
      <c r="B327" s="61"/>
      <c r="C327" s="61"/>
      <c r="D327" s="61"/>
      <c r="E327" s="61"/>
      <c r="F327" s="61"/>
      <c r="G327" s="61"/>
      <c r="H327" s="61"/>
      <c r="I327" s="61"/>
      <c r="J327" s="61"/>
    </row>
    <row r="328" spans="1:10" ht="12.75" x14ac:dyDescent="0.2">
      <c r="A328" s="61"/>
      <c r="B328" s="61"/>
      <c r="C328" s="61"/>
      <c r="D328" s="61"/>
      <c r="E328" s="61"/>
      <c r="F328" s="61"/>
      <c r="G328" s="61"/>
      <c r="H328" s="61"/>
      <c r="I328" s="61"/>
      <c r="J328" s="61"/>
    </row>
    <row r="329" spans="1:10" ht="12.75" x14ac:dyDescent="0.2">
      <c r="A329" s="61"/>
      <c r="B329" s="61"/>
      <c r="C329" s="61"/>
      <c r="D329" s="61"/>
      <c r="E329" s="61"/>
      <c r="F329" s="61"/>
      <c r="G329" s="61"/>
      <c r="H329" s="61"/>
      <c r="I329" s="61"/>
      <c r="J329" s="61"/>
    </row>
    <row r="330" spans="1:10" ht="12.75" x14ac:dyDescent="0.2">
      <c r="A330" s="61"/>
      <c r="B330" s="61"/>
      <c r="C330" s="61"/>
      <c r="D330" s="61"/>
      <c r="E330" s="61"/>
      <c r="F330" s="61"/>
      <c r="G330" s="61"/>
      <c r="H330" s="61"/>
      <c r="I330" s="61"/>
      <c r="J330" s="61"/>
    </row>
    <row r="331" spans="1:10" ht="12.75" x14ac:dyDescent="0.2">
      <c r="A331" s="61"/>
      <c r="B331" s="61"/>
      <c r="C331" s="61"/>
      <c r="D331" s="61"/>
      <c r="E331" s="61"/>
      <c r="F331" s="61"/>
      <c r="G331" s="61"/>
      <c r="H331" s="61"/>
      <c r="I331" s="61"/>
      <c r="J331" s="61"/>
    </row>
    <row r="332" spans="1:10" ht="12.75" x14ac:dyDescent="0.2">
      <c r="A332" s="61"/>
      <c r="B332" s="61"/>
      <c r="C332" s="61"/>
      <c r="D332" s="61"/>
      <c r="E332" s="61"/>
      <c r="F332" s="61"/>
      <c r="G332" s="61"/>
      <c r="H332" s="61"/>
      <c r="I332" s="61"/>
      <c r="J332" s="61"/>
    </row>
    <row r="333" spans="1:10" ht="12.75" x14ac:dyDescent="0.2">
      <c r="A333" s="61"/>
      <c r="B333" s="61"/>
      <c r="C333" s="61"/>
      <c r="D333" s="61"/>
      <c r="E333" s="61"/>
      <c r="F333" s="61"/>
      <c r="G333" s="61"/>
      <c r="H333" s="61"/>
      <c r="I333" s="61"/>
      <c r="J333" s="61"/>
    </row>
    <row r="334" spans="1:10" ht="12.75" x14ac:dyDescent="0.2">
      <c r="A334" s="61"/>
      <c r="B334" s="61"/>
      <c r="C334" s="61"/>
      <c r="D334" s="61"/>
      <c r="E334" s="61"/>
      <c r="F334" s="61"/>
      <c r="G334" s="61"/>
      <c r="H334" s="61"/>
      <c r="I334" s="61"/>
      <c r="J334" s="61"/>
    </row>
    <row r="335" spans="1:10" ht="12.75" x14ac:dyDescent="0.2">
      <c r="A335" s="61"/>
      <c r="B335" s="61"/>
      <c r="C335" s="61"/>
      <c r="D335" s="61"/>
      <c r="E335" s="61"/>
      <c r="F335" s="61"/>
      <c r="G335" s="61"/>
      <c r="H335" s="61"/>
      <c r="I335" s="61"/>
      <c r="J335" s="61"/>
    </row>
    <row r="336" spans="1:10" ht="12.75" x14ac:dyDescent="0.2">
      <c r="A336" s="61"/>
      <c r="B336" s="61"/>
      <c r="C336" s="61"/>
      <c r="D336" s="61"/>
      <c r="E336" s="61"/>
      <c r="F336" s="61"/>
      <c r="G336" s="61"/>
      <c r="H336" s="61"/>
      <c r="I336" s="61"/>
      <c r="J336" s="61"/>
    </row>
    <row r="337" spans="1:10" ht="12.75" x14ac:dyDescent="0.2">
      <c r="A337" s="61"/>
      <c r="B337" s="61"/>
      <c r="C337" s="61"/>
      <c r="D337" s="61"/>
      <c r="E337" s="61"/>
      <c r="F337" s="61"/>
      <c r="G337" s="61"/>
      <c r="H337" s="61"/>
      <c r="I337" s="61"/>
      <c r="J337" s="61"/>
    </row>
    <row r="338" spans="1:10" ht="12.75" x14ac:dyDescent="0.2">
      <c r="A338" s="61"/>
      <c r="B338" s="61"/>
      <c r="C338" s="61"/>
      <c r="D338" s="61"/>
      <c r="E338" s="61"/>
      <c r="F338" s="61"/>
      <c r="G338" s="61"/>
      <c r="H338" s="61"/>
      <c r="I338" s="61"/>
      <c r="J338" s="61"/>
    </row>
    <row r="339" spans="1:10" ht="12.75" x14ac:dyDescent="0.2">
      <c r="A339" s="61"/>
      <c r="B339" s="61"/>
      <c r="C339" s="61"/>
      <c r="D339" s="61"/>
      <c r="E339" s="61"/>
      <c r="F339" s="61"/>
      <c r="G339" s="61"/>
      <c r="H339" s="61"/>
      <c r="I339" s="61"/>
      <c r="J339" s="61"/>
    </row>
    <row r="340" spans="1:10" ht="12.75" x14ac:dyDescent="0.2">
      <c r="A340" s="61"/>
      <c r="B340" s="61"/>
      <c r="C340" s="61"/>
      <c r="D340" s="61"/>
      <c r="E340" s="61"/>
      <c r="F340" s="61"/>
      <c r="G340" s="61"/>
      <c r="H340" s="61"/>
      <c r="I340" s="61"/>
      <c r="J340" s="61"/>
    </row>
    <row r="341" spans="1:10" ht="12.75" x14ac:dyDescent="0.2">
      <c r="A341" s="61"/>
      <c r="B341" s="61"/>
      <c r="C341" s="61"/>
      <c r="D341" s="61"/>
      <c r="E341" s="61"/>
      <c r="F341" s="61"/>
      <c r="G341" s="61"/>
      <c r="H341" s="61"/>
      <c r="I341" s="61"/>
      <c r="J341" s="61"/>
    </row>
    <row r="342" spans="1:10" ht="12.75" x14ac:dyDescent="0.2">
      <c r="A342" s="61"/>
      <c r="B342" s="61"/>
      <c r="C342" s="61"/>
      <c r="D342" s="61"/>
      <c r="E342" s="61"/>
      <c r="F342" s="61"/>
      <c r="G342" s="61"/>
      <c r="H342" s="61"/>
      <c r="I342" s="61"/>
      <c r="J342" s="61"/>
    </row>
    <row r="343" spans="1:10" ht="12.75" x14ac:dyDescent="0.2">
      <c r="A343" s="61"/>
      <c r="B343" s="61"/>
      <c r="C343" s="61"/>
      <c r="D343" s="61"/>
      <c r="E343" s="61"/>
      <c r="F343" s="61"/>
      <c r="G343" s="61"/>
      <c r="H343" s="61"/>
      <c r="I343" s="61"/>
      <c r="J343" s="61"/>
    </row>
    <row r="344" spans="1:10" ht="12.75" x14ac:dyDescent="0.2">
      <c r="A344" s="61"/>
      <c r="B344" s="61"/>
      <c r="C344" s="61"/>
      <c r="D344" s="61"/>
      <c r="E344" s="61"/>
      <c r="F344" s="61"/>
      <c r="G344" s="61"/>
      <c r="H344" s="61"/>
      <c r="I344" s="61"/>
      <c r="J344" s="61"/>
    </row>
    <row r="345" spans="1:10" ht="12.75" x14ac:dyDescent="0.2">
      <c r="A345" s="61"/>
      <c r="B345" s="61"/>
      <c r="C345" s="61"/>
      <c r="D345" s="61"/>
      <c r="E345" s="61"/>
      <c r="F345" s="61"/>
      <c r="G345" s="61"/>
      <c r="H345" s="61"/>
      <c r="I345" s="61"/>
      <c r="J345" s="61"/>
    </row>
    <row r="346" spans="1:10" ht="12.75" x14ac:dyDescent="0.2">
      <c r="A346" s="61"/>
      <c r="B346" s="61"/>
      <c r="C346" s="61"/>
      <c r="D346" s="61"/>
      <c r="E346" s="61"/>
      <c r="F346" s="61"/>
      <c r="G346" s="61"/>
      <c r="H346" s="61"/>
      <c r="I346" s="61"/>
      <c r="J346" s="61"/>
    </row>
    <row r="347" spans="1:10" ht="12.75" x14ac:dyDescent="0.2">
      <c r="A347" s="61"/>
      <c r="B347" s="61"/>
      <c r="C347" s="61"/>
      <c r="D347" s="61"/>
      <c r="E347" s="61"/>
      <c r="F347" s="61"/>
      <c r="G347" s="61"/>
      <c r="H347" s="61"/>
      <c r="I347" s="61"/>
      <c r="J347" s="61"/>
    </row>
    <row r="348" spans="1:10" ht="12.75" x14ac:dyDescent="0.2">
      <c r="A348" s="61"/>
      <c r="B348" s="61"/>
      <c r="C348" s="61"/>
      <c r="D348" s="61"/>
      <c r="E348" s="61"/>
      <c r="F348" s="61"/>
      <c r="G348" s="61"/>
      <c r="H348" s="61"/>
      <c r="I348" s="61"/>
      <c r="J348" s="61"/>
    </row>
    <row r="349" spans="1:10" ht="12.75" x14ac:dyDescent="0.2">
      <c r="A349" s="61"/>
      <c r="B349" s="61"/>
      <c r="C349" s="61"/>
      <c r="D349" s="61"/>
      <c r="E349" s="61"/>
      <c r="F349" s="61"/>
      <c r="G349" s="61"/>
      <c r="H349" s="61"/>
      <c r="I349" s="61"/>
      <c r="J349" s="61"/>
    </row>
    <row r="350" spans="1:10" ht="12.75" x14ac:dyDescent="0.2">
      <c r="A350" s="61"/>
      <c r="B350" s="61"/>
      <c r="C350" s="61"/>
      <c r="D350" s="61"/>
      <c r="E350" s="61"/>
      <c r="F350" s="61"/>
      <c r="G350" s="61"/>
      <c r="H350" s="61"/>
      <c r="I350" s="61"/>
      <c r="J350" s="61"/>
    </row>
    <row r="352" spans="1:10" ht="12.75" x14ac:dyDescent="0.2">
      <c r="A352" s="61"/>
      <c r="B352" s="61"/>
      <c r="C352" s="61"/>
      <c r="D352" s="61"/>
      <c r="E352" s="61"/>
      <c r="F352" s="61"/>
      <c r="G352" s="61"/>
      <c r="H352" s="61"/>
      <c r="I352" s="61"/>
      <c r="J352" s="61"/>
    </row>
    <row r="353" spans="1:10" ht="12.75" x14ac:dyDescent="0.2">
      <c r="A353" s="61"/>
      <c r="B353" s="61"/>
      <c r="C353" s="61"/>
      <c r="D353" s="61"/>
      <c r="E353" s="61"/>
      <c r="F353" s="61"/>
      <c r="G353" s="61"/>
      <c r="H353" s="61"/>
      <c r="I353" s="61"/>
      <c r="J353" s="61"/>
    </row>
    <row r="354" spans="1:10" ht="12.75" x14ac:dyDescent="0.2">
      <c r="A354" s="61"/>
      <c r="B354" s="61"/>
      <c r="C354" s="61"/>
      <c r="D354" s="61"/>
      <c r="E354" s="61"/>
      <c r="F354" s="61"/>
      <c r="G354" s="61"/>
      <c r="H354" s="61"/>
      <c r="I354" s="61"/>
      <c r="J354" s="61"/>
    </row>
    <row r="355" spans="1:10" ht="12.75" x14ac:dyDescent="0.2">
      <c r="A355" s="61"/>
      <c r="B355" s="61"/>
      <c r="C355" s="61"/>
      <c r="D355" s="61"/>
      <c r="E355" s="61"/>
      <c r="F355" s="61"/>
      <c r="G355" s="61"/>
      <c r="H355" s="61"/>
      <c r="I355" s="61"/>
      <c r="J355" s="61"/>
    </row>
    <row r="356" spans="1:10" ht="12.75" x14ac:dyDescent="0.2">
      <c r="A356" s="61"/>
      <c r="B356" s="61"/>
      <c r="C356" s="61"/>
      <c r="D356" s="61"/>
      <c r="E356" s="61"/>
      <c r="F356" s="61"/>
      <c r="G356" s="61"/>
      <c r="H356" s="61"/>
      <c r="I356" s="61"/>
      <c r="J356" s="61"/>
    </row>
    <row r="357" spans="1:10" ht="12.75" x14ac:dyDescent="0.2">
      <c r="A357" s="61"/>
      <c r="B357" s="61"/>
      <c r="C357" s="61"/>
      <c r="D357" s="61"/>
      <c r="E357" s="61"/>
      <c r="F357" s="61"/>
      <c r="G357" s="61"/>
      <c r="H357" s="61"/>
      <c r="I357" s="61"/>
      <c r="J357" s="61"/>
    </row>
    <row r="358" spans="1:10" ht="12.75" x14ac:dyDescent="0.2">
      <c r="A358" s="61"/>
      <c r="B358" s="61"/>
      <c r="C358" s="61"/>
      <c r="D358" s="61"/>
      <c r="E358" s="61"/>
      <c r="F358" s="61"/>
      <c r="G358" s="61"/>
      <c r="H358" s="61"/>
      <c r="I358" s="61"/>
      <c r="J358" s="61"/>
    </row>
    <row r="359" spans="1:10" ht="12.75" x14ac:dyDescent="0.2">
      <c r="A359" s="61"/>
      <c r="B359" s="61"/>
      <c r="C359" s="61"/>
      <c r="D359" s="61"/>
      <c r="E359" s="61"/>
      <c r="F359" s="61"/>
      <c r="G359" s="61"/>
      <c r="H359" s="61"/>
      <c r="I359" s="61"/>
      <c r="J359" s="61"/>
    </row>
    <row r="360" spans="1:10" ht="12.75" x14ac:dyDescent="0.2">
      <c r="A360" s="61"/>
      <c r="B360" s="61"/>
      <c r="C360" s="61"/>
      <c r="D360" s="61"/>
      <c r="E360" s="61"/>
      <c r="F360" s="61"/>
      <c r="G360" s="61"/>
      <c r="H360" s="61"/>
      <c r="I360" s="61"/>
      <c r="J360" s="61"/>
    </row>
    <row r="361" spans="1:10" ht="12.75" x14ac:dyDescent="0.2">
      <c r="A361" s="61"/>
      <c r="B361" s="61"/>
      <c r="C361" s="61"/>
      <c r="D361" s="61"/>
      <c r="E361" s="61"/>
      <c r="F361" s="61"/>
      <c r="G361" s="61"/>
      <c r="H361" s="61"/>
      <c r="I361" s="61"/>
      <c r="J361" s="61"/>
    </row>
    <row r="362" spans="1:10" ht="12.75" x14ac:dyDescent="0.2">
      <c r="A362" s="61"/>
      <c r="B362" s="61"/>
      <c r="C362" s="61"/>
      <c r="D362" s="61"/>
      <c r="E362" s="61"/>
      <c r="F362" s="61"/>
      <c r="G362" s="61"/>
      <c r="H362" s="61"/>
      <c r="I362" s="61"/>
      <c r="J362" s="61"/>
    </row>
    <row r="363" spans="1:10" ht="12.75" x14ac:dyDescent="0.2">
      <c r="A363" s="61"/>
      <c r="B363" s="61"/>
      <c r="C363" s="61"/>
      <c r="D363" s="61"/>
      <c r="E363" s="61"/>
      <c r="F363" s="61"/>
      <c r="G363" s="61"/>
      <c r="H363" s="61"/>
      <c r="I363" s="61"/>
      <c r="J363" s="61"/>
    </row>
    <row r="364" spans="1:10" ht="12.75" x14ac:dyDescent="0.2">
      <c r="A364" s="61"/>
      <c r="B364" s="61"/>
      <c r="C364" s="61"/>
      <c r="D364" s="61"/>
      <c r="E364" s="61"/>
      <c r="F364" s="61"/>
      <c r="G364" s="61"/>
      <c r="H364" s="61"/>
      <c r="I364" s="61"/>
      <c r="J364" s="61"/>
    </row>
    <row r="365" spans="1:10" ht="12.75" x14ac:dyDescent="0.2">
      <c r="A365" s="61"/>
      <c r="B365" s="61"/>
      <c r="C365" s="61"/>
      <c r="D365" s="61"/>
      <c r="E365" s="61"/>
      <c r="F365" s="61"/>
      <c r="G365" s="61"/>
      <c r="H365" s="61"/>
      <c r="I365" s="61"/>
      <c r="J365" s="61"/>
    </row>
    <row r="366" spans="1:10" ht="12.75" x14ac:dyDescent="0.2">
      <c r="A366" s="61"/>
      <c r="B366" s="61"/>
      <c r="C366" s="61"/>
      <c r="D366" s="61"/>
      <c r="E366" s="61"/>
      <c r="F366" s="61"/>
      <c r="G366" s="61"/>
      <c r="H366" s="61"/>
      <c r="I366" s="61"/>
      <c r="J366" s="61"/>
    </row>
    <row r="367" spans="1:10" ht="12.75" x14ac:dyDescent="0.2">
      <c r="A367" s="61"/>
      <c r="B367" s="61"/>
      <c r="C367" s="61"/>
      <c r="D367" s="61"/>
      <c r="E367" s="61"/>
      <c r="F367" s="61"/>
      <c r="G367" s="61"/>
      <c r="H367" s="61"/>
      <c r="I367" s="61"/>
      <c r="J367" s="61"/>
    </row>
    <row r="368" spans="1:10" ht="12.75" x14ac:dyDescent="0.2">
      <c r="A368" s="61"/>
      <c r="B368" s="61"/>
      <c r="C368" s="61"/>
      <c r="D368" s="61"/>
      <c r="E368" s="61"/>
      <c r="F368" s="61"/>
      <c r="G368" s="61"/>
      <c r="H368" s="61"/>
      <c r="I368" s="61"/>
      <c r="J368" s="61"/>
    </row>
    <row r="369" spans="1:10" ht="12.75" x14ac:dyDescent="0.2">
      <c r="A369" s="61"/>
      <c r="B369" s="61"/>
      <c r="C369" s="61"/>
      <c r="D369" s="61"/>
      <c r="E369" s="61"/>
      <c r="F369" s="61"/>
      <c r="G369" s="61"/>
      <c r="H369" s="61"/>
      <c r="I369" s="61"/>
      <c r="J369" s="61"/>
    </row>
    <row r="370" spans="1:10" ht="12.75" x14ac:dyDescent="0.2">
      <c r="A370" s="61"/>
      <c r="B370" s="61"/>
      <c r="C370" s="61"/>
      <c r="D370" s="61"/>
      <c r="E370" s="61"/>
      <c r="F370" s="61"/>
      <c r="G370" s="61"/>
      <c r="H370" s="61"/>
      <c r="I370" s="61"/>
      <c r="J370" s="61"/>
    </row>
    <row r="371" spans="1:10" ht="12.75" x14ac:dyDescent="0.2">
      <c r="A371" s="61"/>
      <c r="B371" s="61"/>
      <c r="C371" s="61"/>
      <c r="D371" s="61"/>
      <c r="E371" s="61"/>
      <c r="F371" s="61"/>
      <c r="G371" s="61"/>
      <c r="H371" s="61"/>
      <c r="I371" s="61"/>
      <c r="J371" s="61"/>
    </row>
    <row r="372" spans="1:10" ht="12.75" x14ac:dyDescent="0.2">
      <c r="A372" s="61"/>
      <c r="B372" s="61"/>
      <c r="C372" s="61"/>
      <c r="D372" s="61"/>
      <c r="E372" s="61"/>
      <c r="F372" s="61"/>
      <c r="G372" s="61"/>
      <c r="H372" s="61"/>
      <c r="I372" s="61"/>
      <c r="J372" s="61"/>
    </row>
    <row r="373" spans="1:10" ht="12.75" x14ac:dyDescent="0.2">
      <c r="A373" s="61"/>
      <c r="B373" s="61"/>
      <c r="C373" s="61"/>
      <c r="D373" s="61"/>
      <c r="E373" s="61"/>
      <c r="F373" s="61"/>
      <c r="G373" s="61"/>
      <c r="H373" s="61"/>
      <c r="I373" s="61"/>
      <c r="J373" s="61"/>
    </row>
    <row r="374" spans="1:10" ht="12.75" x14ac:dyDescent="0.2">
      <c r="A374" s="61"/>
      <c r="B374" s="61"/>
      <c r="C374" s="61"/>
      <c r="D374" s="61"/>
      <c r="E374" s="61"/>
      <c r="F374" s="61"/>
      <c r="G374" s="61"/>
      <c r="H374" s="61"/>
      <c r="I374" s="61"/>
      <c r="J374" s="61"/>
    </row>
    <row r="375" spans="1:10" ht="12.75" x14ac:dyDescent="0.2">
      <c r="A375" s="61"/>
      <c r="B375" s="61"/>
      <c r="C375" s="61"/>
      <c r="D375" s="61"/>
      <c r="E375" s="61"/>
      <c r="F375" s="61"/>
      <c r="G375" s="61"/>
      <c r="H375" s="61"/>
      <c r="I375" s="61"/>
      <c r="J375" s="61"/>
    </row>
    <row r="376" spans="1:10" ht="12.75" x14ac:dyDescent="0.2">
      <c r="A376" s="61"/>
      <c r="B376" s="61"/>
      <c r="C376" s="61"/>
      <c r="D376" s="61"/>
      <c r="E376" s="61"/>
      <c r="F376" s="61"/>
      <c r="G376" s="61"/>
      <c r="H376" s="61"/>
      <c r="I376" s="61"/>
      <c r="J376" s="61"/>
    </row>
    <row r="377" spans="1:10" ht="12.75" x14ac:dyDescent="0.2">
      <c r="A377" s="61"/>
      <c r="B377" s="61"/>
      <c r="C377" s="61"/>
      <c r="D377" s="61"/>
      <c r="E377" s="61"/>
      <c r="F377" s="61"/>
      <c r="G377" s="61"/>
      <c r="H377" s="61"/>
      <c r="I377" s="61"/>
      <c r="J377" s="61"/>
    </row>
    <row r="378" spans="1:10" ht="12.75" x14ac:dyDescent="0.2">
      <c r="A378" s="61"/>
      <c r="B378" s="61"/>
      <c r="C378" s="61"/>
      <c r="D378" s="61"/>
      <c r="E378" s="61"/>
      <c r="F378" s="61"/>
      <c r="G378" s="61"/>
      <c r="H378" s="61"/>
      <c r="I378" s="61"/>
      <c r="J378" s="61"/>
    </row>
    <row r="379" spans="1:10" ht="12.75" x14ac:dyDescent="0.2">
      <c r="A379" s="61"/>
      <c r="B379" s="61"/>
      <c r="C379" s="61"/>
      <c r="D379" s="61"/>
      <c r="E379" s="61"/>
      <c r="F379" s="61"/>
      <c r="G379" s="61"/>
      <c r="H379" s="61"/>
      <c r="I379" s="61"/>
      <c r="J379" s="61"/>
    </row>
    <row r="380" spans="1:10" ht="12.75" x14ac:dyDescent="0.2">
      <c r="A380" s="61"/>
      <c r="B380" s="61"/>
      <c r="C380" s="61"/>
      <c r="D380" s="61"/>
      <c r="E380" s="61"/>
      <c r="F380" s="61"/>
      <c r="G380" s="61"/>
      <c r="H380" s="61"/>
      <c r="I380" s="61"/>
      <c r="J380" s="61"/>
    </row>
    <row r="381" spans="1:10" ht="12.75" x14ac:dyDescent="0.2">
      <c r="A381" s="61"/>
      <c r="B381" s="61"/>
      <c r="C381" s="61"/>
      <c r="D381" s="61"/>
      <c r="E381" s="61"/>
      <c r="F381" s="61"/>
      <c r="G381" s="61"/>
      <c r="H381" s="61"/>
      <c r="I381" s="61"/>
      <c r="J381" s="61"/>
    </row>
    <row r="382" spans="1:10" ht="12.75" x14ac:dyDescent="0.2">
      <c r="A382" s="61"/>
      <c r="B382" s="61"/>
      <c r="C382" s="61"/>
      <c r="D382" s="61"/>
      <c r="E382" s="61"/>
      <c r="F382" s="61"/>
      <c r="G382" s="61"/>
      <c r="H382" s="61"/>
      <c r="I382" s="61"/>
      <c r="J382" s="61"/>
    </row>
    <row r="383" spans="1:10" ht="12.75" x14ac:dyDescent="0.2">
      <c r="A383" s="61"/>
      <c r="B383" s="61"/>
      <c r="C383" s="61"/>
      <c r="D383" s="61"/>
      <c r="E383" s="61"/>
      <c r="F383" s="61"/>
      <c r="G383" s="61"/>
      <c r="H383" s="61"/>
      <c r="I383" s="61"/>
      <c r="J383" s="61"/>
    </row>
    <row r="384" spans="1:10" ht="12.75" x14ac:dyDescent="0.2">
      <c r="A384" s="61"/>
      <c r="B384" s="61"/>
      <c r="C384" s="61"/>
      <c r="D384" s="61"/>
      <c r="E384" s="61"/>
      <c r="F384" s="61"/>
      <c r="G384" s="61"/>
      <c r="H384" s="61"/>
      <c r="I384" s="61"/>
      <c r="J384" s="61"/>
    </row>
    <row r="385" spans="1:10" ht="12.75" x14ac:dyDescent="0.2">
      <c r="A385" s="61"/>
      <c r="B385" s="61"/>
      <c r="C385" s="61"/>
      <c r="D385" s="61"/>
      <c r="E385" s="61"/>
      <c r="F385" s="61"/>
      <c r="G385" s="61"/>
      <c r="H385" s="61"/>
      <c r="I385" s="61"/>
      <c r="J385" s="61"/>
    </row>
    <row r="386" spans="1:10" ht="12.75" x14ac:dyDescent="0.2">
      <c r="A386" s="61"/>
      <c r="B386" s="61"/>
      <c r="C386" s="61"/>
      <c r="D386" s="61"/>
      <c r="E386" s="61"/>
      <c r="F386" s="61"/>
      <c r="G386" s="61"/>
      <c r="H386" s="61"/>
      <c r="I386" s="61"/>
      <c r="J386" s="61"/>
    </row>
    <row r="387" spans="1:10" ht="12.75" x14ac:dyDescent="0.2">
      <c r="A387" s="61"/>
      <c r="B387" s="61"/>
      <c r="C387" s="61"/>
      <c r="D387" s="61"/>
      <c r="E387" s="61"/>
      <c r="F387" s="61"/>
      <c r="G387" s="61"/>
      <c r="H387" s="61"/>
      <c r="I387" s="61"/>
      <c r="J387" s="61"/>
    </row>
    <row r="388" spans="1:10" ht="12.75" x14ac:dyDescent="0.2">
      <c r="A388" s="61"/>
      <c r="B388" s="61"/>
      <c r="C388" s="61"/>
      <c r="D388" s="61"/>
      <c r="E388" s="61"/>
      <c r="F388" s="61"/>
      <c r="G388" s="61"/>
      <c r="H388" s="61"/>
      <c r="I388" s="61"/>
      <c r="J388" s="61"/>
    </row>
    <row r="389" spans="1:10" ht="12.75" x14ac:dyDescent="0.2">
      <c r="A389" s="61"/>
      <c r="B389" s="61"/>
      <c r="C389" s="61"/>
      <c r="D389" s="61"/>
      <c r="E389" s="61"/>
      <c r="F389" s="61"/>
      <c r="G389" s="61"/>
      <c r="H389" s="61"/>
      <c r="I389" s="61"/>
      <c r="J389" s="61"/>
    </row>
    <row r="390" spans="1:10" ht="12.75" x14ac:dyDescent="0.2">
      <c r="A390" s="61"/>
      <c r="B390" s="61"/>
      <c r="C390" s="61"/>
      <c r="D390" s="61"/>
      <c r="E390" s="61"/>
      <c r="F390" s="61"/>
      <c r="G390" s="61"/>
      <c r="H390" s="61"/>
      <c r="I390" s="61"/>
      <c r="J390" s="61"/>
    </row>
    <row r="391" spans="1:10" ht="12.75" x14ac:dyDescent="0.2">
      <c r="A391" s="61"/>
      <c r="B391" s="61"/>
      <c r="C391" s="61"/>
      <c r="D391" s="61"/>
      <c r="E391" s="61"/>
      <c r="F391" s="61"/>
      <c r="G391" s="61"/>
      <c r="H391" s="61"/>
      <c r="I391" s="61"/>
      <c r="J391" s="61"/>
    </row>
    <row r="392" spans="1:10" ht="12.75" x14ac:dyDescent="0.2">
      <c r="A392" s="61"/>
      <c r="B392" s="61"/>
      <c r="C392" s="61"/>
      <c r="D392" s="61"/>
      <c r="E392" s="61"/>
      <c r="F392" s="61"/>
      <c r="G392" s="61"/>
      <c r="H392" s="61"/>
      <c r="I392" s="61"/>
      <c r="J392" s="61"/>
    </row>
    <row r="393" spans="1:10" ht="12.75" x14ac:dyDescent="0.2">
      <c r="A393" s="61"/>
      <c r="B393" s="61"/>
      <c r="C393" s="61"/>
      <c r="D393" s="61"/>
      <c r="E393" s="61"/>
      <c r="F393" s="61"/>
      <c r="G393" s="61"/>
      <c r="H393" s="61"/>
      <c r="I393" s="61"/>
      <c r="J393" s="61"/>
    </row>
    <row r="394" spans="1:10" ht="12.75" x14ac:dyDescent="0.2">
      <c r="A394" s="61"/>
      <c r="B394" s="61"/>
      <c r="C394" s="61"/>
      <c r="D394" s="61"/>
      <c r="E394" s="61"/>
      <c r="F394" s="61"/>
      <c r="G394" s="61"/>
      <c r="H394" s="61"/>
      <c r="I394" s="61"/>
      <c r="J394" s="61"/>
    </row>
    <row r="395" spans="1:10" ht="12.75" x14ac:dyDescent="0.2">
      <c r="A395" s="61"/>
      <c r="B395" s="61"/>
      <c r="C395" s="61"/>
      <c r="D395" s="61"/>
      <c r="E395" s="61"/>
      <c r="F395" s="61"/>
      <c r="G395" s="61"/>
      <c r="H395" s="61"/>
      <c r="I395" s="61"/>
      <c r="J395" s="61"/>
    </row>
    <row r="396" spans="1:10" ht="12.75" x14ac:dyDescent="0.2">
      <c r="A396" s="61"/>
      <c r="B396" s="61"/>
      <c r="C396" s="61"/>
      <c r="D396" s="61"/>
      <c r="E396" s="61"/>
      <c r="F396" s="61"/>
      <c r="G396" s="61"/>
      <c r="H396" s="61"/>
      <c r="I396" s="61"/>
      <c r="J396" s="61"/>
    </row>
    <row r="397" spans="1:10" ht="12.75" x14ac:dyDescent="0.2">
      <c r="A397" s="61"/>
      <c r="B397" s="61"/>
      <c r="C397" s="61"/>
      <c r="D397" s="61"/>
      <c r="E397" s="61"/>
      <c r="F397" s="61"/>
      <c r="G397" s="61"/>
      <c r="H397" s="61"/>
      <c r="I397" s="61"/>
      <c r="J397" s="61"/>
    </row>
    <row r="398" spans="1:10" ht="12.75" x14ac:dyDescent="0.2">
      <c r="A398" s="61"/>
      <c r="B398" s="61"/>
      <c r="C398" s="61"/>
      <c r="D398" s="61"/>
      <c r="E398" s="61"/>
      <c r="F398" s="61"/>
      <c r="G398" s="61"/>
      <c r="H398" s="61"/>
      <c r="I398" s="61"/>
      <c r="J398" s="61"/>
    </row>
    <row r="399" spans="1:10" ht="12.75" x14ac:dyDescent="0.2">
      <c r="A399" s="61"/>
      <c r="B399" s="61"/>
      <c r="C399" s="61"/>
      <c r="D399" s="61"/>
      <c r="E399" s="61"/>
      <c r="F399" s="61"/>
      <c r="G399" s="61"/>
      <c r="H399" s="61"/>
      <c r="I399" s="61"/>
      <c r="J399" s="61"/>
    </row>
    <row r="400" spans="1:10" ht="12.75" x14ac:dyDescent="0.2">
      <c r="A400" s="61"/>
      <c r="B400" s="61"/>
      <c r="C400" s="61"/>
      <c r="D400" s="61"/>
      <c r="E400" s="61"/>
      <c r="F400" s="61"/>
      <c r="G400" s="61"/>
      <c r="H400" s="61"/>
      <c r="I400" s="61"/>
      <c r="J400" s="61"/>
    </row>
    <row r="401" spans="1:10" ht="12.75" x14ac:dyDescent="0.2">
      <c r="A401" s="61"/>
      <c r="B401" s="61"/>
      <c r="C401" s="61"/>
      <c r="D401" s="61"/>
      <c r="E401" s="61"/>
      <c r="F401" s="61"/>
      <c r="G401" s="61"/>
      <c r="H401" s="61"/>
      <c r="I401" s="61"/>
      <c r="J401" s="61"/>
    </row>
    <row r="402" spans="1:10" ht="12.75" x14ac:dyDescent="0.2">
      <c r="A402" s="61"/>
      <c r="B402" s="61"/>
      <c r="C402" s="61"/>
      <c r="D402" s="61"/>
      <c r="E402" s="61"/>
      <c r="F402" s="61"/>
      <c r="G402" s="61"/>
      <c r="H402" s="61"/>
      <c r="I402" s="61"/>
      <c r="J402" s="61"/>
    </row>
    <row r="403" spans="1:10" ht="12.75" x14ac:dyDescent="0.2">
      <c r="A403" s="61"/>
      <c r="B403" s="61"/>
      <c r="C403" s="61"/>
      <c r="D403" s="61"/>
      <c r="E403" s="61"/>
      <c r="F403" s="61"/>
      <c r="G403" s="61"/>
      <c r="H403" s="61"/>
      <c r="I403" s="61"/>
      <c r="J403" s="61"/>
    </row>
    <row r="404" spans="1:10" ht="12.75" x14ac:dyDescent="0.2">
      <c r="A404" s="61"/>
      <c r="B404" s="61"/>
      <c r="C404" s="61"/>
      <c r="D404" s="61"/>
      <c r="E404" s="61"/>
      <c r="F404" s="61"/>
      <c r="G404" s="61"/>
      <c r="H404" s="61"/>
      <c r="I404" s="61"/>
      <c r="J404" s="61"/>
    </row>
    <row r="405" spans="1:10" ht="12.75" x14ac:dyDescent="0.2">
      <c r="A405" s="61"/>
      <c r="B405" s="61"/>
      <c r="C405" s="61"/>
      <c r="D405" s="61"/>
      <c r="E405" s="61"/>
      <c r="F405" s="61"/>
      <c r="G405" s="61"/>
      <c r="H405" s="61"/>
      <c r="I405" s="61"/>
      <c r="J405" s="61"/>
    </row>
    <row r="406" spans="1:10" ht="12.75" x14ac:dyDescent="0.2">
      <c r="A406" s="61"/>
      <c r="B406" s="61"/>
      <c r="C406" s="61"/>
      <c r="D406" s="61"/>
      <c r="E406" s="61"/>
      <c r="F406" s="61"/>
      <c r="G406" s="61"/>
      <c r="H406" s="61"/>
      <c r="I406" s="61"/>
      <c r="J406" s="61"/>
    </row>
    <row r="407" spans="1:10" ht="12.75" x14ac:dyDescent="0.2">
      <c r="A407" s="61"/>
      <c r="B407" s="61"/>
      <c r="C407" s="61"/>
      <c r="D407" s="61"/>
      <c r="E407" s="61"/>
      <c r="F407" s="61"/>
      <c r="G407" s="61"/>
      <c r="H407" s="61"/>
      <c r="I407" s="61"/>
      <c r="J407" s="61"/>
    </row>
    <row r="408" spans="1:10" ht="12.75" x14ac:dyDescent="0.2">
      <c r="A408" s="61"/>
      <c r="B408" s="61"/>
      <c r="C408" s="61"/>
      <c r="D408" s="61"/>
      <c r="E408" s="61"/>
      <c r="F408" s="61"/>
      <c r="G408" s="61"/>
      <c r="H408" s="61"/>
      <c r="I408" s="61"/>
      <c r="J408" s="61"/>
    </row>
    <row r="409" spans="1:10" ht="12.75" x14ac:dyDescent="0.2">
      <c r="A409" s="61"/>
      <c r="B409" s="61"/>
      <c r="C409" s="61"/>
      <c r="D409" s="61"/>
      <c r="E409" s="61"/>
      <c r="F409" s="61"/>
      <c r="G409" s="61"/>
      <c r="H409" s="61"/>
      <c r="I409" s="61"/>
      <c r="J409" s="61"/>
    </row>
    <row r="410" spans="1:10" ht="12.75" x14ac:dyDescent="0.2">
      <c r="A410" s="61"/>
      <c r="B410" s="61"/>
      <c r="C410" s="61"/>
      <c r="D410" s="61"/>
      <c r="E410" s="61"/>
      <c r="F410" s="61"/>
      <c r="G410" s="61"/>
      <c r="H410" s="61"/>
      <c r="I410" s="61"/>
      <c r="J410" s="61"/>
    </row>
    <row r="411" spans="1:10" ht="12.75" x14ac:dyDescent="0.2">
      <c r="A411" s="61"/>
      <c r="B411" s="61"/>
      <c r="C411" s="61"/>
      <c r="D411" s="61"/>
      <c r="E411" s="61"/>
      <c r="F411" s="61"/>
      <c r="G411" s="61"/>
      <c r="H411" s="61"/>
      <c r="I411" s="61"/>
      <c r="J411" s="61"/>
    </row>
    <row r="412" spans="1:10" ht="12.75" x14ac:dyDescent="0.2">
      <c r="A412" s="61"/>
      <c r="B412" s="61"/>
      <c r="C412" s="61"/>
      <c r="D412" s="61"/>
      <c r="E412" s="61"/>
      <c r="F412" s="61"/>
      <c r="G412" s="61"/>
      <c r="H412" s="61"/>
      <c r="I412" s="61"/>
      <c r="J412" s="61"/>
    </row>
    <row r="413" spans="1:10" ht="12.75" x14ac:dyDescent="0.2">
      <c r="A413" s="61"/>
      <c r="B413" s="61"/>
      <c r="C413" s="61"/>
      <c r="D413" s="61"/>
      <c r="E413" s="61"/>
      <c r="F413" s="61"/>
      <c r="G413" s="61"/>
      <c r="H413" s="61"/>
      <c r="I413" s="61"/>
      <c r="J413" s="61"/>
    </row>
    <row r="414" spans="1:10" ht="12.75" x14ac:dyDescent="0.2">
      <c r="A414" s="61"/>
      <c r="B414" s="61"/>
      <c r="C414" s="61"/>
      <c r="D414" s="61"/>
      <c r="E414" s="61"/>
      <c r="F414" s="61"/>
      <c r="G414" s="61"/>
      <c r="H414" s="61"/>
      <c r="I414" s="61"/>
      <c r="J414" s="61"/>
    </row>
    <row r="415" spans="1:10" ht="12.75" x14ac:dyDescent="0.2">
      <c r="A415" s="61"/>
      <c r="B415" s="61"/>
      <c r="C415" s="61"/>
      <c r="D415" s="61"/>
      <c r="E415" s="61"/>
      <c r="F415" s="61"/>
      <c r="G415" s="61"/>
      <c r="H415" s="61"/>
      <c r="I415" s="61"/>
      <c r="J415" s="61"/>
    </row>
    <row r="416" spans="1:10" ht="12.75" x14ac:dyDescent="0.2">
      <c r="A416" s="61"/>
      <c r="B416" s="61"/>
      <c r="C416" s="61"/>
      <c r="D416" s="61"/>
      <c r="E416" s="61"/>
      <c r="F416" s="61"/>
      <c r="G416" s="61"/>
      <c r="H416" s="61"/>
      <c r="I416" s="61"/>
      <c r="J416" s="61"/>
    </row>
    <row r="417" spans="1:10" ht="12.75" x14ac:dyDescent="0.2">
      <c r="A417" s="61"/>
      <c r="B417" s="61"/>
      <c r="C417" s="61"/>
      <c r="D417" s="61"/>
      <c r="E417" s="61"/>
      <c r="F417" s="61"/>
      <c r="G417" s="61"/>
      <c r="H417" s="61"/>
      <c r="I417" s="61"/>
      <c r="J417" s="61"/>
    </row>
    <row r="418" spans="1:10" ht="12.75" x14ac:dyDescent="0.2">
      <c r="A418" s="61"/>
      <c r="B418" s="61"/>
      <c r="C418" s="61"/>
      <c r="D418" s="61"/>
      <c r="E418" s="61"/>
      <c r="F418" s="61"/>
      <c r="G418" s="61"/>
      <c r="H418" s="61"/>
      <c r="I418" s="61"/>
      <c r="J418" s="61"/>
    </row>
    <row r="419" spans="1:10" ht="12.75" x14ac:dyDescent="0.2">
      <c r="A419" s="61"/>
      <c r="B419" s="61"/>
      <c r="C419" s="61"/>
      <c r="D419" s="61"/>
      <c r="E419" s="61"/>
      <c r="F419" s="61"/>
      <c r="G419" s="61"/>
      <c r="H419" s="61"/>
      <c r="I419" s="61"/>
      <c r="J419" s="61"/>
    </row>
    <row r="420" spans="1:10" ht="12.75" x14ac:dyDescent="0.2">
      <c r="A420" s="61"/>
      <c r="B420" s="61"/>
      <c r="C420" s="61"/>
      <c r="D420" s="61"/>
      <c r="E420" s="61"/>
      <c r="F420" s="61"/>
      <c r="G420" s="61"/>
      <c r="H420" s="61"/>
      <c r="I420" s="61"/>
      <c r="J420" s="61"/>
    </row>
    <row r="421" spans="1:10" ht="12.75" x14ac:dyDescent="0.2">
      <c r="A421" s="61"/>
      <c r="B421" s="61"/>
      <c r="C421" s="61"/>
      <c r="D421" s="61"/>
      <c r="E421" s="61"/>
      <c r="F421" s="61"/>
      <c r="G421" s="61"/>
      <c r="H421" s="61"/>
      <c r="I421" s="61"/>
      <c r="J421" s="61"/>
    </row>
    <row r="422" spans="1:10" ht="12.75" x14ac:dyDescent="0.2">
      <c r="A422" s="61"/>
      <c r="B422" s="61"/>
      <c r="C422" s="61"/>
      <c r="D422" s="61"/>
      <c r="E422" s="61"/>
      <c r="F422" s="61"/>
      <c r="G422" s="61"/>
      <c r="H422" s="61"/>
      <c r="I422" s="61"/>
      <c r="J422" s="61"/>
    </row>
    <row r="423" spans="1:10" ht="12.75" x14ac:dyDescent="0.2">
      <c r="A423" s="61"/>
      <c r="B423" s="61"/>
      <c r="C423" s="61"/>
      <c r="D423" s="61"/>
      <c r="E423" s="61"/>
      <c r="F423" s="61"/>
      <c r="G423" s="61"/>
      <c r="H423" s="61"/>
      <c r="I423" s="61"/>
      <c r="J423" s="61"/>
    </row>
    <row r="424" spans="1:10" ht="12.75" x14ac:dyDescent="0.2">
      <c r="A424" s="61"/>
      <c r="B424" s="61"/>
      <c r="C424" s="61"/>
      <c r="D424" s="61"/>
      <c r="E424" s="61"/>
      <c r="F424" s="61"/>
      <c r="G424" s="61"/>
      <c r="H424" s="61"/>
      <c r="I424" s="61"/>
      <c r="J424" s="61"/>
    </row>
    <row r="425" spans="1:10" ht="12.75" x14ac:dyDescent="0.2">
      <c r="A425" s="61"/>
      <c r="B425" s="61"/>
      <c r="C425" s="61"/>
      <c r="D425" s="61"/>
      <c r="E425" s="61"/>
      <c r="F425" s="61"/>
      <c r="G425" s="61"/>
      <c r="H425" s="61"/>
      <c r="I425" s="61"/>
      <c r="J425" s="61"/>
    </row>
    <row r="426" spans="1:10" ht="12.75" x14ac:dyDescent="0.2">
      <c r="A426" s="61"/>
      <c r="B426" s="61"/>
      <c r="C426" s="61"/>
      <c r="D426" s="61"/>
      <c r="E426" s="61"/>
      <c r="F426" s="61"/>
      <c r="G426" s="61"/>
      <c r="H426" s="61"/>
      <c r="I426" s="61"/>
      <c r="J426" s="61"/>
    </row>
    <row r="427" spans="1:10" ht="12.75" x14ac:dyDescent="0.2">
      <c r="A427" s="61"/>
      <c r="B427" s="61"/>
      <c r="C427" s="61"/>
      <c r="D427" s="61"/>
      <c r="E427" s="61"/>
      <c r="F427" s="61"/>
      <c r="G427" s="61"/>
      <c r="H427" s="61"/>
      <c r="I427" s="61"/>
      <c r="J427" s="61"/>
    </row>
    <row r="428" spans="1:10" ht="12.75" x14ac:dyDescent="0.2">
      <c r="A428" s="61"/>
      <c r="B428" s="61"/>
      <c r="C428" s="61"/>
      <c r="D428" s="61"/>
      <c r="E428" s="61"/>
      <c r="F428" s="61"/>
      <c r="G428" s="61"/>
      <c r="H428" s="61"/>
      <c r="I428" s="61"/>
      <c r="J428" s="61"/>
    </row>
    <row r="429" spans="1:10" ht="12.75" x14ac:dyDescent="0.2">
      <c r="A429" s="61"/>
      <c r="B429" s="61"/>
      <c r="C429" s="61"/>
      <c r="D429" s="61"/>
      <c r="E429" s="61"/>
      <c r="F429" s="61"/>
      <c r="G429" s="61"/>
      <c r="H429" s="61"/>
      <c r="I429" s="61"/>
      <c r="J429" s="61"/>
    </row>
    <row r="430" spans="1:10" ht="12.75" x14ac:dyDescent="0.2">
      <c r="A430" s="61"/>
      <c r="B430" s="61"/>
      <c r="C430" s="61"/>
      <c r="D430" s="61"/>
      <c r="E430" s="61"/>
      <c r="F430" s="61"/>
      <c r="G430" s="61"/>
      <c r="H430" s="61"/>
      <c r="I430" s="61"/>
      <c r="J430" s="61"/>
    </row>
    <row r="431" spans="1:10" ht="12.75" x14ac:dyDescent="0.2">
      <c r="A431" s="61"/>
      <c r="B431" s="61"/>
      <c r="C431" s="61"/>
      <c r="D431" s="61"/>
      <c r="E431" s="61"/>
      <c r="F431" s="61"/>
      <c r="G431" s="61"/>
      <c r="H431" s="61"/>
      <c r="I431" s="61"/>
      <c r="J431" s="61"/>
    </row>
    <row r="432" spans="1:10" ht="12.75" x14ac:dyDescent="0.2">
      <c r="A432" s="61"/>
      <c r="B432" s="61"/>
      <c r="C432" s="61"/>
      <c r="D432" s="61"/>
      <c r="E432" s="61"/>
      <c r="F432" s="61"/>
      <c r="G432" s="61"/>
      <c r="H432" s="61"/>
      <c r="I432" s="61"/>
      <c r="J432" s="61"/>
    </row>
    <row r="433" spans="1:10" ht="12.75" x14ac:dyDescent="0.2">
      <c r="A433" s="61"/>
      <c r="B433" s="61"/>
      <c r="C433" s="61"/>
      <c r="D433" s="61"/>
      <c r="E433" s="61"/>
      <c r="F433" s="61"/>
      <c r="G433" s="61"/>
      <c r="H433" s="61"/>
      <c r="I433" s="61"/>
      <c r="J433" s="61"/>
    </row>
    <row r="434" spans="1:10" ht="12.75" x14ac:dyDescent="0.2">
      <c r="A434" s="61"/>
      <c r="B434" s="61"/>
      <c r="C434" s="61"/>
      <c r="D434" s="61"/>
      <c r="E434" s="61"/>
      <c r="F434" s="61"/>
      <c r="G434" s="61"/>
      <c r="H434" s="61"/>
      <c r="I434" s="61"/>
      <c r="J434" s="61"/>
    </row>
    <row r="435" spans="1:10" ht="12.75" x14ac:dyDescent="0.2">
      <c r="A435" s="61"/>
      <c r="B435" s="61"/>
      <c r="C435" s="61"/>
      <c r="D435" s="61"/>
      <c r="E435" s="61"/>
      <c r="F435" s="61"/>
      <c r="G435" s="61"/>
      <c r="H435" s="61"/>
      <c r="I435" s="61"/>
      <c r="J435" s="61"/>
    </row>
    <row r="436" spans="1:10" ht="12.75" x14ac:dyDescent="0.2">
      <c r="A436" s="61"/>
      <c r="B436" s="61"/>
      <c r="C436" s="61"/>
      <c r="D436" s="61"/>
      <c r="E436" s="61"/>
      <c r="F436" s="61"/>
      <c r="G436" s="61"/>
      <c r="H436" s="61"/>
      <c r="I436" s="61"/>
      <c r="J436" s="61"/>
    </row>
    <row r="437" spans="1:10" ht="12.75" x14ac:dyDescent="0.2">
      <c r="A437" s="61"/>
      <c r="B437" s="61"/>
      <c r="C437" s="61"/>
      <c r="D437" s="61"/>
      <c r="E437" s="61"/>
      <c r="F437" s="61"/>
      <c r="G437" s="61"/>
      <c r="H437" s="61"/>
      <c r="I437" s="61"/>
      <c r="J437" s="61"/>
    </row>
    <row r="438" spans="1:10" ht="12.75" x14ac:dyDescent="0.2">
      <c r="A438" s="61"/>
      <c r="B438" s="61"/>
      <c r="C438" s="61"/>
      <c r="D438" s="61"/>
      <c r="E438" s="61"/>
      <c r="F438" s="61"/>
      <c r="G438" s="61"/>
      <c r="H438" s="61"/>
      <c r="I438" s="61"/>
      <c r="J438" s="61"/>
    </row>
    <row r="439" spans="1:10" ht="12.75" x14ac:dyDescent="0.2">
      <c r="A439" s="61"/>
      <c r="B439" s="61"/>
      <c r="C439" s="61"/>
      <c r="D439" s="61"/>
      <c r="E439" s="61"/>
      <c r="F439" s="61"/>
      <c r="G439" s="61"/>
      <c r="H439" s="61"/>
      <c r="I439" s="61"/>
      <c r="J439" s="61"/>
    </row>
    <row r="440" spans="1:10" ht="12.75" x14ac:dyDescent="0.2">
      <c r="A440" s="61"/>
      <c r="B440" s="61"/>
      <c r="C440" s="61"/>
      <c r="D440" s="61"/>
      <c r="E440" s="61"/>
      <c r="F440" s="61"/>
      <c r="G440" s="61"/>
      <c r="H440" s="61"/>
      <c r="I440" s="61"/>
      <c r="J440" s="61"/>
    </row>
    <row r="441" spans="1:10" ht="12.75" x14ac:dyDescent="0.2">
      <c r="A441" s="61"/>
      <c r="B441" s="61"/>
      <c r="C441" s="61"/>
      <c r="D441" s="61"/>
      <c r="E441" s="61"/>
      <c r="F441" s="61"/>
      <c r="G441" s="61"/>
      <c r="H441" s="61"/>
      <c r="I441" s="61"/>
      <c r="J441" s="61"/>
    </row>
    <row r="442" spans="1:10" ht="12.75" x14ac:dyDescent="0.2">
      <c r="A442" s="61"/>
      <c r="B442" s="61"/>
      <c r="C442" s="61"/>
      <c r="D442" s="61"/>
      <c r="E442" s="61"/>
      <c r="F442" s="61"/>
      <c r="G442" s="61"/>
      <c r="H442" s="61"/>
      <c r="I442" s="61"/>
      <c r="J442" s="61"/>
    </row>
    <row r="443" spans="1:10" ht="12.75" x14ac:dyDescent="0.2">
      <c r="A443" s="61"/>
      <c r="B443" s="61"/>
      <c r="C443" s="61"/>
      <c r="D443" s="61"/>
      <c r="E443" s="61"/>
      <c r="F443" s="61"/>
      <c r="G443" s="61"/>
      <c r="H443" s="61"/>
      <c r="I443" s="61"/>
      <c r="J443" s="61"/>
    </row>
    <row r="444" spans="1:10" ht="12.75" x14ac:dyDescent="0.2">
      <c r="A444" s="61"/>
      <c r="B444" s="61"/>
      <c r="C444" s="61"/>
      <c r="D444" s="61"/>
      <c r="E444" s="61"/>
      <c r="F444" s="61"/>
      <c r="G444" s="61"/>
      <c r="H444" s="61"/>
      <c r="I444" s="61"/>
      <c r="J444" s="61"/>
    </row>
    <row r="445" spans="1:10" ht="12.75" x14ac:dyDescent="0.2">
      <c r="A445" s="61"/>
      <c r="B445" s="61"/>
      <c r="C445" s="61"/>
      <c r="D445" s="61"/>
      <c r="E445" s="61"/>
      <c r="F445" s="61"/>
      <c r="G445" s="61"/>
      <c r="H445" s="61"/>
      <c r="I445" s="61"/>
      <c r="J445" s="61"/>
    </row>
    <row r="446" spans="1:10" ht="12.75" x14ac:dyDescent="0.2">
      <c r="A446" s="61"/>
      <c r="B446" s="61"/>
      <c r="C446" s="61"/>
      <c r="D446" s="61"/>
      <c r="E446" s="61"/>
      <c r="F446" s="61"/>
      <c r="G446" s="61"/>
      <c r="H446" s="61"/>
      <c r="I446" s="61"/>
      <c r="J446" s="61"/>
    </row>
    <row r="447" spans="1:10" ht="12.75" x14ac:dyDescent="0.2">
      <c r="A447" s="61"/>
      <c r="B447" s="61"/>
      <c r="C447" s="61"/>
      <c r="D447" s="61"/>
      <c r="E447" s="61"/>
      <c r="F447" s="61"/>
      <c r="G447" s="61"/>
      <c r="H447" s="61"/>
      <c r="I447" s="61"/>
      <c r="J447" s="61"/>
    </row>
    <row r="448" spans="1:10" ht="12.75" x14ac:dyDescent="0.2">
      <c r="A448" s="61"/>
      <c r="B448" s="61"/>
      <c r="C448" s="61"/>
      <c r="D448" s="61"/>
      <c r="E448" s="61"/>
      <c r="F448" s="61"/>
      <c r="G448" s="61"/>
      <c r="H448" s="61"/>
      <c r="I448" s="61"/>
      <c r="J448" s="61"/>
    </row>
    <row r="449" spans="1:10" ht="12.75" x14ac:dyDescent="0.2">
      <c r="A449" s="61"/>
      <c r="B449" s="61"/>
      <c r="C449" s="61"/>
      <c r="D449" s="61"/>
      <c r="E449" s="61"/>
      <c r="F449" s="61"/>
      <c r="G449" s="61"/>
      <c r="H449" s="61"/>
      <c r="I449" s="61"/>
      <c r="J449" s="61"/>
    </row>
    <row r="450" spans="1:10" ht="12.75" x14ac:dyDescent="0.2">
      <c r="A450" s="61"/>
      <c r="B450" s="61"/>
      <c r="C450" s="61"/>
      <c r="D450" s="61"/>
      <c r="E450" s="61"/>
      <c r="F450" s="61"/>
      <c r="G450" s="61"/>
      <c r="H450" s="61"/>
      <c r="I450" s="61"/>
      <c r="J450" s="61"/>
    </row>
    <row r="451" spans="1:10" ht="12.75" x14ac:dyDescent="0.2">
      <c r="A451" s="61"/>
      <c r="B451" s="61"/>
      <c r="C451" s="61"/>
      <c r="D451" s="61"/>
      <c r="E451" s="61"/>
      <c r="F451" s="61"/>
      <c r="G451" s="61"/>
      <c r="H451" s="61"/>
      <c r="I451" s="61"/>
      <c r="J451" s="61"/>
    </row>
    <row r="452" spans="1:10" ht="12.75" x14ac:dyDescent="0.2">
      <c r="A452" s="61"/>
      <c r="B452" s="61"/>
      <c r="C452" s="61"/>
      <c r="D452" s="61"/>
      <c r="E452" s="61"/>
      <c r="F452" s="61"/>
      <c r="G452" s="61"/>
      <c r="H452" s="61"/>
      <c r="I452" s="61"/>
      <c r="J452" s="61"/>
    </row>
    <row r="453" spans="1:10" ht="12.75" x14ac:dyDescent="0.2">
      <c r="A453" s="61"/>
      <c r="B453" s="61"/>
      <c r="C453" s="61"/>
      <c r="D453" s="61"/>
      <c r="E453" s="61"/>
      <c r="F453" s="61"/>
      <c r="G453" s="61"/>
      <c r="H453" s="61"/>
      <c r="I453" s="61"/>
      <c r="J453" s="61"/>
    </row>
    <row r="454" spans="1:10" ht="12.75" x14ac:dyDescent="0.2">
      <c r="A454" s="61"/>
      <c r="B454" s="61"/>
      <c r="C454" s="61"/>
      <c r="D454" s="61"/>
      <c r="E454" s="61"/>
      <c r="F454" s="61"/>
      <c r="G454" s="61"/>
      <c r="H454" s="61"/>
      <c r="I454" s="61"/>
      <c r="J454" s="61"/>
    </row>
    <row r="455" spans="1:10" ht="12.75" x14ac:dyDescent="0.2">
      <c r="A455" s="61"/>
      <c r="B455" s="61"/>
      <c r="C455" s="61"/>
      <c r="D455" s="61"/>
      <c r="E455" s="61"/>
      <c r="F455" s="61"/>
      <c r="G455" s="61"/>
      <c r="H455" s="61"/>
      <c r="I455" s="61"/>
      <c r="J455" s="61"/>
    </row>
    <row r="456" spans="1:10" ht="12.75" x14ac:dyDescent="0.2">
      <c r="A456" s="61"/>
      <c r="B456" s="61"/>
      <c r="C456" s="61"/>
      <c r="D456" s="61"/>
      <c r="E456" s="61"/>
      <c r="F456" s="61"/>
      <c r="G456" s="61"/>
      <c r="H456" s="61"/>
      <c r="I456" s="61"/>
      <c r="J456" s="61"/>
    </row>
    <row r="457" spans="1:10" ht="12.75" x14ac:dyDescent="0.2">
      <c r="A457" s="61"/>
      <c r="B457" s="61"/>
      <c r="C457" s="61"/>
      <c r="D457" s="61"/>
      <c r="E457" s="61"/>
      <c r="F457" s="61"/>
      <c r="G457" s="61"/>
      <c r="H457" s="61"/>
      <c r="I457" s="61"/>
      <c r="J457" s="61"/>
    </row>
    <row r="458" spans="1:10" ht="12.75" x14ac:dyDescent="0.2">
      <c r="A458" s="61"/>
      <c r="B458" s="61"/>
      <c r="C458" s="61"/>
      <c r="D458" s="61"/>
      <c r="E458" s="61"/>
      <c r="F458" s="61"/>
      <c r="G458" s="61"/>
      <c r="H458" s="61"/>
      <c r="I458" s="61"/>
      <c r="J458" s="61"/>
    </row>
    <row r="459" spans="1:10" ht="12.75" x14ac:dyDescent="0.2">
      <c r="A459" s="61"/>
      <c r="B459" s="61"/>
      <c r="C459" s="61"/>
      <c r="D459" s="61"/>
      <c r="E459" s="61"/>
      <c r="F459" s="61"/>
      <c r="G459" s="61"/>
      <c r="H459" s="61"/>
      <c r="I459" s="61"/>
      <c r="J459" s="61"/>
    </row>
    <row r="460" spans="1:10" ht="12.75" x14ac:dyDescent="0.2">
      <c r="A460" s="61"/>
      <c r="B460" s="61"/>
      <c r="C460" s="61"/>
      <c r="D460" s="61"/>
      <c r="E460" s="61"/>
      <c r="F460" s="61"/>
      <c r="G460" s="61"/>
      <c r="H460" s="61"/>
      <c r="I460" s="61"/>
      <c r="J460" s="61"/>
    </row>
    <row r="461" spans="1:10" ht="12.75" x14ac:dyDescent="0.2">
      <c r="A461" s="61"/>
      <c r="B461" s="61"/>
      <c r="C461" s="61"/>
      <c r="D461" s="61"/>
      <c r="E461" s="61"/>
      <c r="F461" s="61"/>
      <c r="G461" s="61"/>
      <c r="H461" s="61"/>
      <c r="I461" s="61"/>
      <c r="J461" s="61"/>
    </row>
    <row r="462" spans="1:10" ht="12.75" x14ac:dyDescent="0.2">
      <c r="A462" s="61"/>
      <c r="B462" s="61"/>
      <c r="C462" s="61"/>
      <c r="D462" s="61"/>
      <c r="E462" s="61"/>
      <c r="F462" s="61"/>
      <c r="G462" s="61"/>
      <c r="H462" s="61"/>
      <c r="I462" s="61"/>
      <c r="J462" s="61"/>
    </row>
    <row r="463" spans="1:10" ht="12.75" x14ac:dyDescent="0.2">
      <c r="A463" s="61"/>
      <c r="B463" s="61"/>
      <c r="C463" s="61"/>
      <c r="D463" s="61"/>
      <c r="E463" s="61"/>
      <c r="F463" s="61"/>
      <c r="G463" s="61"/>
      <c r="H463" s="61"/>
      <c r="I463" s="61"/>
      <c r="J463" s="61"/>
    </row>
    <row r="464" spans="1:10" ht="12.75" x14ac:dyDescent="0.2">
      <c r="A464" s="61"/>
      <c r="B464" s="61"/>
      <c r="C464" s="61"/>
      <c r="D464" s="61"/>
      <c r="E464" s="61"/>
      <c r="F464" s="61"/>
      <c r="G464" s="61"/>
      <c r="H464" s="61"/>
      <c r="I464" s="61"/>
      <c r="J464" s="61"/>
    </row>
    <row r="465" spans="1:10" ht="12.75" x14ac:dyDescent="0.2">
      <c r="A465" s="61"/>
      <c r="B465" s="61"/>
      <c r="C465" s="61"/>
      <c r="D465" s="61"/>
      <c r="E465" s="61"/>
      <c r="F465" s="61"/>
      <c r="G465" s="61"/>
      <c r="H465" s="61"/>
      <c r="I465" s="61"/>
      <c r="J465" s="61"/>
    </row>
    <row r="466" spans="1:10" ht="12.75" x14ac:dyDescent="0.2">
      <c r="A466" s="61"/>
      <c r="B466" s="61"/>
      <c r="C466" s="61"/>
      <c r="D466" s="61"/>
      <c r="E466" s="61"/>
      <c r="F466" s="61"/>
      <c r="G466" s="61"/>
      <c r="H466" s="61"/>
      <c r="I466" s="61"/>
      <c r="J466" s="61"/>
    </row>
    <row r="467" spans="1:10" ht="12.75" x14ac:dyDescent="0.2">
      <c r="A467" s="61"/>
      <c r="B467" s="61"/>
      <c r="C467" s="61"/>
      <c r="D467" s="61"/>
      <c r="E467" s="61"/>
      <c r="F467" s="61"/>
      <c r="G467" s="61"/>
      <c r="H467" s="61"/>
      <c r="I467" s="61"/>
      <c r="J467" s="61"/>
    </row>
    <row r="468" spans="1:10" ht="12.75" x14ac:dyDescent="0.2">
      <c r="A468" s="61"/>
      <c r="B468" s="61"/>
      <c r="C468" s="61"/>
      <c r="D468" s="61"/>
      <c r="E468" s="61"/>
      <c r="F468" s="61"/>
      <c r="G468" s="61"/>
      <c r="H468" s="61"/>
      <c r="I468" s="61"/>
      <c r="J468" s="61"/>
    </row>
    <row r="469" spans="1:10" ht="12.75" x14ac:dyDescent="0.2">
      <c r="A469" s="61"/>
      <c r="B469" s="61"/>
      <c r="C469" s="61"/>
      <c r="D469" s="61"/>
      <c r="E469" s="61"/>
      <c r="F469" s="61"/>
      <c r="G469" s="61"/>
      <c r="H469" s="61"/>
      <c r="I469" s="61"/>
      <c r="J469" s="61"/>
    </row>
    <row r="470" spans="1:10" ht="12.75" x14ac:dyDescent="0.2">
      <c r="A470" s="61"/>
      <c r="B470" s="61"/>
      <c r="C470" s="61"/>
      <c r="D470" s="61"/>
      <c r="E470" s="61"/>
      <c r="F470" s="61"/>
      <c r="G470" s="61"/>
      <c r="H470" s="61"/>
      <c r="I470" s="61"/>
      <c r="J470" s="61"/>
    </row>
    <row r="471" spans="1:10" ht="12.75" x14ac:dyDescent="0.2">
      <c r="A471" s="61"/>
      <c r="B471" s="61"/>
      <c r="C471" s="61"/>
      <c r="D471" s="61"/>
      <c r="E471" s="61"/>
      <c r="F471" s="61"/>
      <c r="G471" s="61"/>
      <c r="H471" s="61"/>
      <c r="I471" s="61"/>
      <c r="J471" s="61"/>
    </row>
    <row r="472" spans="1:10" ht="12.75" x14ac:dyDescent="0.2">
      <c r="A472" s="61"/>
      <c r="B472" s="61"/>
      <c r="C472" s="61"/>
      <c r="D472" s="61"/>
      <c r="E472" s="61"/>
      <c r="F472" s="61"/>
      <c r="G472" s="61"/>
      <c r="H472" s="61"/>
      <c r="I472" s="61"/>
      <c r="J472" s="61"/>
    </row>
    <row r="473" spans="1:10" ht="12.75" x14ac:dyDescent="0.2">
      <c r="A473" s="61"/>
      <c r="B473" s="61"/>
      <c r="C473" s="61"/>
      <c r="D473" s="61"/>
      <c r="E473" s="61"/>
      <c r="F473" s="61"/>
      <c r="G473" s="61"/>
      <c r="H473" s="61"/>
      <c r="I473" s="61"/>
      <c r="J473" s="61"/>
    </row>
    <row r="474" spans="1:10" ht="12.75" x14ac:dyDescent="0.2">
      <c r="A474" s="61"/>
      <c r="B474" s="61"/>
      <c r="C474" s="61"/>
      <c r="D474" s="61"/>
      <c r="E474" s="61"/>
      <c r="F474" s="61"/>
      <c r="G474" s="61"/>
      <c r="H474" s="61"/>
      <c r="I474" s="61"/>
      <c r="J474" s="61"/>
    </row>
    <row r="475" spans="1:10" ht="12.75" x14ac:dyDescent="0.2">
      <c r="A475" s="61"/>
      <c r="B475" s="61"/>
      <c r="C475" s="61"/>
      <c r="D475" s="61"/>
      <c r="E475" s="61"/>
      <c r="F475" s="61"/>
      <c r="G475" s="61"/>
      <c r="H475" s="61"/>
      <c r="I475" s="61"/>
      <c r="J475" s="61"/>
    </row>
    <row r="476" spans="1:10" ht="12.75" x14ac:dyDescent="0.2">
      <c r="A476" s="61"/>
      <c r="B476" s="61"/>
      <c r="C476" s="61"/>
      <c r="D476" s="61"/>
      <c r="E476" s="61"/>
      <c r="F476" s="61"/>
      <c r="G476" s="61"/>
      <c r="H476" s="61"/>
      <c r="I476" s="61"/>
      <c r="J476" s="61"/>
    </row>
    <row r="477" spans="1:10" ht="12.75" x14ac:dyDescent="0.2">
      <c r="A477" s="61"/>
      <c r="B477" s="61"/>
      <c r="C477" s="61"/>
      <c r="D477" s="61"/>
      <c r="E477" s="61"/>
      <c r="F477" s="61"/>
      <c r="G477" s="61"/>
      <c r="H477" s="61"/>
      <c r="I477" s="61"/>
      <c r="J477" s="61"/>
    </row>
    <row r="478" spans="1:10" ht="12.75" x14ac:dyDescent="0.2">
      <c r="A478" s="61"/>
      <c r="B478" s="61"/>
      <c r="C478" s="61"/>
      <c r="D478" s="61"/>
      <c r="E478" s="61"/>
      <c r="F478" s="61"/>
      <c r="G478" s="61"/>
      <c r="H478" s="61"/>
      <c r="I478" s="61"/>
      <c r="J478" s="61"/>
    </row>
    <row r="479" spans="1:10" ht="12.75" x14ac:dyDescent="0.2">
      <c r="A479" s="61"/>
      <c r="B479" s="61"/>
      <c r="C479" s="61"/>
      <c r="D479" s="61"/>
      <c r="E479" s="61"/>
      <c r="F479" s="61"/>
      <c r="G479" s="61"/>
      <c r="H479" s="61"/>
      <c r="I479" s="61"/>
      <c r="J479" s="61"/>
    </row>
    <row r="480" spans="1:10" ht="12.75" x14ac:dyDescent="0.2">
      <c r="A480" s="61"/>
      <c r="B480" s="61"/>
      <c r="C480" s="61"/>
      <c r="D480" s="61"/>
      <c r="E480" s="61"/>
      <c r="F480" s="61"/>
      <c r="G480" s="61"/>
      <c r="H480" s="61"/>
      <c r="I480" s="61"/>
      <c r="J480" s="61"/>
    </row>
    <row r="481" spans="1:10" ht="12.75" x14ac:dyDescent="0.2">
      <c r="A481" s="61"/>
      <c r="B481" s="61"/>
      <c r="C481" s="61"/>
      <c r="D481" s="61"/>
      <c r="E481" s="61"/>
      <c r="F481" s="61"/>
      <c r="G481" s="61"/>
      <c r="H481" s="61"/>
      <c r="I481" s="61"/>
      <c r="J481" s="61"/>
    </row>
    <row r="482" spans="1:10" ht="12.75" x14ac:dyDescent="0.2">
      <c r="A482" s="61"/>
      <c r="B482" s="61"/>
      <c r="C482" s="61"/>
      <c r="D482" s="61"/>
      <c r="E482" s="61"/>
      <c r="F482" s="61"/>
      <c r="G482" s="61"/>
      <c r="H482" s="61"/>
      <c r="I482" s="61"/>
      <c r="J482" s="61"/>
    </row>
    <row r="483" spans="1:10" ht="12.75" x14ac:dyDescent="0.2">
      <c r="A483" s="61"/>
      <c r="B483" s="61"/>
      <c r="C483" s="61"/>
      <c r="D483" s="61"/>
      <c r="E483" s="61"/>
      <c r="F483" s="61"/>
      <c r="G483" s="61"/>
      <c r="H483" s="61"/>
      <c r="I483" s="61"/>
      <c r="J483" s="61"/>
    </row>
    <row r="484" spans="1:10" ht="12.75" x14ac:dyDescent="0.2">
      <c r="A484" s="61"/>
      <c r="B484" s="61"/>
      <c r="C484" s="61"/>
      <c r="D484" s="61"/>
      <c r="E484" s="61"/>
      <c r="F484" s="61"/>
      <c r="G484" s="61"/>
      <c r="H484" s="61"/>
      <c r="I484" s="61"/>
      <c r="J484" s="61"/>
    </row>
    <row r="485" spans="1:10" ht="12.75" x14ac:dyDescent="0.2">
      <c r="A485" s="61"/>
      <c r="B485" s="61"/>
      <c r="C485" s="61"/>
      <c r="D485" s="61"/>
      <c r="E485" s="61"/>
      <c r="F485" s="61"/>
      <c r="G485" s="61"/>
      <c r="H485" s="61"/>
      <c r="I485" s="61"/>
      <c r="J485" s="61"/>
    </row>
    <row r="486" spans="1:10" ht="12.75" x14ac:dyDescent="0.2">
      <c r="A486" s="61"/>
      <c r="B486" s="61"/>
      <c r="C486" s="61"/>
      <c r="D486" s="61"/>
      <c r="E486" s="61"/>
      <c r="F486" s="61"/>
      <c r="G486" s="61"/>
      <c r="H486" s="61"/>
      <c r="I486" s="61"/>
      <c r="J486" s="61"/>
    </row>
    <row r="487" spans="1:10" ht="12.75" x14ac:dyDescent="0.2">
      <c r="A487" s="61"/>
      <c r="B487" s="61"/>
      <c r="C487" s="61"/>
      <c r="D487" s="61"/>
      <c r="E487" s="61"/>
      <c r="F487" s="61"/>
      <c r="G487" s="61"/>
      <c r="H487" s="61"/>
      <c r="I487" s="61"/>
      <c r="J487" s="61"/>
    </row>
    <row r="488" spans="1:10" ht="12.75" x14ac:dyDescent="0.2">
      <c r="A488" s="61"/>
      <c r="B488" s="61"/>
      <c r="C488" s="61"/>
      <c r="D488" s="61"/>
      <c r="E488" s="61"/>
      <c r="F488" s="61"/>
      <c r="G488" s="61"/>
      <c r="H488" s="61"/>
      <c r="I488" s="61"/>
      <c r="J488" s="61"/>
    </row>
    <row r="489" spans="1:10" ht="12.75" x14ac:dyDescent="0.2">
      <c r="A489" s="61"/>
      <c r="B489" s="61"/>
      <c r="C489" s="61"/>
      <c r="D489" s="61"/>
      <c r="E489" s="61"/>
      <c r="F489" s="61"/>
      <c r="G489" s="61"/>
      <c r="H489" s="61"/>
      <c r="I489" s="61"/>
      <c r="J489" s="61"/>
    </row>
    <row r="490" spans="1:10" ht="12.75" x14ac:dyDescent="0.2">
      <c r="A490" s="61"/>
      <c r="B490" s="61"/>
      <c r="C490" s="61"/>
      <c r="D490" s="61"/>
      <c r="E490" s="61"/>
      <c r="F490" s="61"/>
      <c r="G490" s="61"/>
      <c r="H490" s="61"/>
      <c r="I490" s="61"/>
      <c r="J490" s="61"/>
    </row>
    <row r="491" spans="1:10" ht="12.75" x14ac:dyDescent="0.2">
      <c r="A491" s="61"/>
      <c r="B491" s="61"/>
      <c r="C491" s="61"/>
      <c r="D491" s="61"/>
      <c r="E491" s="61"/>
      <c r="F491" s="61"/>
      <c r="G491" s="61"/>
      <c r="H491" s="61"/>
      <c r="I491" s="61"/>
      <c r="J491" s="61"/>
    </row>
    <row r="492" spans="1:10" ht="12.75" x14ac:dyDescent="0.2">
      <c r="A492" s="61"/>
      <c r="B492" s="61"/>
      <c r="C492" s="61"/>
      <c r="D492" s="61"/>
      <c r="E492" s="61"/>
      <c r="F492" s="61"/>
      <c r="G492" s="61"/>
      <c r="H492" s="61"/>
      <c r="I492" s="61"/>
      <c r="J492" s="61"/>
    </row>
    <row r="493" spans="1:10" ht="12.75" x14ac:dyDescent="0.2">
      <c r="A493" s="61"/>
      <c r="B493" s="61"/>
      <c r="C493" s="61"/>
      <c r="D493" s="61"/>
      <c r="E493" s="61"/>
      <c r="F493" s="61"/>
      <c r="G493" s="61"/>
      <c r="H493" s="61"/>
      <c r="I493" s="61"/>
      <c r="J493" s="61"/>
    </row>
    <row r="494" spans="1:10" ht="12.75" x14ac:dyDescent="0.2">
      <c r="A494" s="61"/>
      <c r="B494" s="61"/>
      <c r="C494" s="61"/>
      <c r="D494" s="61"/>
      <c r="E494" s="61"/>
      <c r="F494" s="61"/>
      <c r="G494" s="61"/>
      <c r="H494" s="61"/>
      <c r="I494" s="61"/>
      <c r="J494" s="61"/>
    </row>
  </sheetData>
  <mergeCells count="170">
    <mergeCell ref="A1:D1"/>
    <mergeCell ref="A49:F49"/>
    <mergeCell ref="A95:B95"/>
    <mergeCell ref="A96:B96"/>
    <mergeCell ref="A97:B97"/>
    <mergeCell ref="A98:B98"/>
    <mergeCell ref="A126:B126"/>
    <mergeCell ref="A127:B127"/>
    <mergeCell ref="A128:B128"/>
    <mergeCell ref="A3:D3"/>
    <mergeCell ref="A6:D6"/>
    <mergeCell ref="A7:D7"/>
    <mergeCell ref="A8:D8"/>
    <mergeCell ref="A9:D9"/>
    <mergeCell ref="A38:B38"/>
    <mergeCell ref="A39:B39"/>
    <mergeCell ref="A40:B40"/>
    <mergeCell ref="A41:B41"/>
    <mergeCell ref="A42:B42"/>
    <mergeCell ref="A46:B46"/>
    <mergeCell ref="A48:B48"/>
    <mergeCell ref="A31:B31"/>
    <mergeCell ref="A32:B32"/>
    <mergeCell ref="A33:B33"/>
    <mergeCell ref="A193:B193"/>
    <mergeCell ref="A194:B194"/>
    <mergeCell ref="A195:B195"/>
    <mergeCell ref="A187:D187"/>
    <mergeCell ref="E187:H187"/>
    <mergeCell ref="A161:D161"/>
    <mergeCell ref="E161:H161"/>
    <mergeCell ref="A162:D162"/>
    <mergeCell ref="E162:H162"/>
    <mergeCell ref="A163:D163"/>
    <mergeCell ref="E163:H163"/>
    <mergeCell ref="A164:D164"/>
    <mergeCell ref="E164:H164"/>
    <mergeCell ref="A165:D165"/>
    <mergeCell ref="E165:H165"/>
    <mergeCell ref="A166:D166"/>
    <mergeCell ref="E166:H166"/>
    <mergeCell ref="A167:D167"/>
    <mergeCell ref="E167:H167"/>
    <mergeCell ref="A168:D168"/>
    <mergeCell ref="A182:B182"/>
    <mergeCell ref="A183:B183"/>
    <mergeCell ref="A190:B190"/>
    <mergeCell ref="E168:H168"/>
    <mergeCell ref="A192:B192"/>
    <mergeCell ref="A145:B145"/>
    <mergeCell ref="A146:B146"/>
    <mergeCell ref="A147:B147"/>
    <mergeCell ref="A148:B148"/>
    <mergeCell ref="A169:D169"/>
    <mergeCell ref="A179:B179"/>
    <mergeCell ref="A180:B180"/>
    <mergeCell ref="A181:B181"/>
    <mergeCell ref="A176:B176"/>
    <mergeCell ref="A177:B177"/>
    <mergeCell ref="A178:B178"/>
    <mergeCell ref="A173:B173"/>
    <mergeCell ref="A174:B174"/>
    <mergeCell ref="A175:B175"/>
    <mergeCell ref="A34:B34"/>
    <mergeCell ref="A35:B35"/>
    <mergeCell ref="A36:B36"/>
    <mergeCell ref="A55:B55"/>
    <mergeCell ref="A191:B191"/>
    <mergeCell ref="A111:B111"/>
    <mergeCell ref="A112:B112"/>
    <mergeCell ref="A113:B113"/>
    <mergeCell ref="A114:B114"/>
    <mergeCell ref="A115:B115"/>
    <mergeCell ref="A116:B116"/>
    <mergeCell ref="A117:B117"/>
    <mergeCell ref="A118:B118"/>
    <mergeCell ref="A119:B119"/>
    <mergeCell ref="A120:B120"/>
    <mergeCell ref="A121:B121"/>
    <mergeCell ref="A122:B122"/>
    <mergeCell ref="A123:B123"/>
    <mergeCell ref="A124:B124"/>
    <mergeCell ref="A125:B125"/>
    <mergeCell ref="A56:B56"/>
    <mergeCell ref="A57:B57"/>
    <mergeCell ref="A58:B58"/>
    <mergeCell ref="A64:D64"/>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7:B37"/>
    <mergeCell ref="A47:B47"/>
    <mergeCell ref="A66:D66"/>
    <mergeCell ref="E66:H66"/>
    <mergeCell ref="A68:D68"/>
    <mergeCell ref="E68:H68"/>
    <mergeCell ref="A72:B72"/>
    <mergeCell ref="A73:B73"/>
    <mergeCell ref="A74:B74"/>
    <mergeCell ref="A75:B75"/>
    <mergeCell ref="A76:B76"/>
    <mergeCell ref="A77:B77"/>
    <mergeCell ref="A78:B78"/>
    <mergeCell ref="A79:B79"/>
    <mergeCell ref="A80:B80"/>
    <mergeCell ref="A81:B81"/>
    <mergeCell ref="A82:B82"/>
    <mergeCell ref="A83:B83"/>
    <mergeCell ref="A84:B84"/>
    <mergeCell ref="A85:B85"/>
    <mergeCell ref="A86:B86"/>
    <mergeCell ref="A87:B87"/>
    <mergeCell ref="A88:B88"/>
    <mergeCell ref="A89:B89"/>
    <mergeCell ref="A90:B90"/>
    <mergeCell ref="A91:B91"/>
    <mergeCell ref="A92:B92"/>
    <mergeCell ref="A93:B93"/>
    <mergeCell ref="A94:B94"/>
    <mergeCell ref="A99:B99"/>
    <mergeCell ref="A100:B100"/>
    <mergeCell ref="A101:B101"/>
    <mergeCell ref="A102:B102"/>
    <mergeCell ref="A103:B103"/>
    <mergeCell ref="A104:B104"/>
    <mergeCell ref="A105:B105"/>
    <mergeCell ref="A106:B106"/>
    <mergeCell ref="A110:B110"/>
    <mergeCell ref="A138:B138"/>
    <mergeCell ref="A139:B139"/>
    <mergeCell ref="A140:B140"/>
    <mergeCell ref="A141:B141"/>
    <mergeCell ref="A142:B142"/>
    <mergeCell ref="A143:B143"/>
    <mergeCell ref="A144:B144"/>
    <mergeCell ref="A130:B130"/>
    <mergeCell ref="A131:B131"/>
    <mergeCell ref="A133:B133"/>
    <mergeCell ref="A134:B134"/>
    <mergeCell ref="A132:B132"/>
    <mergeCell ref="A129:B129"/>
    <mergeCell ref="A137:B137"/>
    <mergeCell ref="E169:H169"/>
    <mergeCell ref="A171:B171"/>
    <mergeCell ref="E171:F171"/>
    <mergeCell ref="A172:B172"/>
    <mergeCell ref="A149:B149"/>
    <mergeCell ref="A150:B150"/>
    <mergeCell ref="A151:B151"/>
    <mergeCell ref="A152:B152"/>
    <mergeCell ref="A154:B154"/>
    <mergeCell ref="A155:B155"/>
    <mergeCell ref="A156:B156"/>
    <mergeCell ref="A157:B157"/>
    <mergeCell ref="A153:B153"/>
  </mergeCells>
  <dataValidations count="6">
    <dataValidation type="list" allowBlank="1" showInputMessage="1" showErrorMessage="1" sqref="C72:C106 C110:C134 C137:C157">
      <formula1>"$,%"</formula1>
    </dataValidation>
    <dataValidation type="list" allowBlank="1" showInputMessage="1" showErrorMessage="1" sqref="A72:A101">
      <formula1>CustomerAdministration</formula1>
    </dataValidation>
    <dataValidation type="list" allowBlank="1" showInputMessage="1" showErrorMessage="1" sqref="A110:A129 A137:A152">
      <formula1>NonPayment</formula1>
    </dataValidation>
    <dataValidation type="list" allowBlank="1" showInputMessage="1" showErrorMessage="1" sqref="A190:A195">
      <formula1>LossFactors</formula1>
    </dataValidation>
    <dataValidation type="list" allowBlank="1" showInputMessage="1" showErrorMessage="1" sqref="C46:C48 C13:C42">
      <formula1>Units</formula1>
    </dataValidation>
    <dataValidation allowBlank="1" showInputMessage="1" showErrorMessage="1" sqref="B2:I2 B4:I5 B50:F51 A171:A183 B43:D45 C171:D175 C177:D178 C182:D183 D13:D42 A1:A9 H49:I51 D46:D48 H8:I45 A11:D12 G11:G12 A102:A106 A13:A51"/>
  </dataValidation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J72"/>
  <sheetViews>
    <sheetView zoomScale="85" zoomScaleNormal="85" workbookViewId="0">
      <pane ySplit="1" topLeftCell="A2" activePane="bottomLeft" state="frozenSplit"/>
      <selection pane="bottomLeft" activeCell="M37" sqref="M37"/>
    </sheetView>
  </sheetViews>
  <sheetFormatPr defaultRowHeight="12.75" x14ac:dyDescent="0.2"/>
  <cols>
    <col min="1" max="1" width="33.5703125" style="61" bestFit="1" customWidth="1"/>
    <col min="2" max="9" width="11.85546875" style="61" bestFit="1" customWidth="1"/>
    <col min="10" max="15" width="9.140625" style="61"/>
    <col min="16" max="16" width="33.5703125" style="61" bestFit="1" customWidth="1"/>
    <col min="17" max="16384" width="9.140625" style="61"/>
  </cols>
  <sheetData>
    <row r="1" spans="1:9" x14ac:dyDescent="0.2">
      <c r="B1" s="1455" t="s">
        <v>151</v>
      </c>
      <c r="C1" s="1455" t="s">
        <v>151</v>
      </c>
      <c r="D1" s="1455" t="s">
        <v>151</v>
      </c>
      <c r="E1" s="1455" t="s">
        <v>152</v>
      </c>
      <c r="F1" s="1455" t="s">
        <v>772</v>
      </c>
      <c r="G1" s="1455" t="s">
        <v>935</v>
      </c>
      <c r="H1" s="1455" t="s">
        <v>935</v>
      </c>
      <c r="I1" s="1455" t="s">
        <v>935</v>
      </c>
    </row>
    <row r="2" spans="1:9" x14ac:dyDescent="0.2">
      <c r="B2" s="1455" t="s">
        <v>357</v>
      </c>
      <c r="C2" s="1455">
        <v>2012</v>
      </c>
      <c r="D2" s="1455">
        <v>2013</v>
      </c>
      <c r="E2" s="1455"/>
      <c r="F2" s="1455"/>
      <c r="G2" s="1455" t="s">
        <v>357</v>
      </c>
      <c r="H2" s="1455">
        <v>2012</v>
      </c>
      <c r="I2" s="1455">
        <v>2013</v>
      </c>
    </row>
    <row r="3" spans="1:9" x14ac:dyDescent="0.2">
      <c r="A3" s="904" t="s">
        <v>715</v>
      </c>
      <c r="B3" s="1204" t="s">
        <v>769</v>
      </c>
      <c r="C3" s="1204" t="s">
        <v>769</v>
      </c>
      <c r="D3" s="1204" t="s">
        <v>769</v>
      </c>
      <c r="E3" s="1204" t="s">
        <v>769</v>
      </c>
      <c r="F3" s="1204" t="s">
        <v>769</v>
      </c>
      <c r="G3" s="1204" t="s">
        <v>769</v>
      </c>
      <c r="H3" s="1204" t="s">
        <v>769</v>
      </c>
      <c r="I3" s="1204" t="s">
        <v>769</v>
      </c>
    </row>
    <row r="4" spans="1:9" x14ac:dyDescent="0.2">
      <c r="A4" s="904" t="s">
        <v>911</v>
      </c>
      <c r="B4" s="1204" t="s">
        <v>769</v>
      </c>
      <c r="C4" s="1204" t="s">
        <v>769</v>
      </c>
      <c r="D4" s="1204" t="s">
        <v>769</v>
      </c>
      <c r="E4" s="1204" t="s">
        <v>769</v>
      </c>
      <c r="F4" s="1204" t="s">
        <v>769</v>
      </c>
      <c r="G4" s="1204" t="s">
        <v>769</v>
      </c>
      <c r="H4" s="1204" t="s">
        <v>769</v>
      </c>
      <c r="I4" s="1204" t="s">
        <v>769</v>
      </c>
    </row>
    <row r="5" spans="1:9" x14ac:dyDescent="0.2">
      <c r="A5" s="904" t="s">
        <v>799</v>
      </c>
      <c r="B5" s="1204" t="s">
        <v>769</v>
      </c>
      <c r="C5" s="1204" t="s">
        <v>769</v>
      </c>
      <c r="D5" s="1204" t="s">
        <v>769</v>
      </c>
      <c r="E5" s="1204" t="s">
        <v>769</v>
      </c>
      <c r="F5" s="1204" t="s">
        <v>769</v>
      </c>
      <c r="G5" s="1204" t="s">
        <v>769</v>
      </c>
      <c r="H5" s="1204" t="s">
        <v>769</v>
      </c>
      <c r="I5" s="1204" t="s">
        <v>769</v>
      </c>
    </row>
    <row r="6" spans="1:9" x14ac:dyDescent="0.2">
      <c r="A6" s="904" t="s">
        <v>800</v>
      </c>
      <c r="B6" s="1204" t="s">
        <v>769</v>
      </c>
      <c r="C6" s="1204" t="s">
        <v>769</v>
      </c>
      <c r="D6" s="1204" t="s">
        <v>769</v>
      </c>
      <c r="E6" s="1204" t="s">
        <v>769</v>
      </c>
      <c r="F6" s="1204" t="s">
        <v>769</v>
      </c>
      <c r="G6" s="1204" t="s">
        <v>769</v>
      </c>
      <c r="H6" s="1204" t="s">
        <v>769</v>
      </c>
      <c r="I6" s="1204" t="s">
        <v>769</v>
      </c>
    </row>
    <row r="7" spans="1:9" x14ac:dyDescent="0.2">
      <c r="A7" s="904" t="s">
        <v>912</v>
      </c>
      <c r="B7" s="1204" t="s">
        <v>769</v>
      </c>
      <c r="C7" s="1204" t="s">
        <v>769</v>
      </c>
      <c r="D7" s="1204" t="s">
        <v>769</v>
      </c>
      <c r="E7" s="1204" t="s">
        <v>769</v>
      </c>
      <c r="F7" s="1204" t="s">
        <v>769</v>
      </c>
      <c r="G7" s="1204" t="s">
        <v>769</v>
      </c>
      <c r="H7" s="1204" t="s">
        <v>769</v>
      </c>
      <c r="I7" s="1204" t="s">
        <v>769</v>
      </c>
    </row>
    <row r="8" spans="1:9" x14ac:dyDescent="0.2">
      <c r="A8" s="904" t="s">
        <v>913</v>
      </c>
      <c r="B8" s="1204" t="s">
        <v>769</v>
      </c>
      <c r="C8" s="1204" t="s">
        <v>769</v>
      </c>
      <c r="D8" s="1204" t="s">
        <v>769</v>
      </c>
      <c r="E8" s="1204" t="s">
        <v>769</v>
      </c>
      <c r="F8" s="1204" t="s">
        <v>769</v>
      </c>
      <c r="G8" s="1204" t="s">
        <v>769</v>
      </c>
      <c r="H8" s="1204" t="s">
        <v>769</v>
      </c>
      <c r="I8" s="1204" t="s">
        <v>769</v>
      </c>
    </row>
    <row r="9" spans="1:9" x14ac:dyDescent="0.2">
      <c r="A9" s="904" t="s">
        <v>926</v>
      </c>
      <c r="B9" s="1204" t="s">
        <v>769</v>
      </c>
      <c r="C9" s="1204" t="s">
        <v>769</v>
      </c>
      <c r="D9" s="1204" t="s">
        <v>769</v>
      </c>
      <c r="E9" s="1204" t="s">
        <v>771</v>
      </c>
      <c r="F9" s="1204" t="s">
        <v>769</v>
      </c>
      <c r="G9" s="1204" t="s">
        <v>769</v>
      </c>
      <c r="H9" s="1204" t="s">
        <v>769</v>
      </c>
      <c r="I9" s="1204" t="s">
        <v>769</v>
      </c>
    </row>
    <row r="10" spans="1:9" x14ac:dyDescent="0.2">
      <c r="A10" s="904" t="s">
        <v>927</v>
      </c>
      <c r="B10" s="1204" t="s">
        <v>771</v>
      </c>
      <c r="C10" s="1204" t="s">
        <v>771</v>
      </c>
      <c r="D10" s="1204" t="s">
        <v>771</v>
      </c>
      <c r="E10" s="1204" t="s">
        <v>769</v>
      </c>
      <c r="F10" s="1204" t="s">
        <v>771</v>
      </c>
      <c r="G10" s="1204" t="s">
        <v>771</v>
      </c>
      <c r="H10" s="1204" t="s">
        <v>771</v>
      </c>
      <c r="I10" s="1204" t="s">
        <v>771</v>
      </c>
    </row>
    <row r="11" spans="1:9" x14ac:dyDescent="0.2">
      <c r="A11" s="904" t="s">
        <v>716</v>
      </c>
      <c r="B11" s="1204" t="s">
        <v>769</v>
      </c>
      <c r="C11" s="1204" t="s">
        <v>769</v>
      </c>
      <c r="D11" s="1204" t="s">
        <v>769</v>
      </c>
      <c r="E11" s="1204" t="s">
        <v>769</v>
      </c>
      <c r="F11" s="1204" t="s">
        <v>769</v>
      </c>
      <c r="G11" s="1204" t="s">
        <v>769</v>
      </c>
      <c r="H11" s="1204" t="s">
        <v>769</v>
      </c>
      <c r="I11" s="1204" t="s">
        <v>769</v>
      </c>
    </row>
    <row r="12" spans="1:9" x14ac:dyDescent="0.2">
      <c r="A12" s="904" t="s">
        <v>717</v>
      </c>
      <c r="B12" s="1204" t="s">
        <v>771</v>
      </c>
      <c r="C12" s="1204" t="s">
        <v>771</v>
      </c>
      <c r="D12" s="1204" t="s">
        <v>771</v>
      </c>
      <c r="E12" s="1204" t="s">
        <v>769</v>
      </c>
      <c r="F12" s="1204" t="s">
        <v>771</v>
      </c>
      <c r="G12" s="1204" t="s">
        <v>771</v>
      </c>
      <c r="H12" s="1204" t="s">
        <v>771</v>
      </c>
      <c r="I12" s="1204" t="s">
        <v>771</v>
      </c>
    </row>
    <row r="13" spans="1:9" x14ac:dyDescent="0.2">
      <c r="A13" s="904" t="s">
        <v>718</v>
      </c>
      <c r="B13" s="1204" t="s">
        <v>771</v>
      </c>
      <c r="C13" s="1204" t="s">
        <v>771</v>
      </c>
      <c r="D13" s="1204" t="s">
        <v>771</v>
      </c>
      <c r="E13" s="1204" t="s">
        <v>769</v>
      </c>
      <c r="F13" s="1204" t="s">
        <v>771</v>
      </c>
      <c r="G13" s="1204" t="s">
        <v>771</v>
      </c>
      <c r="H13" s="1204" t="s">
        <v>771</v>
      </c>
      <c r="I13" s="1204" t="s">
        <v>771</v>
      </c>
    </row>
    <row r="14" spans="1:9" x14ac:dyDescent="0.2">
      <c r="A14" s="904" t="s">
        <v>719</v>
      </c>
      <c r="B14" s="1204" t="s">
        <v>771</v>
      </c>
      <c r="C14" s="1204" t="s">
        <v>771</v>
      </c>
      <c r="D14" s="1204" t="s">
        <v>771</v>
      </c>
      <c r="E14" s="1204" t="s">
        <v>769</v>
      </c>
      <c r="F14" s="1204" t="s">
        <v>771</v>
      </c>
      <c r="G14" s="1204" t="s">
        <v>771</v>
      </c>
      <c r="H14" s="1204" t="s">
        <v>771</v>
      </c>
      <c r="I14" s="1204" t="s">
        <v>771</v>
      </c>
    </row>
    <row r="15" spans="1:9" x14ac:dyDescent="0.2">
      <c r="A15" s="904" t="s">
        <v>720</v>
      </c>
      <c r="B15" s="1204" t="s">
        <v>771</v>
      </c>
      <c r="C15" s="1204" t="s">
        <v>771</v>
      </c>
      <c r="D15" s="1204" t="s">
        <v>771</v>
      </c>
      <c r="E15" s="1204" t="s">
        <v>769</v>
      </c>
      <c r="F15" s="1204" t="s">
        <v>771</v>
      </c>
      <c r="G15" s="1204" t="s">
        <v>771</v>
      </c>
      <c r="H15" s="1204" t="s">
        <v>771</v>
      </c>
      <c r="I15" s="1204" t="s">
        <v>771</v>
      </c>
    </row>
    <row r="16" spans="1:9" x14ac:dyDescent="0.2">
      <c r="A16" s="904" t="s">
        <v>721</v>
      </c>
      <c r="B16" s="1204" t="s">
        <v>771</v>
      </c>
      <c r="C16" s="1204" t="s">
        <v>771</v>
      </c>
      <c r="D16" s="1204" t="s">
        <v>771</v>
      </c>
      <c r="E16" s="1204" t="s">
        <v>769</v>
      </c>
      <c r="F16" s="1204" t="s">
        <v>771</v>
      </c>
      <c r="G16" s="1204" t="s">
        <v>771</v>
      </c>
      <c r="H16" s="1204" t="s">
        <v>771</v>
      </c>
      <c r="I16" s="1204" t="s">
        <v>771</v>
      </c>
    </row>
    <row r="17" spans="1:9" x14ac:dyDescent="0.2">
      <c r="A17" s="904" t="s">
        <v>722</v>
      </c>
      <c r="B17" s="1204" t="s">
        <v>771</v>
      </c>
      <c r="C17" s="1204" t="s">
        <v>771</v>
      </c>
      <c r="D17" s="1204" t="s">
        <v>771</v>
      </c>
      <c r="E17" s="1204" t="s">
        <v>769</v>
      </c>
      <c r="F17" s="1204" t="s">
        <v>771</v>
      </c>
      <c r="G17" s="1204" t="s">
        <v>771</v>
      </c>
      <c r="H17" s="1204" t="s">
        <v>771</v>
      </c>
      <c r="I17" s="1204" t="s">
        <v>771</v>
      </c>
    </row>
    <row r="18" spans="1:9" x14ac:dyDescent="0.2">
      <c r="A18" s="904" t="s">
        <v>723</v>
      </c>
      <c r="B18" s="1204" t="s">
        <v>771</v>
      </c>
      <c r="C18" s="1204" t="s">
        <v>771</v>
      </c>
      <c r="D18" s="1204" t="s">
        <v>771</v>
      </c>
      <c r="E18" s="1204" t="s">
        <v>769</v>
      </c>
      <c r="F18" s="1204" t="s">
        <v>771</v>
      </c>
      <c r="G18" s="1204" t="s">
        <v>771</v>
      </c>
      <c r="H18" s="1204" t="s">
        <v>771</v>
      </c>
      <c r="I18" s="1204" t="s">
        <v>771</v>
      </c>
    </row>
    <row r="19" spans="1:9" x14ac:dyDescent="0.2">
      <c r="A19" s="904" t="s">
        <v>724</v>
      </c>
      <c r="B19" s="1204" t="s">
        <v>771</v>
      </c>
      <c r="C19" s="1204" t="s">
        <v>771</v>
      </c>
      <c r="D19" s="1204" t="s">
        <v>771</v>
      </c>
      <c r="E19" s="1204" t="s">
        <v>769</v>
      </c>
      <c r="F19" s="1204" t="s">
        <v>771</v>
      </c>
      <c r="G19" s="1204" t="s">
        <v>771</v>
      </c>
      <c r="H19" s="1204" t="s">
        <v>771</v>
      </c>
      <c r="I19" s="1204" t="s">
        <v>771</v>
      </c>
    </row>
    <row r="20" spans="1:9" x14ac:dyDescent="0.2">
      <c r="A20" s="904" t="s">
        <v>725</v>
      </c>
      <c r="B20" s="1204" t="s">
        <v>771</v>
      </c>
      <c r="C20" s="1204" t="s">
        <v>771</v>
      </c>
      <c r="D20" s="1204" t="s">
        <v>771</v>
      </c>
      <c r="E20" s="1204" t="s">
        <v>769</v>
      </c>
      <c r="F20" s="1204" t="s">
        <v>771</v>
      </c>
      <c r="G20" s="1204" t="s">
        <v>771</v>
      </c>
      <c r="H20" s="1204" t="s">
        <v>771</v>
      </c>
      <c r="I20" s="1204" t="s">
        <v>771</v>
      </c>
    </row>
    <row r="21" spans="1:9" x14ac:dyDescent="0.2">
      <c r="A21" s="904" t="s">
        <v>726</v>
      </c>
      <c r="B21" s="1204" t="s">
        <v>771</v>
      </c>
      <c r="C21" s="1204" t="s">
        <v>771</v>
      </c>
      <c r="D21" s="1204" t="s">
        <v>771</v>
      </c>
      <c r="E21" s="1204" t="s">
        <v>769</v>
      </c>
      <c r="F21" s="1204" t="s">
        <v>771</v>
      </c>
      <c r="G21" s="1204" t="s">
        <v>771</v>
      </c>
      <c r="H21" s="1204" t="s">
        <v>771</v>
      </c>
      <c r="I21" s="1204" t="s">
        <v>771</v>
      </c>
    </row>
    <row r="22" spans="1:9" x14ac:dyDescent="0.2">
      <c r="A22" s="904" t="s">
        <v>727</v>
      </c>
      <c r="B22" s="1204" t="s">
        <v>771</v>
      </c>
      <c r="C22" s="1204" t="s">
        <v>771</v>
      </c>
      <c r="D22" s="1204" t="s">
        <v>771</v>
      </c>
      <c r="E22" s="1204" t="s">
        <v>769</v>
      </c>
      <c r="F22" s="1204" t="s">
        <v>771</v>
      </c>
      <c r="G22" s="1204" t="s">
        <v>771</v>
      </c>
      <c r="H22" s="1204" t="s">
        <v>771</v>
      </c>
      <c r="I22" s="1204" t="s">
        <v>771</v>
      </c>
    </row>
    <row r="23" spans="1:9" x14ac:dyDescent="0.2">
      <c r="A23" s="904" t="s">
        <v>728</v>
      </c>
      <c r="B23" s="1204" t="s">
        <v>771</v>
      </c>
      <c r="C23" s="1204" t="s">
        <v>771</v>
      </c>
      <c r="D23" s="1204" t="s">
        <v>771</v>
      </c>
      <c r="E23" s="1204" t="s">
        <v>769</v>
      </c>
      <c r="F23" s="1204" t="s">
        <v>771</v>
      </c>
      <c r="G23" s="1204" t="s">
        <v>771</v>
      </c>
      <c r="H23" s="1204" t="s">
        <v>771</v>
      </c>
      <c r="I23" s="1204" t="s">
        <v>771</v>
      </c>
    </row>
    <row r="24" spans="1:9" x14ac:dyDescent="0.2">
      <c r="A24" s="904" t="s">
        <v>729</v>
      </c>
      <c r="B24" s="1204" t="s">
        <v>771</v>
      </c>
      <c r="C24" s="1204" t="s">
        <v>771</v>
      </c>
      <c r="D24" s="1204" t="s">
        <v>771</v>
      </c>
      <c r="E24" s="1204" t="s">
        <v>769</v>
      </c>
      <c r="F24" s="1204" t="s">
        <v>771</v>
      </c>
      <c r="G24" s="1204" t="s">
        <v>771</v>
      </c>
      <c r="H24" s="1204" t="s">
        <v>771</v>
      </c>
      <c r="I24" s="1204" t="s">
        <v>771</v>
      </c>
    </row>
    <row r="25" spans="1:9" x14ac:dyDescent="0.2">
      <c r="A25" s="904" t="s">
        <v>730</v>
      </c>
      <c r="B25" s="1204" t="s">
        <v>771</v>
      </c>
      <c r="C25" s="1204" t="s">
        <v>771</v>
      </c>
      <c r="D25" s="1204" t="s">
        <v>771</v>
      </c>
      <c r="E25" s="1204" t="s">
        <v>769</v>
      </c>
      <c r="F25" s="1204" t="s">
        <v>771</v>
      </c>
      <c r="G25" s="1204" t="s">
        <v>771</v>
      </c>
      <c r="H25" s="1204" t="s">
        <v>771</v>
      </c>
      <c r="I25" s="1204" t="s">
        <v>771</v>
      </c>
    </row>
    <row r="26" spans="1:9" x14ac:dyDescent="0.2">
      <c r="A26" s="904" t="s">
        <v>731</v>
      </c>
      <c r="B26" s="1204" t="s">
        <v>769</v>
      </c>
      <c r="C26" s="1204" t="s">
        <v>769</v>
      </c>
      <c r="D26" s="1204" t="s">
        <v>769</v>
      </c>
      <c r="E26" s="1204" t="s">
        <v>771</v>
      </c>
      <c r="F26" s="1204" t="s">
        <v>771</v>
      </c>
      <c r="G26" s="1204" t="s">
        <v>769</v>
      </c>
      <c r="H26" s="1204" t="s">
        <v>769</v>
      </c>
      <c r="I26" s="1204" t="s">
        <v>769</v>
      </c>
    </row>
    <row r="27" spans="1:9" x14ac:dyDescent="0.2">
      <c r="A27" s="904" t="s">
        <v>732</v>
      </c>
      <c r="B27" s="1204" t="s">
        <v>769</v>
      </c>
      <c r="C27" s="1204" t="s">
        <v>769</v>
      </c>
      <c r="D27" s="1204" t="s">
        <v>771</v>
      </c>
      <c r="E27" s="1204" t="s">
        <v>771</v>
      </c>
      <c r="F27" s="1204" t="s">
        <v>771</v>
      </c>
      <c r="G27" s="1204" t="s">
        <v>769</v>
      </c>
      <c r="H27" s="1204" t="s">
        <v>769</v>
      </c>
      <c r="I27" s="1204" t="s">
        <v>771</v>
      </c>
    </row>
    <row r="28" spans="1:9" x14ac:dyDescent="0.2">
      <c r="A28" s="904" t="s">
        <v>733</v>
      </c>
      <c r="B28" s="1204" t="s">
        <v>769</v>
      </c>
      <c r="C28" s="1204" t="s">
        <v>769</v>
      </c>
      <c r="D28" s="1204" t="s">
        <v>771</v>
      </c>
      <c r="E28" s="1204" t="s">
        <v>771</v>
      </c>
      <c r="F28" s="1204" t="s">
        <v>771</v>
      </c>
      <c r="G28" s="1204" t="s">
        <v>769</v>
      </c>
      <c r="H28" s="1204" t="s">
        <v>769</v>
      </c>
      <c r="I28" s="1204" t="s">
        <v>771</v>
      </c>
    </row>
    <row r="29" spans="1:9" x14ac:dyDescent="0.2">
      <c r="A29" s="904" t="s">
        <v>734</v>
      </c>
      <c r="B29" s="1204" t="s">
        <v>769</v>
      </c>
      <c r="C29" s="1204" t="s">
        <v>769</v>
      </c>
      <c r="D29" s="1204" t="s">
        <v>771</v>
      </c>
      <c r="E29" s="1204" t="s">
        <v>771</v>
      </c>
      <c r="F29" s="1204" t="s">
        <v>771</v>
      </c>
      <c r="G29" s="1204" t="s">
        <v>769</v>
      </c>
      <c r="H29" s="1204" t="s">
        <v>769</v>
      </c>
      <c r="I29" s="1204" t="s">
        <v>771</v>
      </c>
    </row>
    <row r="30" spans="1:9" x14ac:dyDescent="0.2">
      <c r="A30" s="904" t="s">
        <v>735</v>
      </c>
      <c r="B30" s="1204" t="s">
        <v>769</v>
      </c>
      <c r="C30" s="1204" t="s">
        <v>769</v>
      </c>
      <c r="D30" s="1204" t="s">
        <v>771</v>
      </c>
      <c r="E30" s="1204" t="s">
        <v>771</v>
      </c>
      <c r="F30" s="1204" t="s">
        <v>771</v>
      </c>
      <c r="G30" s="1204" t="s">
        <v>769</v>
      </c>
      <c r="H30" s="1204" t="s">
        <v>769</v>
      </c>
      <c r="I30" s="1204" t="s">
        <v>771</v>
      </c>
    </row>
    <row r="31" spans="1:9" x14ac:dyDescent="0.2">
      <c r="A31" s="904" t="s">
        <v>736</v>
      </c>
      <c r="B31" s="1204" t="s">
        <v>769</v>
      </c>
      <c r="C31" s="1204" t="s">
        <v>771</v>
      </c>
      <c r="D31" s="1204" t="s">
        <v>769</v>
      </c>
      <c r="E31" s="1204" t="s">
        <v>771</v>
      </c>
      <c r="F31" s="1204" t="s">
        <v>771</v>
      </c>
      <c r="G31" s="1204" t="s">
        <v>769</v>
      </c>
      <c r="H31" s="1204" t="s">
        <v>771</v>
      </c>
      <c r="I31" s="1204" t="s">
        <v>769</v>
      </c>
    </row>
    <row r="32" spans="1:9" x14ac:dyDescent="0.2">
      <c r="A32" s="904" t="s">
        <v>737</v>
      </c>
      <c r="B32" s="1204" t="s">
        <v>769</v>
      </c>
      <c r="C32" s="1204" t="s">
        <v>771</v>
      </c>
      <c r="D32" s="1204" t="s">
        <v>769</v>
      </c>
      <c r="E32" s="1204" t="s">
        <v>771</v>
      </c>
      <c r="F32" s="1204" t="s">
        <v>771</v>
      </c>
      <c r="G32" s="1204" t="s">
        <v>769</v>
      </c>
      <c r="H32" s="1204" t="s">
        <v>771</v>
      </c>
      <c r="I32" s="1204" t="s">
        <v>769</v>
      </c>
    </row>
    <row r="33" spans="1:10" x14ac:dyDescent="0.2">
      <c r="A33" s="904" t="s">
        <v>738</v>
      </c>
      <c r="B33" s="1204" t="s">
        <v>769</v>
      </c>
      <c r="C33" s="1204" t="s">
        <v>771</v>
      </c>
      <c r="D33" s="1204" t="s">
        <v>769</v>
      </c>
      <c r="E33" s="1204" t="s">
        <v>771</v>
      </c>
      <c r="F33" s="1204" t="s">
        <v>771</v>
      </c>
      <c r="G33" s="1204" t="s">
        <v>769</v>
      </c>
      <c r="H33" s="1204" t="s">
        <v>771</v>
      </c>
      <c r="I33" s="1204" t="s">
        <v>769</v>
      </c>
    </row>
    <row r="34" spans="1:10" x14ac:dyDescent="0.2">
      <c r="A34" s="904" t="s">
        <v>739</v>
      </c>
      <c r="B34" s="1204" t="s">
        <v>769</v>
      </c>
      <c r="C34" s="1204" t="s">
        <v>771</v>
      </c>
      <c r="D34" s="1204" t="s">
        <v>769</v>
      </c>
      <c r="E34" s="1204" t="s">
        <v>771</v>
      </c>
      <c r="F34" s="1204" t="s">
        <v>771</v>
      </c>
      <c r="G34" s="1204" t="s">
        <v>769</v>
      </c>
      <c r="H34" s="1204" t="s">
        <v>771</v>
      </c>
      <c r="I34" s="1204" t="s">
        <v>769</v>
      </c>
    </row>
    <row r="35" spans="1:10" x14ac:dyDescent="0.2">
      <c r="A35" s="904" t="s">
        <v>773</v>
      </c>
      <c r="B35" s="1204" t="s">
        <v>771</v>
      </c>
      <c r="C35" s="1204" t="s">
        <v>771</v>
      </c>
      <c r="D35" s="1204" t="s">
        <v>771</v>
      </c>
      <c r="E35" s="1204" t="s">
        <v>771</v>
      </c>
      <c r="F35" s="1204" t="s">
        <v>769</v>
      </c>
      <c r="G35" s="1204" t="s">
        <v>771</v>
      </c>
      <c r="H35" s="1204" t="s">
        <v>771</v>
      </c>
      <c r="I35" s="1204" t="s">
        <v>771</v>
      </c>
    </row>
    <row r="36" spans="1:10" x14ac:dyDescent="0.2">
      <c r="A36" s="904" t="s">
        <v>740</v>
      </c>
      <c r="B36" s="1204" t="s">
        <v>771</v>
      </c>
      <c r="C36" s="1204" t="s">
        <v>771</v>
      </c>
      <c r="D36" s="1204" t="s">
        <v>771</v>
      </c>
      <c r="E36" s="1204" t="s">
        <v>769</v>
      </c>
      <c r="F36" s="1204" t="s">
        <v>771</v>
      </c>
      <c r="G36" s="1204" t="s">
        <v>771</v>
      </c>
      <c r="H36" s="1204" t="s">
        <v>771</v>
      </c>
      <c r="I36" s="1204" t="s">
        <v>771</v>
      </c>
    </row>
    <row r="37" spans="1:10" x14ac:dyDescent="0.2">
      <c r="A37" s="904" t="s">
        <v>741</v>
      </c>
      <c r="B37" s="1204" t="s">
        <v>769</v>
      </c>
      <c r="C37" s="1204" t="s">
        <v>769</v>
      </c>
      <c r="D37" s="1204" t="s">
        <v>769</v>
      </c>
      <c r="E37" s="1204" t="s">
        <v>771</v>
      </c>
      <c r="F37" s="1204" t="s">
        <v>771</v>
      </c>
      <c r="G37" s="1204" t="s">
        <v>769</v>
      </c>
      <c r="H37" s="1204" t="s">
        <v>769</v>
      </c>
      <c r="I37" s="1204" t="s">
        <v>769</v>
      </c>
    </row>
    <row r="38" spans="1:10" x14ac:dyDescent="0.2">
      <c r="A38" s="904" t="s">
        <v>742</v>
      </c>
      <c r="B38" s="1204" t="s">
        <v>771</v>
      </c>
      <c r="C38" s="1204" t="s">
        <v>771</v>
      </c>
      <c r="D38" s="1204" t="s">
        <v>771</v>
      </c>
      <c r="E38" s="1204" t="s">
        <v>769</v>
      </c>
      <c r="F38" s="1204" t="s">
        <v>769</v>
      </c>
      <c r="G38" s="1204" t="s">
        <v>771</v>
      </c>
      <c r="H38" s="1204" t="s">
        <v>771</v>
      </c>
      <c r="I38" s="1204" t="s">
        <v>771</v>
      </c>
    </row>
    <row r="39" spans="1:10" x14ac:dyDescent="0.2">
      <c r="A39" s="904" t="s">
        <v>743</v>
      </c>
      <c r="B39" s="1204" t="s">
        <v>771</v>
      </c>
      <c r="C39" s="1204" t="s">
        <v>771</v>
      </c>
      <c r="D39" s="1204" t="s">
        <v>771</v>
      </c>
      <c r="E39" s="1204" t="s">
        <v>769</v>
      </c>
      <c r="F39" s="1204" t="s">
        <v>769</v>
      </c>
      <c r="G39" s="1204" t="s">
        <v>771</v>
      </c>
      <c r="H39" s="1204" t="s">
        <v>771</v>
      </c>
      <c r="I39" s="1204" t="s">
        <v>771</v>
      </c>
    </row>
    <row r="40" spans="1:10" x14ac:dyDescent="0.2">
      <c r="A40" s="904" t="s">
        <v>744</v>
      </c>
      <c r="B40" s="1204" t="s">
        <v>771</v>
      </c>
      <c r="C40" s="1204" t="s">
        <v>771</v>
      </c>
      <c r="D40" s="1204" t="s">
        <v>771</v>
      </c>
      <c r="E40" s="1204" t="s">
        <v>769</v>
      </c>
      <c r="F40" s="1204" t="s">
        <v>769</v>
      </c>
      <c r="G40" s="1204" t="s">
        <v>771</v>
      </c>
      <c r="H40" s="1204" t="s">
        <v>771</v>
      </c>
      <c r="I40" s="1204" t="s">
        <v>771</v>
      </c>
    </row>
    <row r="41" spans="1:10" x14ac:dyDescent="0.2">
      <c r="A41" s="904" t="s">
        <v>745</v>
      </c>
      <c r="B41" s="1204" t="s">
        <v>769</v>
      </c>
      <c r="C41" s="1204" t="s">
        <v>769</v>
      </c>
      <c r="D41" s="1204" t="s">
        <v>771</v>
      </c>
      <c r="E41" s="1204" t="s">
        <v>769</v>
      </c>
      <c r="F41" s="1204" t="s">
        <v>769</v>
      </c>
      <c r="G41" s="1204" t="s">
        <v>769</v>
      </c>
      <c r="H41" s="1204" t="s">
        <v>769</v>
      </c>
      <c r="I41" s="1204" t="s">
        <v>771</v>
      </c>
    </row>
    <row r="42" spans="1:10" x14ac:dyDescent="0.2">
      <c r="A42" s="904" t="s">
        <v>746</v>
      </c>
      <c r="B42" s="1204" t="s">
        <v>769</v>
      </c>
      <c r="C42" s="1204" t="s">
        <v>771</v>
      </c>
      <c r="D42" s="1204" t="s">
        <v>769</v>
      </c>
      <c r="E42" s="1204" t="s">
        <v>769</v>
      </c>
      <c r="F42" s="1204" t="s">
        <v>769</v>
      </c>
      <c r="G42" s="1204" t="s">
        <v>769</v>
      </c>
      <c r="H42" s="1204" t="s">
        <v>771</v>
      </c>
      <c r="I42" s="1204" t="s">
        <v>769</v>
      </c>
    </row>
    <row r="43" spans="1:10" x14ac:dyDescent="0.2">
      <c r="A43" s="904" t="s">
        <v>747</v>
      </c>
      <c r="B43" s="1204" t="s">
        <v>770</v>
      </c>
      <c r="C43" s="1204" t="s">
        <v>770</v>
      </c>
      <c r="D43" s="1204" t="s">
        <v>770</v>
      </c>
      <c r="E43" s="1204" t="s">
        <v>770</v>
      </c>
      <c r="F43" s="1204" t="s">
        <v>770</v>
      </c>
      <c r="G43" s="1204" t="s">
        <v>770</v>
      </c>
      <c r="H43" s="1204" t="s">
        <v>770</v>
      </c>
      <c r="I43" s="1204" t="s">
        <v>770</v>
      </c>
    </row>
    <row r="44" spans="1:10" x14ac:dyDescent="0.2">
      <c r="A44" s="904" t="s">
        <v>937</v>
      </c>
      <c r="B44" s="1204" t="s">
        <v>770</v>
      </c>
      <c r="C44" s="1204" t="s">
        <v>770</v>
      </c>
      <c r="D44" s="1204" t="s">
        <v>770</v>
      </c>
      <c r="E44" s="1204" t="s">
        <v>770</v>
      </c>
      <c r="F44" s="1204" t="s">
        <v>770</v>
      </c>
      <c r="G44" s="1204" t="s">
        <v>770</v>
      </c>
      <c r="H44" s="1204" t="s">
        <v>770</v>
      </c>
      <c r="I44" s="1204" t="s">
        <v>770</v>
      </c>
    </row>
    <row r="45" spans="1:10" x14ac:dyDescent="0.2">
      <c r="A45" s="904" t="s">
        <v>936</v>
      </c>
      <c r="B45" s="1204" t="s">
        <v>770</v>
      </c>
      <c r="C45" s="1204" t="s">
        <v>770</v>
      </c>
      <c r="D45" s="1204" t="s">
        <v>770</v>
      </c>
      <c r="E45" s="1204" t="s">
        <v>770</v>
      </c>
      <c r="F45" s="1204" t="s">
        <v>770</v>
      </c>
      <c r="G45" s="1204" t="s">
        <v>770</v>
      </c>
      <c r="H45" s="1204" t="s">
        <v>770</v>
      </c>
      <c r="I45" s="1204" t="s">
        <v>770</v>
      </c>
    </row>
    <row r="46" spans="1:10" x14ac:dyDescent="0.2">
      <c r="A46" s="904" t="s">
        <v>748</v>
      </c>
      <c r="B46" s="1204" t="s">
        <v>769</v>
      </c>
      <c r="C46" s="1204" t="s">
        <v>769</v>
      </c>
      <c r="D46" s="1204" t="s">
        <v>769</v>
      </c>
      <c r="E46" s="1204" t="s">
        <v>769</v>
      </c>
      <c r="F46" s="1204" t="s">
        <v>769</v>
      </c>
      <c r="G46" s="1204" t="s">
        <v>769</v>
      </c>
      <c r="H46" s="1204" t="s">
        <v>769</v>
      </c>
      <c r="I46" s="1204" t="s">
        <v>769</v>
      </c>
      <c r="J46" s="140"/>
    </row>
    <row r="47" spans="1:10" x14ac:dyDescent="0.2">
      <c r="A47" s="904" t="s">
        <v>749</v>
      </c>
      <c r="B47" s="1204" t="s">
        <v>769</v>
      </c>
      <c r="C47" s="1204" t="s">
        <v>769</v>
      </c>
      <c r="D47" s="1204" t="s">
        <v>769</v>
      </c>
      <c r="E47" s="1204" t="s">
        <v>769</v>
      </c>
      <c r="F47" s="1204" t="s">
        <v>769</v>
      </c>
      <c r="G47" s="1204" t="s">
        <v>769</v>
      </c>
      <c r="H47" s="1204" t="s">
        <v>769</v>
      </c>
      <c r="I47" s="1204" t="s">
        <v>769</v>
      </c>
      <c r="J47" s="140"/>
    </row>
    <row r="48" spans="1:10" x14ac:dyDescent="0.2">
      <c r="A48" s="904" t="s">
        <v>750</v>
      </c>
      <c r="B48" s="1204" t="s">
        <v>769</v>
      </c>
      <c r="C48" s="1204" t="s">
        <v>769</v>
      </c>
      <c r="D48" s="1204" t="s">
        <v>769</v>
      </c>
      <c r="E48" s="1204" t="s">
        <v>769</v>
      </c>
      <c r="F48" s="1204" t="s">
        <v>769</v>
      </c>
      <c r="G48" s="1204" t="s">
        <v>769</v>
      </c>
      <c r="H48" s="1204" t="s">
        <v>769</v>
      </c>
      <c r="I48" s="1204" t="s">
        <v>769</v>
      </c>
      <c r="J48" s="140"/>
    </row>
    <row r="49" spans="1:10" x14ac:dyDescent="0.2">
      <c r="A49" s="904" t="s">
        <v>1392</v>
      </c>
      <c r="B49" s="1204" t="s">
        <v>769</v>
      </c>
      <c r="C49" s="1204" t="s">
        <v>769</v>
      </c>
      <c r="D49" s="1204" t="s">
        <v>769</v>
      </c>
      <c r="E49" s="1204" t="s">
        <v>769</v>
      </c>
      <c r="F49" s="1204" t="s">
        <v>769</v>
      </c>
      <c r="G49" s="1204" t="s">
        <v>769</v>
      </c>
      <c r="H49" s="1204" t="s">
        <v>769</v>
      </c>
      <c r="I49" s="1204" t="s">
        <v>769</v>
      </c>
      <c r="J49" s="1456"/>
    </row>
    <row r="50" spans="1:10" x14ac:dyDescent="0.2">
      <c r="A50" s="904" t="s">
        <v>1393</v>
      </c>
      <c r="B50" s="1204" t="s">
        <v>769</v>
      </c>
      <c r="C50" s="1204" t="s">
        <v>769</v>
      </c>
      <c r="D50" s="1204" t="s">
        <v>769</v>
      </c>
      <c r="E50" s="1204" t="s">
        <v>769</v>
      </c>
      <c r="F50" s="1204" t="s">
        <v>769</v>
      </c>
      <c r="G50" s="1204" t="s">
        <v>769</v>
      </c>
      <c r="H50" s="1204" t="s">
        <v>769</v>
      </c>
      <c r="I50" s="1204" t="s">
        <v>769</v>
      </c>
      <c r="J50" s="1456"/>
    </row>
    <row r="51" spans="1:10" x14ac:dyDescent="0.2">
      <c r="A51" s="904" t="s">
        <v>1394</v>
      </c>
      <c r="B51" s="1204" t="s">
        <v>769</v>
      </c>
      <c r="C51" s="1204" t="s">
        <v>769</v>
      </c>
      <c r="D51" s="1204" t="s">
        <v>769</v>
      </c>
      <c r="E51" s="1204" t="s">
        <v>769</v>
      </c>
      <c r="F51" s="1204" t="s">
        <v>769</v>
      </c>
      <c r="G51" s="1204" t="s">
        <v>769</v>
      </c>
      <c r="H51" s="1204" t="s">
        <v>769</v>
      </c>
      <c r="I51" s="1204" t="s">
        <v>769</v>
      </c>
    </row>
    <row r="52" spans="1:10" x14ac:dyDescent="0.2">
      <c r="A52" s="904" t="s">
        <v>751</v>
      </c>
      <c r="B52" s="1204" t="s">
        <v>769</v>
      </c>
      <c r="C52" s="1204" t="s">
        <v>769</v>
      </c>
      <c r="D52" s="1204" t="s">
        <v>769</v>
      </c>
      <c r="E52" s="1204" t="s">
        <v>769</v>
      </c>
      <c r="F52" s="1204" t="s">
        <v>769</v>
      </c>
      <c r="G52" s="1204" t="s">
        <v>769</v>
      </c>
      <c r="H52" s="1204" t="s">
        <v>769</v>
      </c>
      <c r="I52" s="1204" t="s">
        <v>769</v>
      </c>
    </row>
    <row r="53" spans="1:10" x14ac:dyDescent="0.2">
      <c r="A53" s="904" t="s">
        <v>752</v>
      </c>
      <c r="B53" s="1204" t="s">
        <v>769</v>
      </c>
      <c r="C53" s="1204" t="s">
        <v>769</v>
      </c>
      <c r="D53" s="1204" t="s">
        <v>769</v>
      </c>
      <c r="E53" s="1204" t="s">
        <v>769</v>
      </c>
      <c r="F53" s="1204" t="s">
        <v>769</v>
      </c>
      <c r="G53" s="1204" t="s">
        <v>769</v>
      </c>
      <c r="H53" s="1204" t="s">
        <v>769</v>
      </c>
      <c r="I53" s="1204" t="s">
        <v>769</v>
      </c>
    </row>
    <row r="54" spans="1:10" x14ac:dyDescent="0.2">
      <c r="A54" s="904" t="s">
        <v>753</v>
      </c>
      <c r="B54" s="1204" t="s">
        <v>769</v>
      </c>
      <c r="C54" s="1204" t="s">
        <v>769</v>
      </c>
      <c r="D54" s="1204" t="s">
        <v>769</v>
      </c>
      <c r="E54" s="1204" t="s">
        <v>769</v>
      </c>
      <c r="F54" s="1204" t="s">
        <v>769</v>
      </c>
      <c r="G54" s="1204" t="s">
        <v>769</v>
      </c>
      <c r="H54" s="1204" t="s">
        <v>769</v>
      </c>
      <c r="I54" s="1204" t="s">
        <v>769</v>
      </c>
    </row>
    <row r="55" spans="1:10" x14ac:dyDescent="0.2">
      <c r="A55" s="904" t="s">
        <v>754</v>
      </c>
      <c r="B55" s="1204" t="s">
        <v>769</v>
      </c>
      <c r="C55" s="1204" t="s">
        <v>769</v>
      </c>
      <c r="D55" s="1204" t="s">
        <v>769</v>
      </c>
      <c r="E55" s="1204" t="s">
        <v>769</v>
      </c>
      <c r="F55" s="1204" t="s">
        <v>769</v>
      </c>
      <c r="G55" s="1204" t="s">
        <v>769</v>
      </c>
      <c r="H55" s="1204" t="s">
        <v>769</v>
      </c>
      <c r="I55" s="1204" t="s">
        <v>769</v>
      </c>
    </row>
    <row r="56" spans="1:10" x14ac:dyDescent="0.2">
      <c r="A56" s="904" t="s">
        <v>755</v>
      </c>
      <c r="B56" s="1204" t="s">
        <v>769</v>
      </c>
      <c r="C56" s="1204" t="s">
        <v>769</v>
      </c>
      <c r="D56" s="1204" t="s">
        <v>769</v>
      </c>
      <c r="E56" s="1204" t="s">
        <v>769</v>
      </c>
      <c r="F56" s="1204" t="s">
        <v>769</v>
      </c>
      <c r="G56" s="1204" t="s">
        <v>769</v>
      </c>
      <c r="H56" s="1204" t="s">
        <v>769</v>
      </c>
      <c r="I56" s="1204" t="s">
        <v>769</v>
      </c>
    </row>
    <row r="57" spans="1:10" x14ac:dyDescent="0.2">
      <c r="A57" s="904" t="s">
        <v>756</v>
      </c>
      <c r="B57" s="1204" t="s">
        <v>769</v>
      </c>
      <c r="C57" s="1204" t="s">
        <v>769</v>
      </c>
      <c r="D57" s="1204" t="s">
        <v>769</v>
      </c>
      <c r="E57" s="1204" t="s">
        <v>769</v>
      </c>
      <c r="F57" s="1204" t="s">
        <v>769</v>
      </c>
      <c r="G57" s="1204" t="s">
        <v>769</v>
      </c>
      <c r="H57" s="1204" t="s">
        <v>769</v>
      </c>
      <c r="I57" s="1204" t="s">
        <v>769</v>
      </c>
    </row>
    <row r="58" spans="1:10" x14ac:dyDescent="0.2">
      <c r="A58" s="904" t="s">
        <v>757</v>
      </c>
      <c r="B58" s="1204" t="s">
        <v>769</v>
      </c>
      <c r="C58" s="1204" t="s">
        <v>769</v>
      </c>
      <c r="D58" s="1204" t="s">
        <v>769</v>
      </c>
      <c r="E58" s="1204" t="s">
        <v>769</v>
      </c>
      <c r="F58" s="1204" t="s">
        <v>769</v>
      </c>
      <c r="G58" s="1204" t="s">
        <v>769</v>
      </c>
      <c r="H58" s="1204" t="s">
        <v>769</v>
      </c>
      <c r="I58" s="1204" t="s">
        <v>769</v>
      </c>
    </row>
    <row r="59" spans="1:10" x14ac:dyDescent="0.2">
      <c r="A59" s="904" t="s">
        <v>758</v>
      </c>
      <c r="B59" s="1204" t="s">
        <v>1396</v>
      </c>
      <c r="C59" s="1204" t="s">
        <v>1396</v>
      </c>
      <c r="D59" s="1204" t="s">
        <v>1396</v>
      </c>
      <c r="E59" s="1204" t="s">
        <v>1396</v>
      </c>
      <c r="F59" s="1204" t="s">
        <v>1396</v>
      </c>
      <c r="G59" s="1204" t="s">
        <v>1396</v>
      </c>
      <c r="H59" s="1204" t="s">
        <v>1396</v>
      </c>
      <c r="I59" s="1204" t="s">
        <v>1396</v>
      </c>
    </row>
    <row r="60" spans="1:10" x14ac:dyDescent="0.2">
      <c r="A60" s="904" t="s">
        <v>759</v>
      </c>
      <c r="B60" s="1204" t="s">
        <v>769</v>
      </c>
      <c r="C60" s="1204" t="s">
        <v>769</v>
      </c>
      <c r="D60" s="1204" t="s">
        <v>769</v>
      </c>
      <c r="E60" s="1204" t="s">
        <v>769</v>
      </c>
      <c r="F60" s="1204" t="s">
        <v>769</v>
      </c>
      <c r="G60" s="1204" t="s">
        <v>769</v>
      </c>
      <c r="H60" s="1204" t="s">
        <v>769</v>
      </c>
      <c r="I60" s="1204" t="s">
        <v>769</v>
      </c>
    </row>
    <row r="61" spans="1:10" x14ac:dyDescent="0.2">
      <c r="A61" s="904" t="s">
        <v>760</v>
      </c>
      <c r="B61" s="1204" t="s">
        <v>769</v>
      </c>
      <c r="C61" s="1204" t="s">
        <v>769</v>
      </c>
      <c r="D61" s="1204" t="s">
        <v>769</v>
      </c>
      <c r="E61" s="1204" t="s">
        <v>769</v>
      </c>
      <c r="F61" s="1204" t="s">
        <v>769</v>
      </c>
      <c r="G61" s="1204" t="s">
        <v>769</v>
      </c>
      <c r="H61" s="1204" t="s">
        <v>769</v>
      </c>
      <c r="I61" s="1204" t="s">
        <v>769</v>
      </c>
    </row>
    <row r="62" spans="1:10" x14ac:dyDescent="0.2">
      <c r="A62" s="904" t="s">
        <v>761</v>
      </c>
      <c r="B62" s="1204" t="s">
        <v>769</v>
      </c>
      <c r="C62" s="1204" t="s">
        <v>769</v>
      </c>
      <c r="D62" s="1204" t="s">
        <v>769</v>
      </c>
      <c r="E62" s="1204" t="s">
        <v>769</v>
      </c>
      <c r="F62" s="1204" t="s">
        <v>769</v>
      </c>
      <c r="G62" s="1204" t="s">
        <v>769</v>
      </c>
      <c r="H62" s="1204" t="s">
        <v>769</v>
      </c>
      <c r="I62" s="1204" t="s">
        <v>769</v>
      </c>
    </row>
    <row r="63" spans="1:10" x14ac:dyDescent="0.2">
      <c r="A63" s="904" t="s">
        <v>762</v>
      </c>
      <c r="B63" s="1204" t="s">
        <v>769</v>
      </c>
      <c r="C63" s="1204" t="s">
        <v>769</v>
      </c>
      <c r="D63" s="1204" t="s">
        <v>769</v>
      </c>
      <c r="E63" s="1204" t="s">
        <v>769</v>
      </c>
      <c r="F63" s="1204" t="s">
        <v>769</v>
      </c>
      <c r="G63" s="1204" t="s">
        <v>769</v>
      </c>
      <c r="H63" s="1204" t="s">
        <v>769</v>
      </c>
      <c r="I63" s="1204" t="s">
        <v>769</v>
      </c>
    </row>
    <row r="64" spans="1:10" x14ac:dyDescent="0.2">
      <c r="A64" s="904" t="s">
        <v>763</v>
      </c>
      <c r="B64" s="1204" t="s">
        <v>769</v>
      </c>
      <c r="C64" s="1204" t="s">
        <v>769</v>
      </c>
      <c r="D64" s="1204" t="s">
        <v>769</v>
      </c>
      <c r="E64" s="1204" t="s">
        <v>769</v>
      </c>
      <c r="F64" s="1204" t="s">
        <v>769</v>
      </c>
      <c r="G64" s="1204" t="s">
        <v>769</v>
      </c>
      <c r="H64" s="1204" t="s">
        <v>769</v>
      </c>
      <c r="I64" s="1204" t="s">
        <v>769</v>
      </c>
    </row>
    <row r="65" spans="1:9" x14ac:dyDescent="0.2">
      <c r="A65" s="904" t="s">
        <v>764</v>
      </c>
      <c r="B65" s="1204" t="s">
        <v>769</v>
      </c>
      <c r="C65" s="1204" t="s">
        <v>769</v>
      </c>
      <c r="D65" s="1204" t="s">
        <v>769</v>
      </c>
      <c r="E65" s="1204" t="s">
        <v>769</v>
      </c>
      <c r="F65" s="1204" t="s">
        <v>769</v>
      </c>
      <c r="G65" s="1204" t="s">
        <v>769</v>
      </c>
      <c r="H65" s="1204" t="s">
        <v>769</v>
      </c>
      <c r="I65" s="1204" t="s">
        <v>769</v>
      </c>
    </row>
    <row r="66" spans="1:9" x14ac:dyDescent="0.2">
      <c r="A66" s="1210" t="s">
        <v>765</v>
      </c>
      <c r="B66" s="1204" t="s">
        <v>769</v>
      </c>
      <c r="C66" s="1204" t="s">
        <v>769</v>
      </c>
      <c r="D66" s="1204" t="s">
        <v>769</v>
      </c>
      <c r="E66" s="1204" t="s">
        <v>769</v>
      </c>
      <c r="F66" s="1204" t="s">
        <v>769</v>
      </c>
      <c r="G66" s="1204" t="s">
        <v>769</v>
      </c>
      <c r="H66" s="1204" t="s">
        <v>769</v>
      </c>
      <c r="I66" s="1204" t="s">
        <v>769</v>
      </c>
    </row>
    <row r="67" spans="1:9" x14ac:dyDescent="0.2">
      <c r="A67" s="904" t="s">
        <v>766</v>
      </c>
      <c r="B67" s="1204" t="s">
        <v>771</v>
      </c>
      <c r="C67" s="1204" t="s">
        <v>771</v>
      </c>
      <c r="D67" s="1204" t="s">
        <v>771</v>
      </c>
      <c r="E67" s="1204" t="s">
        <v>769</v>
      </c>
      <c r="F67" s="1204" t="s">
        <v>771</v>
      </c>
      <c r="G67" s="1204" t="s">
        <v>771</v>
      </c>
      <c r="H67" s="1204" t="s">
        <v>771</v>
      </c>
      <c r="I67" s="1204" t="s">
        <v>771</v>
      </c>
    </row>
    <row r="68" spans="1:9" x14ac:dyDescent="0.2">
      <c r="A68" s="904" t="s">
        <v>767</v>
      </c>
      <c r="B68" s="1204" t="s">
        <v>769</v>
      </c>
      <c r="C68" s="1204" t="s">
        <v>769</v>
      </c>
      <c r="D68" s="1204" t="s">
        <v>769</v>
      </c>
      <c r="E68" s="1204" t="s">
        <v>771</v>
      </c>
      <c r="F68" s="1204" t="s">
        <v>771</v>
      </c>
      <c r="G68" s="1204" t="s">
        <v>769</v>
      </c>
      <c r="H68" s="1204" t="s">
        <v>769</v>
      </c>
      <c r="I68" s="1204" t="s">
        <v>769</v>
      </c>
    </row>
    <row r="69" spans="1:9" x14ac:dyDescent="0.2">
      <c r="A69" s="904" t="s">
        <v>801</v>
      </c>
      <c r="B69" s="1204" t="s">
        <v>769</v>
      </c>
      <c r="C69" s="1204" t="s">
        <v>769</v>
      </c>
      <c r="D69" s="1204" t="s">
        <v>769</v>
      </c>
      <c r="E69" s="1204" t="s">
        <v>769</v>
      </c>
      <c r="F69" s="1204" t="s">
        <v>769</v>
      </c>
      <c r="G69" s="1204" t="s">
        <v>769</v>
      </c>
      <c r="H69" s="1204" t="s">
        <v>769</v>
      </c>
      <c r="I69" s="1204" t="s">
        <v>769</v>
      </c>
    </row>
    <row r="70" spans="1:9" x14ac:dyDescent="0.2">
      <c r="A70" s="904" t="s">
        <v>1391</v>
      </c>
      <c r="B70" s="1204" t="s">
        <v>771</v>
      </c>
      <c r="C70" s="1204" t="s">
        <v>771</v>
      </c>
      <c r="D70" s="1204" t="s">
        <v>771</v>
      </c>
      <c r="E70" s="1204" t="s">
        <v>771</v>
      </c>
      <c r="F70" s="1204" t="s">
        <v>771</v>
      </c>
      <c r="G70" s="1204" t="s">
        <v>771</v>
      </c>
      <c r="H70" s="1204" t="s">
        <v>771</v>
      </c>
      <c r="I70" s="1204" t="s">
        <v>771</v>
      </c>
    </row>
    <row r="71" spans="1:9" x14ac:dyDescent="0.2">
      <c r="A71" s="904" t="s">
        <v>1395</v>
      </c>
      <c r="B71" s="1204" t="s">
        <v>771</v>
      </c>
      <c r="C71" s="1204" t="s">
        <v>771</v>
      </c>
      <c r="D71" s="1204" t="s">
        <v>771</v>
      </c>
      <c r="E71" s="1204" t="s">
        <v>771</v>
      </c>
      <c r="F71" s="1204" t="s">
        <v>771</v>
      </c>
      <c r="G71" s="1204" t="s">
        <v>771</v>
      </c>
      <c r="H71" s="1204" t="s">
        <v>771</v>
      </c>
      <c r="I71" s="1204" t="s">
        <v>771</v>
      </c>
    </row>
    <row r="72" spans="1:9" x14ac:dyDescent="0.2">
      <c r="A72" s="904" t="s">
        <v>768</v>
      </c>
      <c r="B72" s="1457" t="s">
        <v>771</v>
      </c>
      <c r="C72" s="1457" t="s">
        <v>771</v>
      </c>
      <c r="D72" s="1457" t="s">
        <v>771</v>
      </c>
      <c r="E72" s="1457" t="s">
        <v>771</v>
      </c>
      <c r="F72" s="1457" t="s">
        <v>771</v>
      </c>
      <c r="G72" s="1457" t="s">
        <v>771</v>
      </c>
      <c r="H72" s="1457" t="s">
        <v>771</v>
      </c>
      <c r="I72" s="1457" t="s">
        <v>771</v>
      </c>
    </row>
  </sheetData>
  <conditionalFormatting sqref="B3:B11 B26:B35 B37 B41:B66 B68:B80 E3:F80">
    <cfRule type="cellIs" dxfId="59" priority="62" operator="equal">
      <formula>"o"</formula>
    </cfRule>
    <cfRule type="cellIs" dxfId="58" priority="63" operator="equal">
      <formula>"x"</formula>
    </cfRule>
  </conditionalFormatting>
  <conditionalFormatting sqref="B3:B11 B26:B35 B37 B41:B66 B68:B72 E3:F72">
    <cfRule type="cellIs" dxfId="57" priority="61" operator="equal">
      <formula>"e"</formula>
    </cfRule>
  </conditionalFormatting>
  <conditionalFormatting sqref="C3:D11 C26:D26 C37:D37 D31:D34 C27:C30 C43:D66 D42 C41 C68:D80">
    <cfRule type="cellIs" dxfId="56" priority="59" operator="equal">
      <formula>"o"</formula>
    </cfRule>
    <cfRule type="cellIs" dxfId="55" priority="60" operator="equal">
      <formula>"x"</formula>
    </cfRule>
  </conditionalFormatting>
  <conditionalFormatting sqref="C3:D11 C26:D26 C37:D37 D31:D34 C27:C30 C43:D66 D42 C41 C68:D72">
    <cfRule type="cellIs" dxfId="54" priority="58" operator="equal">
      <formula>"e"</formula>
    </cfRule>
  </conditionalFormatting>
  <conditionalFormatting sqref="H3:I26 H37:I37 H27:H30 I31:I34 H43:I66 H41 I42 H68:I80">
    <cfRule type="cellIs" dxfId="53" priority="50" operator="equal">
      <formula>"o"</formula>
    </cfRule>
    <cfRule type="cellIs" dxfId="52" priority="51" operator="equal">
      <formula>"x"</formula>
    </cfRule>
  </conditionalFormatting>
  <conditionalFormatting sqref="H3:I26 H37:I37 H27:H30 I31:I34 H43:I66 H41 I42 H68:I72">
    <cfRule type="cellIs" dxfId="51" priority="49" operator="equal">
      <formula>"e"</formula>
    </cfRule>
  </conditionalFormatting>
  <conditionalFormatting sqref="G3:G34 G37 G41:G66 G68:G80">
    <cfRule type="cellIs" dxfId="50" priority="53" operator="equal">
      <formula>"o"</formula>
    </cfRule>
    <cfRule type="cellIs" dxfId="49" priority="54" operator="equal">
      <formula>"x"</formula>
    </cfRule>
  </conditionalFormatting>
  <conditionalFormatting sqref="G3:G34 G37 G41:G66 G68:G72">
    <cfRule type="cellIs" dxfId="48" priority="52" operator="equal">
      <formula>"e"</formula>
    </cfRule>
  </conditionalFormatting>
  <conditionalFormatting sqref="B12:D25">
    <cfRule type="cellIs" dxfId="47" priority="47" operator="equal">
      <formula>"o"</formula>
    </cfRule>
    <cfRule type="cellIs" dxfId="46" priority="48" operator="equal">
      <formula>"x"</formula>
    </cfRule>
  </conditionalFormatting>
  <conditionalFormatting sqref="B12:D25">
    <cfRule type="cellIs" dxfId="45" priority="46" operator="equal">
      <formula>"e"</formula>
    </cfRule>
  </conditionalFormatting>
  <conditionalFormatting sqref="B36:D36">
    <cfRule type="cellIs" dxfId="44" priority="44" operator="equal">
      <formula>"o"</formula>
    </cfRule>
    <cfRule type="cellIs" dxfId="43" priority="45" operator="equal">
      <formula>"x"</formula>
    </cfRule>
  </conditionalFormatting>
  <conditionalFormatting sqref="B36:D36">
    <cfRule type="cellIs" dxfId="42" priority="43" operator="equal">
      <formula>"e"</formula>
    </cfRule>
  </conditionalFormatting>
  <conditionalFormatting sqref="C31:C35">
    <cfRule type="cellIs" dxfId="41" priority="41" operator="equal">
      <formula>"o"</formula>
    </cfRule>
    <cfRule type="cellIs" dxfId="40" priority="42" operator="equal">
      <formula>"x"</formula>
    </cfRule>
  </conditionalFormatting>
  <conditionalFormatting sqref="C31:C35">
    <cfRule type="cellIs" dxfId="39" priority="40" operator="equal">
      <formula>"e"</formula>
    </cfRule>
  </conditionalFormatting>
  <conditionalFormatting sqref="D35">
    <cfRule type="cellIs" dxfId="38" priority="38" operator="equal">
      <formula>"o"</formula>
    </cfRule>
    <cfRule type="cellIs" dxfId="37" priority="39" operator="equal">
      <formula>"x"</formula>
    </cfRule>
  </conditionalFormatting>
  <conditionalFormatting sqref="D35">
    <cfRule type="cellIs" dxfId="36" priority="37" operator="equal">
      <formula>"e"</formula>
    </cfRule>
  </conditionalFormatting>
  <conditionalFormatting sqref="D27:D30">
    <cfRule type="cellIs" dxfId="35" priority="35" operator="equal">
      <formula>"o"</formula>
    </cfRule>
    <cfRule type="cellIs" dxfId="34" priority="36" operator="equal">
      <formula>"x"</formula>
    </cfRule>
  </conditionalFormatting>
  <conditionalFormatting sqref="D27:D30">
    <cfRule type="cellIs" dxfId="33" priority="34" operator="equal">
      <formula>"e"</formula>
    </cfRule>
  </conditionalFormatting>
  <conditionalFormatting sqref="I27:I30">
    <cfRule type="cellIs" dxfId="32" priority="32" operator="equal">
      <formula>"o"</formula>
    </cfRule>
    <cfRule type="cellIs" dxfId="31" priority="33" operator="equal">
      <formula>"x"</formula>
    </cfRule>
  </conditionalFormatting>
  <conditionalFormatting sqref="I27:I30">
    <cfRule type="cellIs" dxfId="30" priority="31" operator="equal">
      <formula>"e"</formula>
    </cfRule>
  </conditionalFormatting>
  <conditionalFormatting sqref="H31:H34">
    <cfRule type="cellIs" dxfId="29" priority="29" operator="equal">
      <formula>"o"</formula>
    </cfRule>
    <cfRule type="cellIs" dxfId="28" priority="30" operator="equal">
      <formula>"x"</formula>
    </cfRule>
  </conditionalFormatting>
  <conditionalFormatting sqref="H31:H34">
    <cfRule type="cellIs" dxfId="27" priority="28" operator="equal">
      <formula>"e"</formula>
    </cfRule>
  </conditionalFormatting>
  <conditionalFormatting sqref="G35:I36">
    <cfRule type="cellIs" dxfId="26" priority="26" operator="equal">
      <formula>"o"</formula>
    </cfRule>
    <cfRule type="cellIs" dxfId="25" priority="27" operator="equal">
      <formula>"x"</formula>
    </cfRule>
  </conditionalFormatting>
  <conditionalFormatting sqref="G35:I36">
    <cfRule type="cellIs" dxfId="24" priority="25" operator="equal">
      <formula>"e"</formula>
    </cfRule>
  </conditionalFormatting>
  <conditionalFormatting sqref="G38:I40">
    <cfRule type="cellIs" dxfId="23" priority="23" operator="equal">
      <formula>"o"</formula>
    </cfRule>
    <cfRule type="cellIs" dxfId="22" priority="24" operator="equal">
      <formula>"x"</formula>
    </cfRule>
  </conditionalFormatting>
  <conditionalFormatting sqref="G38:I40">
    <cfRule type="cellIs" dxfId="21" priority="22" operator="equal">
      <formula>"e"</formula>
    </cfRule>
  </conditionalFormatting>
  <conditionalFormatting sqref="I41">
    <cfRule type="cellIs" dxfId="20" priority="20" operator="equal">
      <formula>"o"</formula>
    </cfRule>
    <cfRule type="cellIs" dxfId="19" priority="21" operator="equal">
      <formula>"x"</formula>
    </cfRule>
  </conditionalFormatting>
  <conditionalFormatting sqref="I41">
    <cfRule type="cellIs" dxfId="18" priority="19" operator="equal">
      <formula>"e"</formula>
    </cfRule>
  </conditionalFormatting>
  <conditionalFormatting sqref="H42">
    <cfRule type="cellIs" dxfId="17" priority="17" operator="equal">
      <formula>"o"</formula>
    </cfRule>
    <cfRule type="cellIs" dxfId="16" priority="18" operator="equal">
      <formula>"x"</formula>
    </cfRule>
  </conditionalFormatting>
  <conditionalFormatting sqref="H42">
    <cfRule type="cellIs" dxfId="15" priority="16" operator="equal">
      <formula>"e"</formula>
    </cfRule>
  </conditionalFormatting>
  <conditionalFormatting sqref="C42">
    <cfRule type="cellIs" dxfId="14" priority="14" operator="equal">
      <formula>"o"</formula>
    </cfRule>
    <cfRule type="cellIs" dxfId="13" priority="15" operator="equal">
      <formula>"x"</formula>
    </cfRule>
  </conditionalFormatting>
  <conditionalFormatting sqref="C42">
    <cfRule type="cellIs" dxfId="12" priority="13" operator="equal">
      <formula>"e"</formula>
    </cfRule>
  </conditionalFormatting>
  <conditionalFormatting sqref="D38:D41">
    <cfRule type="cellIs" dxfId="11" priority="11" operator="equal">
      <formula>"o"</formula>
    </cfRule>
    <cfRule type="cellIs" dxfId="10" priority="12" operator="equal">
      <formula>"x"</formula>
    </cfRule>
  </conditionalFormatting>
  <conditionalFormatting sqref="D38:D41">
    <cfRule type="cellIs" dxfId="9" priority="10" operator="equal">
      <formula>"e"</formula>
    </cfRule>
  </conditionalFormatting>
  <conditionalFormatting sqref="B38:C40">
    <cfRule type="cellIs" dxfId="8" priority="8" operator="equal">
      <formula>"o"</formula>
    </cfRule>
    <cfRule type="cellIs" dxfId="7" priority="9" operator="equal">
      <formula>"x"</formula>
    </cfRule>
  </conditionalFormatting>
  <conditionalFormatting sqref="B38:C40">
    <cfRule type="cellIs" dxfId="6" priority="7" operator="equal">
      <formula>"e"</formula>
    </cfRule>
  </conditionalFormatting>
  <conditionalFormatting sqref="B67:D67">
    <cfRule type="cellIs" dxfId="5" priority="5" operator="equal">
      <formula>"o"</formula>
    </cfRule>
    <cfRule type="cellIs" dxfId="4" priority="6" operator="equal">
      <formula>"x"</formula>
    </cfRule>
  </conditionalFormatting>
  <conditionalFormatting sqref="B67:D67">
    <cfRule type="cellIs" dxfId="3" priority="4" operator="equal">
      <formula>"e"</formula>
    </cfRule>
  </conditionalFormatting>
  <conditionalFormatting sqref="G67:I67">
    <cfRule type="cellIs" dxfId="2" priority="2" operator="equal">
      <formula>"o"</formula>
    </cfRule>
    <cfRule type="cellIs" dxfId="1" priority="3" operator="equal">
      <formula>"x"</formula>
    </cfRule>
  </conditionalFormatting>
  <conditionalFormatting sqref="G67:I67">
    <cfRule type="cellIs" dxfId="0" priority="1" operator="equal">
      <formula>"e"</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dimension ref="A1:U37"/>
  <sheetViews>
    <sheetView showGridLines="0" zoomScale="85" zoomScaleNormal="85" workbookViewId="0"/>
  </sheetViews>
  <sheetFormatPr defaultRowHeight="12.75" x14ac:dyDescent="0.2"/>
  <cols>
    <col min="1" max="1" width="28.140625" style="61" customWidth="1"/>
    <col min="2" max="6" width="9.140625" style="61"/>
    <col min="7" max="7" width="12.7109375" style="61" bestFit="1" customWidth="1"/>
    <col min="8" max="8" width="13.140625" style="61" customWidth="1"/>
    <col min="9" max="20" width="9.140625" style="61"/>
    <col min="21" max="21" width="12.7109375" style="61" customWidth="1"/>
    <col min="22" max="16384" width="9.140625" style="61"/>
  </cols>
  <sheetData>
    <row r="1" spans="1:21" x14ac:dyDescent="0.2">
      <c r="S1" s="252" t="s">
        <v>394</v>
      </c>
      <c r="U1" s="253" t="str">
        <f>EBNUMBER</f>
        <v>EB-2015-0089</v>
      </c>
    </row>
    <row r="2" spans="1:21" x14ac:dyDescent="0.2">
      <c r="S2" s="252" t="s">
        <v>395</v>
      </c>
      <c r="U2" s="254">
        <v>2</v>
      </c>
    </row>
    <row r="3" spans="1:21" x14ac:dyDescent="0.2">
      <c r="S3" s="252" t="s">
        <v>396</v>
      </c>
      <c r="U3" s="254" t="s">
        <v>2456</v>
      </c>
    </row>
    <row r="4" spans="1:21" x14ac:dyDescent="0.2">
      <c r="S4" s="252" t="s">
        <v>397</v>
      </c>
      <c r="U4" s="254" t="s">
        <v>2401</v>
      </c>
    </row>
    <row r="5" spans="1:21" x14ac:dyDescent="0.2">
      <c r="S5" s="252" t="s">
        <v>398</v>
      </c>
      <c r="U5" s="255">
        <v>44</v>
      </c>
    </row>
    <row r="6" spans="1:21" x14ac:dyDescent="0.2">
      <c r="S6" s="252"/>
      <c r="U6" s="253"/>
    </row>
    <row r="7" spans="1:21" x14ac:dyDescent="0.2">
      <c r="S7" s="252" t="s">
        <v>399</v>
      </c>
      <c r="U7" s="1836" t="s">
        <v>2455</v>
      </c>
    </row>
    <row r="9" spans="1:21" ht="18" x14ac:dyDescent="0.2">
      <c r="A9" s="1976" t="s">
        <v>2442</v>
      </c>
      <c r="B9" s="1976"/>
      <c r="C9" s="1976"/>
      <c r="D9" s="1976"/>
      <c r="E9" s="1976"/>
      <c r="F9" s="1976"/>
      <c r="G9" s="1976"/>
      <c r="H9" s="1976"/>
      <c r="I9" s="1976"/>
      <c r="J9" s="1976"/>
      <c r="K9" s="1976"/>
      <c r="L9" s="1976"/>
      <c r="M9" s="1976"/>
      <c r="N9" s="1976"/>
      <c r="O9" s="1976"/>
      <c r="P9" s="1976"/>
      <c r="Q9" s="1976"/>
      <c r="R9" s="1976"/>
      <c r="S9" s="1976"/>
      <c r="T9" s="1976"/>
      <c r="U9" s="1976"/>
    </row>
    <row r="10" spans="1:21" ht="36.75" customHeight="1" x14ac:dyDescent="0.2">
      <c r="A10" s="1977" t="s">
        <v>905</v>
      </c>
      <c r="B10" s="1977"/>
      <c r="C10" s="1977"/>
      <c r="D10" s="1977"/>
      <c r="E10" s="1977"/>
      <c r="F10" s="1977"/>
      <c r="G10" s="1977"/>
      <c r="H10" s="1977"/>
      <c r="I10" s="1977"/>
      <c r="J10" s="1977"/>
      <c r="K10" s="1977"/>
      <c r="L10" s="1977"/>
      <c r="M10" s="1977"/>
      <c r="N10" s="1977"/>
      <c r="O10" s="1977"/>
      <c r="P10" s="1977"/>
      <c r="Q10" s="1977"/>
      <c r="R10" s="1977"/>
      <c r="S10" s="1977"/>
      <c r="T10" s="1977"/>
      <c r="U10" s="1977"/>
    </row>
    <row r="12" spans="1:21" ht="23.25" customHeight="1" thickBot="1" x14ac:dyDescent="0.25">
      <c r="A12" s="281" t="s">
        <v>890</v>
      </c>
      <c r="B12" s="282">
        <f>TestYear</f>
        <v>2016</v>
      </c>
    </row>
    <row r="13" spans="1:21" s="283" customFormat="1" ht="14.25" thickTop="1" thickBot="1" x14ac:dyDescent="0.25">
      <c r="A13" s="1962" t="s">
        <v>891</v>
      </c>
      <c r="B13" s="1965" t="s">
        <v>906</v>
      </c>
      <c r="C13" s="1966"/>
      <c r="D13" s="1966"/>
      <c r="E13" s="1966"/>
      <c r="F13" s="1966"/>
      <c r="G13" s="1966"/>
      <c r="H13" s="1966"/>
      <c r="I13" s="1966"/>
      <c r="J13" s="1966"/>
      <c r="K13" s="1966"/>
      <c r="L13" s="1966"/>
      <c r="M13" s="1966"/>
      <c r="N13" s="1966"/>
      <c r="O13" s="1966"/>
      <c r="P13" s="1967"/>
      <c r="Q13" s="1965" t="s">
        <v>907</v>
      </c>
      <c r="R13" s="1966"/>
      <c r="S13" s="1966"/>
      <c r="T13" s="1966"/>
      <c r="U13" s="1970"/>
    </row>
    <row r="14" spans="1:21" s="283" customFormat="1" ht="13.5" thickBot="1" x14ac:dyDescent="0.25">
      <c r="A14" s="1963"/>
      <c r="B14" s="1971">
        <f t="shared" ref="B14" si="0">E14-1</f>
        <v>2011</v>
      </c>
      <c r="C14" s="1972"/>
      <c r="D14" s="1973"/>
      <c r="E14" s="1971">
        <f t="shared" ref="E14" si="1">H14-1</f>
        <v>2012</v>
      </c>
      <c r="F14" s="1972"/>
      <c r="G14" s="1973"/>
      <c r="H14" s="1971">
        <f t="shared" ref="H14" si="2">K14-1</f>
        <v>2013</v>
      </c>
      <c r="I14" s="1972"/>
      <c r="J14" s="1973"/>
      <c r="K14" s="1971">
        <f>N14-1</f>
        <v>2014</v>
      </c>
      <c r="L14" s="1972"/>
      <c r="M14" s="1973"/>
      <c r="N14" s="1971">
        <f>Q14-1</f>
        <v>2015</v>
      </c>
      <c r="O14" s="1972"/>
      <c r="P14" s="1973"/>
      <c r="Q14" s="1974">
        <f>B12</f>
        <v>2016</v>
      </c>
      <c r="R14" s="1974">
        <f>Q14+1</f>
        <v>2017</v>
      </c>
      <c r="S14" s="1974">
        <f t="shared" ref="S14:U14" si="3">R14+1</f>
        <v>2018</v>
      </c>
      <c r="T14" s="1974">
        <f t="shared" si="3"/>
        <v>2019</v>
      </c>
      <c r="U14" s="1974">
        <f t="shared" si="3"/>
        <v>2020</v>
      </c>
    </row>
    <row r="15" spans="1:21" s="283" customFormat="1" ht="15" thickBot="1" x14ac:dyDescent="0.25">
      <c r="A15" s="1963"/>
      <c r="B15" s="284" t="s">
        <v>892</v>
      </c>
      <c r="C15" s="284" t="s">
        <v>513</v>
      </c>
      <c r="D15" s="284" t="s">
        <v>893</v>
      </c>
      <c r="E15" s="284" t="s">
        <v>892</v>
      </c>
      <c r="F15" s="285" t="s">
        <v>513</v>
      </c>
      <c r="G15" s="284" t="s">
        <v>893</v>
      </c>
      <c r="H15" s="285" t="s">
        <v>892</v>
      </c>
      <c r="I15" s="285" t="s">
        <v>513</v>
      </c>
      <c r="J15" s="284" t="s">
        <v>893</v>
      </c>
      <c r="K15" s="284" t="s">
        <v>892</v>
      </c>
      <c r="L15" s="284" t="s">
        <v>513</v>
      </c>
      <c r="M15" s="284" t="s">
        <v>893</v>
      </c>
      <c r="N15" s="285" t="s">
        <v>892</v>
      </c>
      <c r="O15" s="285" t="s">
        <v>908</v>
      </c>
      <c r="P15" s="284" t="s">
        <v>893</v>
      </c>
      <c r="Q15" s="1975"/>
      <c r="R15" s="1975"/>
      <c r="S15" s="1975"/>
      <c r="T15" s="1975"/>
      <c r="U15" s="1975"/>
    </row>
    <row r="16" spans="1:21" s="283" customFormat="1" ht="13.5" thickBot="1" x14ac:dyDescent="0.25">
      <c r="A16" s="1964"/>
      <c r="B16" s="1968" t="s">
        <v>894</v>
      </c>
      <c r="C16" s="1969"/>
      <c r="D16" s="1464" t="s">
        <v>218</v>
      </c>
      <c r="E16" s="1968" t="s">
        <v>894</v>
      </c>
      <c r="F16" s="1969"/>
      <c r="G16" s="1464" t="s">
        <v>218</v>
      </c>
      <c r="H16" s="1968" t="s">
        <v>894</v>
      </c>
      <c r="I16" s="1969"/>
      <c r="J16" s="1464" t="s">
        <v>218</v>
      </c>
      <c r="K16" s="1968" t="s">
        <v>894</v>
      </c>
      <c r="L16" s="1969"/>
      <c r="M16" s="1464" t="s">
        <v>218</v>
      </c>
      <c r="N16" s="1968" t="s">
        <v>894</v>
      </c>
      <c r="O16" s="1969"/>
      <c r="P16" s="1464" t="s">
        <v>218</v>
      </c>
      <c r="Q16" s="1959" t="s">
        <v>894</v>
      </c>
      <c r="R16" s="1960"/>
      <c r="S16" s="1960"/>
      <c r="T16" s="1960"/>
      <c r="U16" s="1961"/>
    </row>
    <row r="17" spans="1:21" s="283" customFormat="1" ht="16.5" thickBot="1" x14ac:dyDescent="0.25">
      <c r="A17" s="286" t="s">
        <v>895</v>
      </c>
      <c r="B17" s="287"/>
      <c r="C17" s="1599">
        <v>5571.4348499999996</v>
      </c>
      <c r="D17" s="288" t="str">
        <f>IF(ISERROR((C17-B17)/B17),"--",(C17-B17)/B17)</f>
        <v>--</v>
      </c>
      <c r="E17" s="287"/>
      <c r="F17" s="1599">
        <v>7631.1270935945195</v>
      </c>
      <c r="G17" s="288" t="str">
        <f>IF(ISERROR((F17-E17)/E17),"--",(F17-E17)/E17)</f>
        <v>--</v>
      </c>
      <c r="H17" s="289"/>
      <c r="I17" s="1598">
        <v>4658.2296099999994</v>
      </c>
      <c r="J17" s="288" t="str">
        <f>IF(ISERROR((I17-H17)/H17),"--",(I17-H17)/H17)</f>
        <v>--</v>
      </c>
      <c r="K17" s="287"/>
      <c r="L17" s="1599">
        <v>7190.3683799999999</v>
      </c>
      <c r="M17" s="288" t="str">
        <f>IF(ISERROR((L17-K17)/K17),"--",(L17-K17)/K17)</f>
        <v>--</v>
      </c>
      <c r="N17" s="289"/>
      <c r="O17" s="289">
        <v>4355</v>
      </c>
      <c r="P17" s="288" t="str">
        <f>IF(ISERROR((O17-N17)/N17),"--",(O17-N17)/N17)</f>
        <v>--</v>
      </c>
      <c r="Q17" s="287">
        <v>7068</v>
      </c>
      <c r="R17" s="287">
        <v>8092</v>
      </c>
      <c r="S17" s="287">
        <v>6212</v>
      </c>
      <c r="T17" s="287">
        <v>6411</v>
      </c>
      <c r="U17" s="290">
        <v>6878</v>
      </c>
    </row>
    <row r="18" spans="1:21" s="283" customFormat="1" ht="16.5" thickBot="1" x14ac:dyDescent="0.25">
      <c r="A18" s="286" t="s">
        <v>896</v>
      </c>
      <c r="B18" s="287"/>
      <c r="C18" s="1599">
        <v>2753.18858</v>
      </c>
      <c r="D18" s="288" t="str">
        <f t="shared" ref="D18:D22" si="4">IF(ISERROR((C18-B18)/B18),"--",(C18-B18)/B18)</f>
        <v>--</v>
      </c>
      <c r="E18" s="287"/>
      <c r="F18" s="1600">
        <v>1198.163323263082</v>
      </c>
      <c r="G18" s="288" t="str">
        <f t="shared" ref="G18:G22" si="5">IF(ISERROR((F18-E18)/E18),"--",(F18-E18)/E18)</f>
        <v>--</v>
      </c>
      <c r="H18" s="289"/>
      <c r="I18" s="1598">
        <v>2517.0229399999998</v>
      </c>
      <c r="J18" s="288" t="str">
        <f t="shared" ref="J18:J22" si="6">IF(ISERROR((I18-H18)/H18),"--",(I18-H18)/H18)</f>
        <v>--</v>
      </c>
      <c r="K18" s="287"/>
      <c r="L18" s="1600">
        <v>2647.11661</v>
      </c>
      <c r="M18" s="288" t="str">
        <f t="shared" ref="M18:M22" si="7">IF(ISERROR((L18-K18)/K18),"--",(L18-K18)/K18)</f>
        <v>--</v>
      </c>
      <c r="N18" s="289"/>
      <c r="O18" s="291">
        <v>1183</v>
      </c>
      <c r="P18" s="288" t="str">
        <f t="shared" ref="P18:P22" si="8">IF(ISERROR((O18-N18)/N18),"--",(O18-N18)/N18)</f>
        <v>--</v>
      </c>
      <c r="Q18" s="287">
        <v>2473</v>
      </c>
      <c r="R18" s="287">
        <v>1821</v>
      </c>
      <c r="S18" s="287">
        <v>1790</v>
      </c>
      <c r="T18" s="287">
        <v>1800</v>
      </c>
      <c r="U18" s="290">
        <v>1725</v>
      </c>
    </row>
    <row r="19" spans="1:21" s="283" customFormat="1" ht="16.5" thickBot="1" x14ac:dyDescent="0.25">
      <c r="A19" s="286" t="s">
        <v>897</v>
      </c>
      <c r="B19" s="287"/>
      <c r="C19" s="1599">
        <v>427.99</v>
      </c>
      <c r="D19" s="288" t="str">
        <f t="shared" si="4"/>
        <v>--</v>
      </c>
      <c r="E19" s="287"/>
      <c r="F19" s="1600">
        <v>2387.4215867863472</v>
      </c>
      <c r="G19" s="288" t="str">
        <f t="shared" si="5"/>
        <v>--</v>
      </c>
      <c r="H19" s="289"/>
      <c r="I19" s="1598">
        <v>637.98673999999994</v>
      </c>
      <c r="J19" s="288" t="str">
        <f t="shared" si="6"/>
        <v>--</v>
      </c>
      <c r="K19" s="287"/>
      <c r="L19" s="1600">
        <v>512.92997000000003</v>
      </c>
      <c r="M19" s="288" t="str">
        <f t="shared" si="7"/>
        <v>--</v>
      </c>
      <c r="N19" s="289"/>
      <c r="O19" s="291">
        <v>690</v>
      </c>
      <c r="P19" s="288" t="str">
        <f t="shared" si="8"/>
        <v>--</v>
      </c>
      <c r="Q19" s="287">
        <v>1520</v>
      </c>
      <c r="R19" s="287">
        <v>1225</v>
      </c>
      <c r="S19" s="287">
        <v>1350</v>
      </c>
      <c r="T19" s="287">
        <v>1350</v>
      </c>
      <c r="U19" s="290">
        <v>1500</v>
      </c>
    </row>
    <row r="20" spans="1:21" s="283" customFormat="1" ht="16.5" thickBot="1" x14ac:dyDescent="0.25">
      <c r="A20" s="286" t="s">
        <v>898</v>
      </c>
      <c r="B20" s="287"/>
      <c r="C20" s="1599">
        <v>499.92200000000003</v>
      </c>
      <c r="D20" s="288" t="str">
        <f t="shared" si="4"/>
        <v>--</v>
      </c>
      <c r="E20" s="287"/>
      <c r="F20" s="1600">
        <v>342.97399999999999</v>
      </c>
      <c r="G20" s="288" t="str">
        <f t="shared" si="5"/>
        <v>--</v>
      </c>
      <c r="H20" s="289"/>
      <c r="I20" s="1598">
        <v>879.74302999999998</v>
      </c>
      <c r="J20" s="288" t="str">
        <f t="shared" si="6"/>
        <v>--</v>
      </c>
      <c r="K20" s="287"/>
      <c r="L20" s="1600">
        <v>4896.0510000000004</v>
      </c>
      <c r="M20" s="288" t="str">
        <f t="shared" si="7"/>
        <v>--</v>
      </c>
      <c r="N20" s="289"/>
      <c r="O20" s="291">
        <v>11805</v>
      </c>
      <c r="P20" s="288" t="str">
        <f t="shared" si="8"/>
        <v>--</v>
      </c>
      <c r="Q20" s="287">
        <v>896</v>
      </c>
      <c r="R20" s="287">
        <v>701</v>
      </c>
      <c r="S20" s="287">
        <v>711</v>
      </c>
      <c r="T20" s="287">
        <v>676</v>
      </c>
      <c r="U20" s="290">
        <v>696</v>
      </c>
    </row>
    <row r="21" spans="1:21" s="283" customFormat="1" ht="32.25" thickBot="1" x14ac:dyDescent="0.25">
      <c r="A21" s="292" t="s">
        <v>899</v>
      </c>
      <c r="B21" s="293">
        <f>SUM(B17:B20)</f>
        <v>0</v>
      </c>
      <c r="C21" s="293">
        <f t="shared" ref="C21:T21" si="9">SUM(C17:C20)</f>
        <v>9252.5354299999999</v>
      </c>
      <c r="D21" s="294" t="str">
        <f t="shared" si="4"/>
        <v>--</v>
      </c>
      <c r="E21" s="295">
        <f t="shared" si="9"/>
        <v>0</v>
      </c>
      <c r="F21" s="295">
        <f t="shared" si="9"/>
        <v>11559.68600364395</v>
      </c>
      <c r="G21" s="294" t="str">
        <f t="shared" si="5"/>
        <v>--</v>
      </c>
      <c r="H21" s="295">
        <f t="shared" si="9"/>
        <v>0</v>
      </c>
      <c r="I21" s="295">
        <f t="shared" si="9"/>
        <v>8692.9823199999992</v>
      </c>
      <c r="J21" s="294" t="str">
        <f t="shared" si="6"/>
        <v>--</v>
      </c>
      <c r="K21" s="295">
        <f t="shared" si="9"/>
        <v>0</v>
      </c>
      <c r="L21" s="295">
        <f t="shared" si="9"/>
        <v>15246.465960000001</v>
      </c>
      <c r="M21" s="294" t="str">
        <f t="shared" si="7"/>
        <v>--</v>
      </c>
      <c r="N21" s="295">
        <f t="shared" si="9"/>
        <v>0</v>
      </c>
      <c r="O21" s="295">
        <f t="shared" si="9"/>
        <v>18033</v>
      </c>
      <c r="P21" s="294" t="str">
        <f t="shared" si="8"/>
        <v>--</v>
      </c>
      <c r="Q21" s="293">
        <f t="shared" si="9"/>
        <v>11957</v>
      </c>
      <c r="R21" s="293">
        <f t="shared" si="9"/>
        <v>11839</v>
      </c>
      <c r="S21" s="293">
        <f t="shared" si="9"/>
        <v>10063</v>
      </c>
      <c r="T21" s="293">
        <f t="shared" si="9"/>
        <v>10237</v>
      </c>
      <c r="U21" s="296">
        <f>SUM(U17:U20)</f>
        <v>10799</v>
      </c>
    </row>
    <row r="22" spans="1:21" s="283" customFormat="1" ht="17.25" thickTop="1" thickBot="1" x14ac:dyDescent="0.25">
      <c r="A22" s="297" t="s">
        <v>900</v>
      </c>
      <c r="B22" s="1458"/>
      <c r="C22" s="1458">
        <f>2055249/1000</f>
        <v>2055.2489999999998</v>
      </c>
      <c r="D22" s="298" t="str">
        <f t="shared" si="4"/>
        <v>--</v>
      </c>
      <c r="E22" s="1458"/>
      <c r="F22" s="1458">
        <f>2210120/1000</f>
        <v>2210.12</v>
      </c>
      <c r="G22" s="298" t="str">
        <f t="shared" si="5"/>
        <v>--</v>
      </c>
      <c r="H22" s="1459"/>
      <c r="I22" s="1458">
        <f>3550969/1000</f>
        <v>3550.9690000000001</v>
      </c>
      <c r="J22" s="298" t="str">
        <f t="shared" si="6"/>
        <v>--</v>
      </c>
      <c r="K22" s="1458"/>
      <c r="L22" s="1458">
        <f>3001627/1000</f>
        <v>3001.627</v>
      </c>
      <c r="M22" s="298" t="str">
        <f t="shared" si="7"/>
        <v>--</v>
      </c>
      <c r="N22" s="1459"/>
      <c r="O22" s="1458">
        <v>3674</v>
      </c>
      <c r="P22" s="298" t="str">
        <f t="shared" si="8"/>
        <v>--</v>
      </c>
      <c r="Q22" s="1458">
        <v>3812</v>
      </c>
      <c r="R22" s="1458"/>
      <c r="S22" s="1458"/>
      <c r="T22" s="1458"/>
      <c r="U22" s="1460"/>
    </row>
    <row r="23" spans="1:21" s="264" customFormat="1" ht="13.5" thickTop="1" x14ac:dyDescent="0.2"/>
    <row r="24" spans="1:21" ht="15" x14ac:dyDescent="0.25">
      <c r="A24" s="299" t="s">
        <v>901</v>
      </c>
    </row>
    <row r="25" spans="1:21" ht="13.5" thickBot="1" x14ac:dyDescent="0.25">
      <c r="A25" s="264" t="s">
        <v>909</v>
      </c>
      <c r="P25" s="300"/>
    </row>
    <row r="26" spans="1:21" ht="13.5" thickBot="1" x14ac:dyDescent="0.25">
      <c r="A26" s="264" t="s">
        <v>910</v>
      </c>
      <c r="J26" s="301">
        <v>0</v>
      </c>
      <c r="N26" s="302"/>
    </row>
    <row r="28" spans="1:21" ht="18.75" x14ac:dyDescent="0.3">
      <c r="A28" s="1956" t="s">
        <v>902</v>
      </c>
      <c r="B28" s="1957"/>
      <c r="C28" s="1957"/>
      <c r="D28" s="1957"/>
      <c r="E28" s="1957"/>
      <c r="F28" s="1957"/>
      <c r="G28" s="1957"/>
      <c r="H28" s="1957"/>
      <c r="I28" s="1957"/>
      <c r="J28" s="1957"/>
      <c r="K28" s="1957"/>
      <c r="L28" s="1957"/>
      <c r="M28" s="1957"/>
      <c r="N28" s="1957"/>
      <c r="O28" s="1957"/>
      <c r="P28" s="1957"/>
      <c r="Q28" s="1957"/>
      <c r="R28" s="1957"/>
      <c r="S28" s="1957"/>
      <c r="T28" s="1957"/>
      <c r="U28" s="1958"/>
    </row>
    <row r="29" spans="1:21" ht="15" x14ac:dyDescent="0.25">
      <c r="A29" s="1953" t="s">
        <v>1563</v>
      </c>
      <c r="B29" s="1954"/>
      <c r="C29" s="1954"/>
      <c r="D29" s="1954"/>
      <c r="E29" s="1954"/>
      <c r="F29" s="1954"/>
      <c r="G29" s="1954"/>
      <c r="H29" s="1954"/>
      <c r="I29" s="1954"/>
      <c r="J29" s="1954"/>
      <c r="K29" s="1954"/>
      <c r="L29" s="1954"/>
      <c r="M29" s="1954"/>
      <c r="N29" s="1954"/>
      <c r="O29" s="1954"/>
      <c r="P29" s="1954"/>
      <c r="Q29" s="1954"/>
      <c r="R29" s="1954"/>
      <c r="S29" s="1954"/>
      <c r="T29" s="1954"/>
      <c r="U29" s="1955"/>
    </row>
    <row r="30" spans="1:21" ht="30" customHeight="1" x14ac:dyDescent="0.2">
      <c r="A30" s="1947"/>
      <c r="B30" s="1948"/>
      <c r="C30" s="1948"/>
      <c r="D30" s="1948"/>
      <c r="E30" s="1948"/>
      <c r="F30" s="1948"/>
      <c r="G30" s="1948"/>
      <c r="H30" s="1948"/>
      <c r="I30" s="1948"/>
      <c r="J30" s="1948"/>
      <c r="K30" s="1948"/>
      <c r="L30" s="1948"/>
      <c r="M30" s="1948"/>
      <c r="N30" s="1948"/>
      <c r="O30" s="1948"/>
      <c r="P30" s="1948"/>
      <c r="Q30" s="1948"/>
      <c r="R30" s="1948"/>
      <c r="S30" s="1948"/>
      <c r="T30" s="1948"/>
      <c r="U30" s="1949"/>
    </row>
    <row r="31" spans="1:21" ht="30" customHeight="1" x14ac:dyDescent="0.2">
      <c r="A31" s="1950"/>
      <c r="B31" s="1951"/>
      <c r="C31" s="1951"/>
      <c r="D31" s="1951"/>
      <c r="E31" s="1951"/>
      <c r="F31" s="1951"/>
      <c r="G31" s="1951"/>
      <c r="H31" s="1951"/>
      <c r="I31" s="1951"/>
      <c r="J31" s="1951"/>
      <c r="K31" s="1951"/>
      <c r="L31" s="1951"/>
      <c r="M31" s="1951"/>
      <c r="N31" s="1951"/>
      <c r="O31" s="1951"/>
      <c r="P31" s="1951"/>
      <c r="Q31" s="1951"/>
      <c r="R31" s="1951"/>
      <c r="S31" s="1951"/>
      <c r="T31" s="1951"/>
      <c r="U31" s="1952"/>
    </row>
    <row r="32" spans="1:21" ht="15" x14ac:dyDescent="0.25">
      <c r="A32" s="1953" t="s">
        <v>903</v>
      </c>
      <c r="B32" s="1954"/>
      <c r="C32" s="1954"/>
      <c r="D32" s="1954"/>
      <c r="E32" s="1954"/>
      <c r="F32" s="1954"/>
      <c r="G32" s="1954"/>
      <c r="H32" s="1954"/>
      <c r="I32" s="1954"/>
      <c r="J32" s="1954"/>
      <c r="K32" s="1954"/>
      <c r="L32" s="1954"/>
      <c r="M32" s="1954"/>
      <c r="N32" s="1954"/>
      <c r="O32" s="1954"/>
      <c r="P32" s="1954"/>
      <c r="Q32" s="1954"/>
      <c r="R32" s="1954"/>
      <c r="S32" s="1954"/>
      <c r="T32" s="1954"/>
      <c r="U32" s="1955"/>
    </row>
    <row r="33" spans="1:21" ht="30" customHeight="1" x14ac:dyDescent="0.2">
      <c r="A33" s="1947"/>
      <c r="B33" s="1948"/>
      <c r="C33" s="1948"/>
      <c r="D33" s="1948"/>
      <c r="E33" s="1948"/>
      <c r="F33" s="1948"/>
      <c r="G33" s="1948"/>
      <c r="H33" s="1948"/>
      <c r="I33" s="1948"/>
      <c r="J33" s="1948"/>
      <c r="K33" s="1948"/>
      <c r="L33" s="1948"/>
      <c r="M33" s="1948"/>
      <c r="N33" s="1948"/>
      <c r="O33" s="1948"/>
      <c r="P33" s="1948"/>
      <c r="Q33" s="1948"/>
      <c r="R33" s="1948"/>
      <c r="S33" s="1948"/>
      <c r="T33" s="1948"/>
      <c r="U33" s="1949"/>
    </row>
    <row r="34" spans="1:21" ht="30" customHeight="1" x14ac:dyDescent="0.2">
      <c r="A34" s="1950"/>
      <c r="B34" s="1951"/>
      <c r="C34" s="1951"/>
      <c r="D34" s="1951"/>
      <c r="E34" s="1951"/>
      <c r="F34" s="1951"/>
      <c r="G34" s="1951"/>
      <c r="H34" s="1951"/>
      <c r="I34" s="1951"/>
      <c r="J34" s="1951"/>
      <c r="K34" s="1951"/>
      <c r="L34" s="1951"/>
      <c r="M34" s="1951"/>
      <c r="N34" s="1951"/>
      <c r="O34" s="1951"/>
      <c r="P34" s="1951"/>
      <c r="Q34" s="1951"/>
      <c r="R34" s="1951"/>
      <c r="S34" s="1951"/>
      <c r="T34" s="1951"/>
      <c r="U34" s="1952"/>
    </row>
    <row r="35" spans="1:21" ht="15" x14ac:dyDescent="0.25">
      <c r="A35" s="1953" t="s">
        <v>904</v>
      </c>
      <c r="B35" s="1954"/>
      <c r="C35" s="1954"/>
      <c r="D35" s="1954"/>
      <c r="E35" s="1954"/>
      <c r="F35" s="1954"/>
      <c r="G35" s="1954"/>
      <c r="H35" s="1954"/>
      <c r="I35" s="1954"/>
      <c r="J35" s="1954"/>
      <c r="K35" s="1954"/>
      <c r="L35" s="1954"/>
      <c r="M35" s="1954"/>
      <c r="N35" s="1954"/>
      <c r="O35" s="1954"/>
      <c r="P35" s="1954"/>
      <c r="Q35" s="1954"/>
      <c r="R35" s="1954"/>
      <c r="S35" s="1954"/>
      <c r="T35" s="1954"/>
      <c r="U35" s="1955"/>
    </row>
    <row r="36" spans="1:21" ht="30" customHeight="1" x14ac:dyDescent="0.2">
      <c r="A36" s="1947"/>
      <c r="B36" s="1948"/>
      <c r="C36" s="1948"/>
      <c r="D36" s="1948"/>
      <c r="E36" s="1948"/>
      <c r="F36" s="1948"/>
      <c r="G36" s="1948"/>
      <c r="H36" s="1948"/>
      <c r="I36" s="1948"/>
      <c r="J36" s="1948"/>
      <c r="K36" s="1948"/>
      <c r="L36" s="1948"/>
      <c r="M36" s="1948"/>
      <c r="N36" s="1948"/>
      <c r="O36" s="1948"/>
      <c r="P36" s="1948"/>
      <c r="Q36" s="1948"/>
      <c r="R36" s="1948"/>
      <c r="S36" s="1948"/>
      <c r="T36" s="1948"/>
      <c r="U36" s="1949"/>
    </row>
    <row r="37" spans="1:21" ht="30" customHeight="1" x14ac:dyDescent="0.2">
      <c r="A37" s="1950"/>
      <c r="B37" s="1951"/>
      <c r="C37" s="1951"/>
      <c r="D37" s="1951"/>
      <c r="E37" s="1951"/>
      <c r="F37" s="1951"/>
      <c r="G37" s="1951"/>
      <c r="H37" s="1951"/>
      <c r="I37" s="1951"/>
      <c r="J37" s="1951"/>
      <c r="K37" s="1951"/>
      <c r="L37" s="1951"/>
      <c r="M37" s="1951"/>
      <c r="N37" s="1951"/>
      <c r="O37" s="1951"/>
      <c r="P37" s="1951"/>
      <c r="Q37" s="1951"/>
      <c r="R37" s="1951"/>
      <c r="S37" s="1951"/>
      <c r="T37" s="1951"/>
      <c r="U37" s="1952"/>
    </row>
  </sheetData>
  <mergeCells count="28">
    <mergeCell ref="A9:U9"/>
    <mergeCell ref="A10:U10"/>
    <mergeCell ref="H14:J14"/>
    <mergeCell ref="K14:M14"/>
    <mergeCell ref="N14:P14"/>
    <mergeCell ref="Q14:Q15"/>
    <mergeCell ref="R14:R15"/>
    <mergeCell ref="Q16:U16"/>
    <mergeCell ref="A13:A16"/>
    <mergeCell ref="B13:P13"/>
    <mergeCell ref="B16:C16"/>
    <mergeCell ref="E16:F16"/>
    <mergeCell ref="H16:I16"/>
    <mergeCell ref="K16:L16"/>
    <mergeCell ref="N16:O16"/>
    <mergeCell ref="Q13:U13"/>
    <mergeCell ref="B14:D14"/>
    <mergeCell ref="E14:G14"/>
    <mergeCell ref="S14:S15"/>
    <mergeCell ref="T14:T15"/>
    <mergeCell ref="U14:U15"/>
    <mergeCell ref="A33:U34"/>
    <mergeCell ref="A36:U37"/>
    <mergeCell ref="A35:U35"/>
    <mergeCell ref="A28:U28"/>
    <mergeCell ref="A29:U29"/>
    <mergeCell ref="A30:U31"/>
    <mergeCell ref="A32:U32"/>
  </mergeCells>
  <pageMargins left="0.7" right="0.7" top="0.75" bottom="0.75" header="0.3" footer="0.3"/>
  <pageSetup scale="42"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45"/>
  <sheetViews>
    <sheetView showGridLines="0" zoomScaleNormal="100" workbookViewId="0"/>
  </sheetViews>
  <sheetFormatPr defaultRowHeight="12.75" x14ac:dyDescent="0.2"/>
  <cols>
    <col min="1" max="2" width="53.28515625" style="61" customWidth="1"/>
    <col min="3" max="3" width="54.28515625" style="61" customWidth="1"/>
    <col min="4" max="16384" width="9.140625" style="61"/>
  </cols>
  <sheetData>
    <row r="1" spans="1:4" x14ac:dyDescent="0.2">
      <c r="A1" s="283"/>
      <c r="B1" s="303" t="s">
        <v>394</v>
      </c>
      <c r="C1" s="304" t="str">
        <f>EBNUMBER</f>
        <v>EB-2015-0089</v>
      </c>
      <c r="D1" s="304"/>
    </row>
    <row r="2" spans="1:4" x14ac:dyDescent="0.2">
      <c r="B2" s="303" t="s">
        <v>395</v>
      </c>
      <c r="C2" s="305"/>
      <c r="D2" s="304"/>
    </row>
    <row r="3" spans="1:4" x14ac:dyDescent="0.2">
      <c r="B3" s="303" t="s">
        <v>396</v>
      </c>
      <c r="C3" s="305" t="s">
        <v>2456</v>
      </c>
      <c r="D3" s="304"/>
    </row>
    <row r="4" spans="1:4" x14ac:dyDescent="0.2">
      <c r="B4" s="303" t="s">
        <v>397</v>
      </c>
      <c r="C4" s="305"/>
      <c r="D4" s="304"/>
    </row>
    <row r="5" spans="1:4" x14ac:dyDescent="0.2">
      <c r="B5" s="303" t="s">
        <v>398</v>
      </c>
      <c r="C5" s="306"/>
      <c r="D5" s="304"/>
    </row>
    <row r="6" spans="1:4" x14ac:dyDescent="0.2">
      <c r="B6" s="303"/>
      <c r="C6" s="1513"/>
      <c r="D6" s="304"/>
    </row>
    <row r="7" spans="1:4" x14ac:dyDescent="0.2">
      <c r="B7" s="303" t="s">
        <v>399</v>
      </c>
      <c r="C7" s="1840" t="s">
        <v>2455</v>
      </c>
      <c r="D7" s="304"/>
    </row>
    <row r="8" spans="1:4" x14ac:dyDescent="0.2">
      <c r="B8" s="303"/>
      <c r="C8" s="303"/>
      <c r="D8" s="304"/>
    </row>
    <row r="9" spans="1:4" ht="18" x14ac:dyDescent="0.2">
      <c r="A9" s="1941" t="s">
        <v>1584</v>
      </c>
      <c r="B9" s="1941"/>
      <c r="C9" s="1941"/>
      <c r="D9" s="304"/>
    </row>
    <row r="10" spans="1:4" ht="18" x14ac:dyDescent="0.2">
      <c r="A10" s="1941" t="s">
        <v>1585</v>
      </c>
      <c r="B10" s="1941"/>
      <c r="C10" s="1941"/>
      <c r="D10" s="304"/>
    </row>
    <row r="12" spans="1:4" ht="28.5" customHeight="1" x14ac:dyDescent="0.2">
      <c r="A12" s="307" t="s">
        <v>1582</v>
      </c>
      <c r="B12" s="308" t="s">
        <v>1586</v>
      </c>
      <c r="C12" s="308" t="s">
        <v>1583</v>
      </c>
    </row>
    <row r="13" spans="1:4" ht="114.75" x14ac:dyDescent="0.2">
      <c r="A13" s="310" t="s">
        <v>2394</v>
      </c>
      <c r="B13" s="310" t="s">
        <v>2388</v>
      </c>
      <c r="C13" s="310" t="s">
        <v>2389</v>
      </c>
    </row>
    <row r="14" spans="1:4" x14ac:dyDescent="0.2">
      <c r="A14" s="309"/>
      <c r="B14" s="310"/>
      <c r="C14" s="309"/>
    </row>
    <row r="15" spans="1:4" ht="63.75" x14ac:dyDescent="0.2">
      <c r="A15" s="310" t="s">
        <v>2395</v>
      </c>
      <c r="B15" s="310" t="s">
        <v>2390</v>
      </c>
      <c r="C15" s="310" t="s">
        <v>2391</v>
      </c>
    </row>
    <row r="16" spans="1:4" x14ac:dyDescent="0.2">
      <c r="A16" s="309"/>
      <c r="B16" s="310"/>
      <c r="C16" s="309"/>
    </row>
    <row r="17" spans="1:3" ht="76.5" x14ac:dyDescent="0.2">
      <c r="A17" s="1833" t="s">
        <v>2396</v>
      </c>
      <c r="B17" s="310" t="s">
        <v>2392</v>
      </c>
      <c r="C17" s="310" t="s">
        <v>2393</v>
      </c>
    </row>
    <row r="18" spans="1:3" x14ac:dyDescent="0.2">
      <c r="A18" s="309"/>
      <c r="B18" s="309"/>
      <c r="C18" s="309"/>
    </row>
    <row r="19" spans="1:3" ht="25.5" x14ac:dyDescent="0.2">
      <c r="A19" s="310" t="s">
        <v>2397</v>
      </c>
      <c r="B19" s="309"/>
      <c r="C19" s="309"/>
    </row>
    <row r="20" spans="1:3" x14ac:dyDescent="0.2">
      <c r="A20" s="309"/>
      <c r="B20" s="309"/>
      <c r="C20" s="309"/>
    </row>
    <row r="21" spans="1:3" x14ac:dyDescent="0.2">
      <c r="A21" s="309"/>
      <c r="B21" s="309"/>
      <c r="C21" s="309"/>
    </row>
    <row r="22" spans="1:3" ht="15" x14ac:dyDescent="0.2">
      <c r="A22" s="310" t="s">
        <v>2398</v>
      </c>
      <c r="B22" s="309"/>
      <c r="C22" s="311"/>
    </row>
    <row r="23" spans="1:3" x14ac:dyDescent="0.2">
      <c r="A23" s="309"/>
      <c r="B23" s="309"/>
      <c r="C23" s="309"/>
    </row>
    <row r="24" spans="1:3" x14ac:dyDescent="0.2">
      <c r="A24" s="309"/>
      <c r="B24" s="309"/>
      <c r="C24" s="309"/>
    </row>
    <row r="25" spans="1:3" x14ac:dyDescent="0.2">
      <c r="A25" s="309"/>
      <c r="B25" s="309"/>
      <c r="C25" s="309"/>
    </row>
    <row r="26" spans="1:3" x14ac:dyDescent="0.2">
      <c r="A26" s="309"/>
      <c r="B26" s="309"/>
      <c r="C26" s="309"/>
    </row>
    <row r="27" spans="1:3" x14ac:dyDescent="0.2">
      <c r="A27" s="309"/>
      <c r="B27" s="309"/>
      <c r="C27" s="309"/>
    </row>
    <row r="28" spans="1:3" x14ac:dyDescent="0.2">
      <c r="A28" s="309"/>
      <c r="B28" s="309"/>
      <c r="C28" s="309"/>
    </row>
    <row r="29" spans="1:3" x14ac:dyDescent="0.2">
      <c r="A29" s="309"/>
      <c r="B29" s="309"/>
      <c r="C29" s="309"/>
    </row>
    <row r="30" spans="1:3" x14ac:dyDescent="0.2">
      <c r="A30" s="309"/>
      <c r="B30" s="309"/>
      <c r="C30" s="309"/>
    </row>
    <row r="31" spans="1:3" x14ac:dyDescent="0.2">
      <c r="A31" s="309"/>
      <c r="B31" s="309"/>
      <c r="C31" s="309"/>
    </row>
    <row r="32" spans="1:3" x14ac:dyDescent="0.2">
      <c r="A32" s="309"/>
      <c r="B32" s="309"/>
      <c r="C32" s="309"/>
    </row>
    <row r="33" spans="1:3" x14ac:dyDescent="0.2">
      <c r="A33" s="309"/>
      <c r="B33" s="309"/>
      <c r="C33" s="309"/>
    </row>
    <row r="34" spans="1:3" ht="15" x14ac:dyDescent="0.2">
      <c r="A34" s="309"/>
      <c r="B34" s="309"/>
      <c r="C34" s="311"/>
    </row>
    <row r="35" spans="1:3" ht="15" x14ac:dyDescent="0.2">
      <c r="A35" s="309"/>
      <c r="B35" s="309"/>
      <c r="C35" s="311"/>
    </row>
    <row r="36" spans="1:3" ht="15" x14ac:dyDescent="0.2">
      <c r="A36" s="309"/>
      <c r="B36" s="309"/>
      <c r="C36" s="311"/>
    </row>
    <row r="37" spans="1:3" x14ac:dyDescent="0.2">
      <c r="A37" s="309"/>
      <c r="B37" s="309"/>
      <c r="C37" s="309"/>
    </row>
    <row r="38" spans="1:3" x14ac:dyDescent="0.2">
      <c r="A38" s="309"/>
      <c r="B38" s="309"/>
      <c r="C38" s="309"/>
    </row>
    <row r="39" spans="1:3" x14ac:dyDescent="0.2">
      <c r="A39" s="309"/>
      <c r="B39" s="309"/>
      <c r="C39" s="309"/>
    </row>
    <row r="40" spans="1:3" x14ac:dyDescent="0.2">
      <c r="A40" s="309"/>
      <c r="B40" s="309"/>
      <c r="C40" s="309"/>
    </row>
    <row r="41" spans="1:3" x14ac:dyDescent="0.2">
      <c r="A41" s="309"/>
      <c r="B41" s="309"/>
      <c r="C41" s="309"/>
    </row>
    <row r="42" spans="1:3" x14ac:dyDescent="0.2">
      <c r="A42" s="309"/>
      <c r="B42" s="309"/>
      <c r="C42" s="309"/>
    </row>
    <row r="43" spans="1:3" x14ac:dyDescent="0.2">
      <c r="A43" s="309"/>
      <c r="B43" s="309"/>
      <c r="C43" s="309"/>
    </row>
    <row r="45" spans="1:3" x14ac:dyDescent="0.2">
      <c r="A45" s="252" t="s">
        <v>1644</v>
      </c>
    </row>
  </sheetData>
  <mergeCells count="2">
    <mergeCell ref="A10:C10"/>
    <mergeCell ref="A9:C9"/>
  </mergeCells>
  <pageMargins left="0.7" right="0.7" top="0.75" bottom="0.75" header="0.3" footer="0.3"/>
  <pageSetup scale="5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T127"/>
  <sheetViews>
    <sheetView showGridLines="0" zoomScaleNormal="100" workbookViewId="0">
      <selection sqref="A1:K1"/>
    </sheetView>
  </sheetViews>
  <sheetFormatPr defaultRowHeight="12.75" x14ac:dyDescent="0.2"/>
  <cols>
    <col min="1" max="1" width="14.42578125" style="140" customWidth="1"/>
    <col min="2" max="2" width="18" style="140" customWidth="1"/>
    <col min="3" max="3" width="13.28515625" style="140" bestFit="1" customWidth="1"/>
    <col min="4" max="4" width="2.5703125" style="140" customWidth="1"/>
    <col min="5" max="5" width="26" style="140" customWidth="1"/>
    <col min="6" max="6" width="25.85546875" style="140" customWidth="1"/>
    <col min="7" max="7" width="15.7109375" style="140" customWidth="1"/>
    <col min="8" max="16384" width="9.140625" style="140"/>
  </cols>
  <sheetData>
    <row r="1" spans="1:11" ht="18" x14ac:dyDescent="0.25">
      <c r="A1" s="1979" t="s">
        <v>676</v>
      </c>
      <c r="B1" s="1979"/>
      <c r="C1" s="1979"/>
      <c r="D1" s="1979"/>
      <c r="E1" s="1979"/>
      <c r="F1" s="1979"/>
      <c r="G1" s="1979"/>
      <c r="H1" s="1979"/>
      <c r="I1" s="1979"/>
      <c r="J1" s="1979"/>
      <c r="K1" s="1979"/>
    </row>
    <row r="2" spans="1:11" ht="18" x14ac:dyDescent="0.25">
      <c r="A2" s="1979" t="s">
        <v>677</v>
      </c>
      <c r="B2" s="1979"/>
      <c r="C2" s="1979"/>
      <c r="D2" s="1979"/>
      <c r="E2" s="1979"/>
      <c r="F2" s="1979"/>
      <c r="G2" s="1979"/>
      <c r="H2" s="1979"/>
      <c r="I2" s="1979"/>
      <c r="J2" s="1979"/>
      <c r="K2" s="1979"/>
    </row>
    <row r="4" spans="1:11" x14ac:dyDescent="0.2">
      <c r="A4" s="158" t="s">
        <v>1599</v>
      </c>
      <c r="B4" s="158"/>
      <c r="C4" s="158"/>
      <c r="D4" s="158"/>
    </row>
    <row r="5" spans="1:11" x14ac:dyDescent="0.2">
      <c r="A5" s="158"/>
      <c r="B5" s="158"/>
      <c r="C5" s="158"/>
      <c r="D5" s="158"/>
    </row>
    <row r="6" spans="1:11" ht="39.75" customHeight="1" x14ac:dyDescent="0.2">
      <c r="A6" s="1981" t="s">
        <v>1818</v>
      </c>
      <c r="B6" s="1981"/>
      <c r="C6" s="1981"/>
      <c r="D6" s="1981"/>
      <c r="E6" s="1981"/>
      <c r="F6" s="1981"/>
      <c r="G6" s="1981"/>
      <c r="H6" s="1981"/>
      <c r="I6" s="1981"/>
      <c r="J6" s="1981"/>
      <c r="K6" s="1981"/>
    </row>
    <row r="7" spans="1:11" x14ac:dyDescent="0.2">
      <c r="A7" s="1468"/>
      <c r="B7" s="1468"/>
      <c r="C7" s="1468"/>
      <c r="D7" s="1468"/>
      <c r="E7" s="1468"/>
      <c r="F7" s="1468"/>
      <c r="G7" s="1468"/>
      <c r="H7" s="1468"/>
      <c r="I7" s="1468"/>
      <c r="J7" s="1468"/>
      <c r="K7" s="1468"/>
    </row>
    <row r="8" spans="1:11" ht="13.5" thickBot="1" x14ac:dyDescent="0.25">
      <c r="A8" s="1468"/>
      <c r="B8" s="1468"/>
      <c r="C8" s="1468"/>
      <c r="D8" s="1468"/>
      <c r="E8" s="1468"/>
      <c r="F8" s="1468"/>
      <c r="G8" s="1468"/>
      <c r="H8" s="1468"/>
      <c r="I8" s="1468"/>
      <c r="J8" s="1468"/>
      <c r="K8" s="1468"/>
    </row>
    <row r="9" spans="1:11" ht="38.25" x14ac:dyDescent="0.2">
      <c r="A9" s="312"/>
      <c r="B9" s="312"/>
      <c r="C9" s="158"/>
      <c r="D9" s="158"/>
      <c r="E9" s="313" t="s">
        <v>1819</v>
      </c>
      <c r="F9" s="313" t="s">
        <v>1820</v>
      </c>
      <c r="H9" s="273"/>
    </row>
    <row r="10" spans="1:11" ht="13.5" thickBot="1" x14ac:dyDescent="0.25">
      <c r="A10" s="312"/>
      <c r="B10" s="312"/>
      <c r="C10" s="158"/>
      <c r="D10" s="158"/>
      <c r="E10" s="1982" t="s">
        <v>1535</v>
      </c>
      <c r="F10" s="1983"/>
    </row>
    <row r="11" spans="1:11" ht="12.75" customHeight="1" x14ac:dyDescent="0.2">
      <c r="A11" s="1990" t="s">
        <v>1796</v>
      </c>
      <c r="B11" s="314">
        <v>2016</v>
      </c>
      <c r="C11" s="315" t="s">
        <v>1532</v>
      </c>
      <c r="D11" s="158"/>
      <c r="E11" s="316" t="s">
        <v>152</v>
      </c>
      <c r="F11" s="317" t="s">
        <v>152</v>
      </c>
    </row>
    <row r="12" spans="1:11" ht="12.75" customHeight="1" x14ac:dyDescent="0.2">
      <c r="A12" s="1991"/>
      <c r="B12" s="318">
        <v>2015</v>
      </c>
      <c r="C12" s="319" t="s">
        <v>1533</v>
      </c>
      <c r="D12" s="158"/>
      <c r="E12" s="320" t="s">
        <v>152</v>
      </c>
      <c r="F12" s="320" t="s">
        <v>152</v>
      </c>
    </row>
    <row r="13" spans="1:11" ht="15" x14ac:dyDescent="0.25">
      <c r="A13" s="1991"/>
      <c r="B13" s="318">
        <v>2014</v>
      </c>
      <c r="C13" s="319" t="s">
        <v>1534</v>
      </c>
      <c r="D13" s="158"/>
      <c r="E13" s="321" t="s">
        <v>1543</v>
      </c>
      <c r="F13" s="321" t="s">
        <v>1543</v>
      </c>
    </row>
    <row r="14" spans="1:11" ht="15" x14ac:dyDescent="0.25">
      <c r="A14" s="1991"/>
      <c r="B14" s="318">
        <v>2013</v>
      </c>
      <c r="C14" s="319" t="s">
        <v>1534</v>
      </c>
      <c r="D14" s="158"/>
      <c r="E14" s="322" t="s">
        <v>1538</v>
      </c>
      <c r="F14" s="323" t="s">
        <v>1537</v>
      </c>
    </row>
    <row r="15" spans="1:11" ht="15" x14ac:dyDescent="0.25">
      <c r="A15" s="1991"/>
      <c r="B15" s="318">
        <v>2012</v>
      </c>
      <c r="C15" s="319" t="s">
        <v>1534</v>
      </c>
      <c r="D15" s="158"/>
      <c r="E15" s="321" t="s">
        <v>1537</v>
      </c>
      <c r="F15" s="324" t="s">
        <v>151</v>
      </c>
    </row>
    <row r="16" spans="1:11" ht="13.5" thickBot="1" x14ac:dyDescent="0.25">
      <c r="A16" s="1992"/>
      <c r="B16" s="325" t="s">
        <v>1536</v>
      </c>
      <c r="C16" s="326" t="s">
        <v>1534</v>
      </c>
      <c r="D16" s="158"/>
      <c r="E16" s="327" t="s">
        <v>151</v>
      </c>
      <c r="F16" s="328" t="s">
        <v>151</v>
      </c>
    </row>
    <row r="17" spans="1:19" x14ac:dyDescent="0.2">
      <c r="A17" s="312"/>
      <c r="B17" s="312"/>
      <c r="C17" s="158"/>
      <c r="D17" s="158"/>
    </row>
    <row r="18" spans="1:19" x14ac:dyDescent="0.2">
      <c r="A18" s="1984" t="s">
        <v>1600</v>
      </c>
      <c r="B18" s="1985"/>
      <c r="C18" s="1985"/>
      <c r="D18" s="1985"/>
      <c r="E18" s="1985"/>
      <c r="F18" s="1985"/>
      <c r="G18" s="1985"/>
      <c r="H18" s="1985"/>
      <c r="I18" s="1985"/>
      <c r="J18" s="1985"/>
      <c r="K18" s="1985"/>
    </row>
    <row r="19" spans="1:19" x14ac:dyDescent="0.2">
      <c r="A19" s="1985"/>
      <c r="B19" s="1985"/>
      <c r="C19" s="1985"/>
      <c r="D19" s="1985"/>
      <c r="E19" s="1985"/>
      <c r="F19" s="1985"/>
      <c r="G19" s="1985"/>
      <c r="H19" s="1985"/>
      <c r="I19" s="1985"/>
      <c r="J19" s="1985"/>
      <c r="K19" s="1985"/>
    </row>
    <row r="20" spans="1:19" x14ac:dyDescent="0.2">
      <c r="A20" s="1985"/>
      <c r="B20" s="1985"/>
      <c r="C20" s="1985"/>
      <c r="D20" s="1985"/>
      <c r="E20" s="1985"/>
      <c r="F20" s="1985"/>
      <c r="G20" s="1985"/>
      <c r="H20" s="1985"/>
      <c r="I20" s="1985"/>
      <c r="J20" s="1985"/>
      <c r="K20" s="1985"/>
    </row>
    <row r="21" spans="1:19" x14ac:dyDescent="0.2">
      <c r="A21" s="1984" t="s">
        <v>1814</v>
      </c>
      <c r="B21" s="1984"/>
      <c r="C21" s="1984"/>
      <c r="D21" s="1984"/>
      <c r="E21" s="1984"/>
      <c r="F21" s="1984"/>
      <c r="G21" s="1984"/>
      <c r="H21" s="1984"/>
      <c r="I21" s="1984"/>
      <c r="J21" s="1984"/>
      <c r="K21" s="1984"/>
    </row>
    <row r="22" spans="1:19" x14ac:dyDescent="0.2">
      <c r="A22" s="1984"/>
      <c r="B22" s="1984"/>
      <c r="C22" s="1984"/>
      <c r="D22" s="1984"/>
      <c r="E22" s="1984"/>
      <c r="F22" s="1984"/>
      <c r="G22" s="1984"/>
      <c r="H22" s="1984"/>
      <c r="I22" s="1984"/>
      <c r="J22" s="1984"/>
      <c r="K22" s="1984"/>
    </row>
    <row r="23" spans="1:19" x14ac:dyDescent="0.2">
      <c r="A23" s="1984"/>
      <c r="B23" s="1984"/>
      <c r="C23" s="1984"/>
      <c r="D23" s="1984"/>
      <c r="E23" s="1984"/>
      <c r="F23" s="1984"/>
      <c r="G23" s="1984"/>
      <c r="H23" s="1984"/>
      <c r="I23" s="1984"/>
      <c r="J23" s="1984"/>
      <c r="K23" s="1984"/>
    </row>
    <row r="24" spans="1:19" x14ac:dyDescent="0.2">
      <c r="A24" s="1465"/>
      <c r="B24" s="1465"/>
      <c r="C24" s="1465"/>
      <c r="D24" s="1465"/>
      <c r="E24" s="1465"/>
      <c r="F24" s="1465"/>
      <c r="G24" s="1465"/>
      <c r="H24" s="1465"/>
      <c r="I24" s="1465"/>
      <c r="J24" s="1465"/>
      <c r="K24" s="1465"/>
    </row>
    <row r="25" spans="1:19" x14ac:dyDescent="0.2">
      <c r="A25" s="312"/>
      <c r="B25" s="312"/>
      <c r="C25" s="158"/>
      <c r="D25" s="158"/>
    </row>
    <row r="26" spans="1:19" x14ac:dyDescent="0.2">
      <c r="A26" s="1986" t="s">
        <v>1548</v>
      </c>
      <c r="B26" s="1986"/>
      <c r="C26" s="1986"/>
      <c r="D26" s="1986"/>
      <c r="E26" s="1986"/>
      <c r="F26" s="1986"/>
      <c r="G26" s="1986"/>
      <c r="H26" s="1986"/>
      <c r="I26" s="1986"/>
      <c r="J26" s="1986"/>
      <c r="K26" s="1986"/>
      <c r="L26" s="1986"/>
      <c r="M26" s="1986"/>
      <c r="N26" s="1986"/>
      <c r="O26" s="1986"/>
      <c r="P26" s="1986"/>
      <c r="Q26" s="1986"/>
      <c r="R26" s="1986"/>
      <c r="S26" s="1986"/>
    </row>
    <row r="27" spans="1:19" x14ac:dyDescent="0.2">
      <c r="A27" s="1469"/>
      <c r="B27" s="1469"/>
      <c r="C27" s="1469"/>
      <c r="D27" s="1469"/>
      <c r="E27" s="1469"/>
      <c r="F27" s="1469"/>
      <c r="G27" s="1469"/>
      <c r="H27" s="1469"/>
      <c r="I27" s="1469"/>
      <c r="J27" s="1469"/>
      <c r="K27" s="1469"/>
      <c r="L27" s="1469"/>
      <c r="M27" s="1469"/>
      <c r="N27" s="1469"/>
      <c r="O27" s="1469"/>
      <c r="P27" s="1469"/>
      <c r="Q27" s="1469"/>
      <c r="R27" s="1469"/>
      <c r="S27" s="1469"/>
    </row>
    <row r="28" spans="1:19" x14ac:dyDescent="0.2">
      <c r="A28" s="329" t="s">
        <v>1589</v>
      </c>
      <c r="B28" s="1469"/>
      <c r="C28" s="1469"/>
      <c r="D28" s="1469"/>
      <c r="E28" s="1469"/>
      <c r="F28" s="1469"/>
      <c r="G28" s="1469"/>
      <c r="H28" s="1469"/>
      <c r="I28" s="1469"/>
      <c r="J28" s="1469"/>
      <c r="K28" s="1469"/>
      <c r="L28" s="1469"/>
      <c r="M28" s="1469"/>
      <c r="N28" s="1469"/>
      <c r="O28" s="1469"/>
      <c r="P28" s="1469"/>
      <c r="Q28" s="1469"/>
      <c r="R28" s="1469"/>
      <c r="S28" s="1469"/>
    </row>
    <row r="29" spans="1:19" x14ac:dyDescent="0.2">
      <c r="A29" s="1987" t="s">
        <v>1815</v>
      </c>
      <c r="B29" s="1987"/>
      <c r="C29" s="1987"/>
      <c r="D29" s="1987"/>
      <c r="E29" s="1987"/>
      <c r="F29" s="1987"/>
      <c r="G29" s="1987"/>
      <c r="H29" s="1987"/>
      <c r="I29" s="1987"/>
      <c r="J29" s="1987"/>
      <c r="K29" s="1987"/>
      <c r="L29" s="1469"/>
      <c r="M29" s="1469"/>
      <c r="N29" s="1469"/>
      <c r="O29" s="1469"/>
      <c r="P29" s="1469"/>
      <c r="Q29" s="1469"/>
      <c r="R29" s="1469"/>
      <c r="S29" s="1469"/>
    </row>
    <row r="30" spans="1:19" x14ac:dyDescent="0.2">
      <c r="A30" s="1987"/>
      <c r="B30" s="1987"/>
      <c r="C30" s="1987"/>
      <c r="D30" s="1987"/>
      <c r="E30" s="1987"/>
      <c r="F30" s="1987"/>
      <c r="G30" s="1987"/>
      <c r="H30" s="1987"/>
      <c r="I30" s="1987"/>
      <c r="J30" s="1987"/>
      <c r="K30" s="1987"/>
      <c r="L30" s="1469"/>
      <c r="M30" s="1469"/>
      <c r="N30" s="1469"/>
      <c r="O30" s="1469"/>
      <c r="P30" s="1469"/>
      <c r="Q30" s="1469"/>
      <c r="R30" s="1469"/>
      <c r="S30" s="1469"/>
    </row>
    <row r="31" spans="1:19" x14ac:dyDescent="0.2">
      <c r="A31" s="1987"/>
      <c r="B31" s="1987"/>
      <c r="C31" s="1987"/>
      <c r="D31" s="1987"/>
      <c r="E31" s="1987"/>
      <c r="F31" s="1987"/>
      <c r="G31" s="1987"/>
      <c r="H31" s="1987"/>
      <c r="I31" s="1987"/>
      <c r="J31" s="1987"/>
      <c r="K31" s="1987"/>
      <c r="L31" s="1469"/>
      <c r="M31" s="1469"/>
      <c r="N31" s="1469"/>
      <c r="O31" s="1469"/>
      <c r="P31" s="1469"/>
      <c r="Q31" s="1469"/>
      <c r="R31" s="1469"/>
      <c r="S31" s="1469"/>
    </row>
    <row r="33" spans="1:19" x14ac:dyDescent="0.2">
      <c r="A33" s="330" t="s">
        <v>678</v>
      </c>
      <c r="B33" s="330"/>
    </row>
    <row r="34" spans="1:19" x14ac:dyDescent="0.2">
      <c r="A34" s="330"/>
      <c r="B34" s="330"/>
    </row>
    <row r="35" spans="1:19" ht="12.75" customHeight="1" x14ac:dyDescent="0.2">
      <c r="A35" s="1984" t="s">
        <v>1821</v>
      </c>
      <c r="B35" s="1984"/>
      <c r="C35" s="1984"/>
      <c r="D35" s="1984"/>
      <c r="E35" s="1984"/>
      <c r="F35" s="1984"/>
      <c r="G35" s="1984"/>
      <c r="H35" s="1984"/>
      <c r="I35" s="1984"/>
      <c r="J35" s="1984"/>
      <c r="K35" s="1984"/>
      <c r="L35" s="1984"/>
      <c r="M35" s="1984"/>
      <c r="N35" s="1984"/>
      <c r="O35" s="1984"/>
      <c r="P35" s="1984"/>
      <c r="Q35" s="1984"/>
      <c r="R35" s="1984"/>
      <c r="S35" s="1984"/>
    </row>
    <row r="36" spans="1:19" x14ac:dyDescent="0.2">
      <c r="A36" s="1984"/>
      <c r="B36" s="1984"/>
      <c r="C36" s="1984"/>
      <c r="D36" s="1984"/>
      <c r="E36" s="1984"/>
      <c r="F36" s="1984"/>
      <c r="G36" s="1984"/>
      <c r="H36" s="1984"/>
      <c r="I36" s="1984"/>
      <c r="J36" s="1984"/>
      <c r="K36" s="1984"/>
      <c r="L36" s="1984"/>
      <c r="M36" s="1984"/>
      <c r="N36" s="1984"/>
      <c r="O36" s="1984"/>
      <c r="P36" s="1984"/>
      <c r="Q36" s="1984"/>
      <c r="R36" s="1984"/>
      <c r="S36" s="1984"/>
    </row>
    <row r="37" spans="1:19" x14ac:dyDescent="0.2">
      <c r="A37" s="1984"/>
      <c r="B37" s="1984"/>
      <c r="C37" s="1984"/>
      <c r="D37" s="1984"/>
      <c r="E37" s="1984"/>
      <c r="F37" s="1984"/>
      <c r="G37" s="1984"/>
      <c r="H37" s="1984"/>
      <c r="I37" s="1984"/>
      <c r="J37" s="1984"/>
      <c r="K37" s="1984"/>
      <c r="L37" s="1984"/>
      <c r="M37" s="1984"/>
      <c r="N37" s="1984"/>
      <c r="O37" s="1984"/>
      <c r="P37" s="1984"/>
      <c r="Q37" s="1984"/>
      <c r="R37" s="1984"/>
      <c r="S37" s="1984"/>
    </row>
    <row r="38" spans="1:19" x14ac:dyDescent="0.2">
      <c r="A38" s="331" t="s">
        <v>1541</v>
      </c>
      <c r="B38" s="331"/>
      <c r="C38" s="158"/>
      <c r="D38" s="158"/>
      <c r="E38" s="158"/>
      <c r="F38" s="158"/>
      <c r="G38" s="158"/>
      <c r="H38" s="158"/>
      <c r="I38" s="158"/>
      <c r="J38" s="158"/>
      <c r="K38" s="158"/>
      <c r="L38" s="158"/>
      <c r="M38" s="158"/>
      <c r="N38" s="158"/>
      <c r="O38" s="158"/>
      <c r="P38" s="158"/>
      <c r="Q38" s="158"/>
      <c r="R38" s="158"/>
      <c r="S38" s="158"/>
    </row>
    <row r="39" spans="1:19" x14ac:dyDescent="0.2">
      <c r="A39" s="331" t="s">
        <v>1542</v>
      </c>
      <c r="B39" s="331"/>
      <c r="C39" s="158"/>
      <c r="D39" s="158"/>
      <c r="E39" s="158"/>
      <c r="F39" s="158"/>
      <c r="G39" s="158"/>
      <c r="H39" s="158"/>
      <c r="I39" s="158"/>
      <c r="J39" s="158"/>
      <c r="K39" s="158"/>
      <c r="L39" s="158"/>
      <c r="M39" s="158"/>
      <c r="N39" s="158"/>
      <c r="O39" s="158"/>
      <c r="P39" s="158"/>
      <c r="Q39" s="158"/>
      <c r="R39" s="158"/>
      <c r="S39" s="158"/>
    </row>
    <row r="40" spans="1:19" x14ac:dyDescent="0.2">
      <c r="A40" s="332"/>
      <c r="B40" s="332"/>
      <c r="C40" s="158"/>
      <c r="D40" s="158"/>
      <c r="E40" s="158"/>
      <c r="F40" s="158"/>
      <c r="G40" s="158"/>
      <c r="H40" s="158"/>
      <c r="I40" s="158"/>
      <c r="J40" s="158"/>
      <c r="K40" s="158"/>
      <c r="L40" s="158"/>
      <c r="M40" s="158"/>
      <c r="N40" s="158"/>
      <c r="O40" s="158"/>
      <c r="P40" s="158"/>
      <c r="Q40" s="158"/>
      <c r="R40" s="158"/>
      <c r="S40" s="158"/>
    </row>
    <row r="41" spans="1:19" x14ac:dyDescent="0.2">
      <c r="A41" s="330" t="s">
        <v>356</v>
      </c>
      <c r="B41" s="330"/>
    </row>
    <row r="42" spans="1:19" x14ac:dyDescent="0.2">
      <c r="A42" s="330"/>
      <c r="B42" s="330"/>
    </row>
    <row r="43" spans="1:19" ht="12.75" customHeight="1" x14ac:dyDescent="0.2">
      <c r="A43" s="1984" t="s">
        <v>1822</v>
      </c>
      <c r="B43" s="1984"/>
      <c r="C43" s="1984"/>
      <c r="D43" s="1984"/>
      <c r="E43" s="1984"/>
      <c r="F43" s="1984"/>
      <c r="G43" s="1984"/>
      <c r="H43" s="1984"/>
      <c r="I43" s="1984"/>
      <c r="J43" s="1984"/>
      <c r="K43" s="1984"/>
      <c r="L43" s="1984"/>
      <c r="M43" s="1984"/>
      <c r="N43" s="1984"/>
      <c r="O43" s="1984"/>
      <c r="P43" s="1984"/>
      <c r="Q43" s="1984"/>
      <c r="R43" s="1984"/>
      <c r="S43" s="1984"/>
    </row>
    <row r="44" spans="1:19" x14ac:dyDescent="0.2">
      <c r="A44" s="1984"/>
      <c r="B44" s="1984"/>
      <c r="C44" s="1984"/>
      <c r="D44" s="1984"/>
      <c r="E44" s="1984"/>
      <c r="F44" s="1984"/>
      <c r="G44" s="1984"/>
      <c r="H44" s="1984"/>
      <c r="I44" s="1984"/>
      <c r="J44" s="1984"/>
      <c r="K44" s="1984"/>
      <c r="L44" s="1984"/>
      <c r="M44" s="1984"/>
      <c r="N44" s="1984"/>
      <c r="O44" s="1984"/>
      <c r="P44" s="1984"/>
      <c r="Q44" s="1984"/>
      <c r="R44" s="1984"/>
      <c r="S44" s="1984"/>
    </row>
    <row r="45" spans="1:19" x14ac:dyDescent="0.2">
      <c r="A45" s="1984"/>
      <c r="B45" s="1984"/>
      <c r="C45" s="1984"/>
      <c r="D45" s="1984"/>
      <c r="E45" s="1984"/>
      <c r="F45" s="1984"/>
      <c r="G45" s="1984"/>
      <c r="H45" s="1984"/>
      <c r="I45" s="1984"/>
      <c r="J45" s="1984"/>
      <c r="K45" s="1984"/>
      <c r="L45" s="1984"/>
      <c r="M45" s="1984"/>
      <c r="N45" s="1984"/>
      <c r="O45" s="1984"/>
      <c r="P45" s="1984"/>
      <c r="Q45" s="1984"/>
      <c r="R45" s="1984"/>
      <c r="S45" s="1984"/>
    </row>
    <row r="46" spans="1:19" x14ac:dyDescent="0.2">
      <c r="A46" s="331" t="s">
        <v>1539</v>
      </c>
      <c r="B46" s="331"/>
    </row>
    <row r="47" spans="1:19" x14ac:dyDescent="0.2">
      <c r="A47" s="331" t="s">
        <v>1540</v>
      </c>
      <c r="B47" s="331"/>
    </row>
    <row r="49" spans="1:20" x14ac:dyDescent="0.2">
      <c r="A49" s="333" t="s">
        <v>1549</v>
      </c>
      <c r="B49" s="334"/>
    </row>
    <row r="50" spans="1:20" x14ac:dyDescent="0.2">
      <c r="A50" s="335"/>
      <c r="B50" s="336"/>
      <c r="C50" s="337"/>
      <c r="D50" s="337"/>
      <c r="E50" s="337"/>
      <c r="F50" s="337"/>
      <c r="G50" s="337"/>
      <c r="H50" s="337"/>
      <c r="I50" s="337"/>
      <c r="J50" s="337"/>
      <c r="K50" s="337"/>
      <c r="L50" s="337"/>
      <c r="M50" s="337"/>
      <c r="N50" s="337"/>
    </row>
    <row r="51" spans="1:20" x14ac:dyDescent="0.2">
      <c r="A51" s="338" t="s">
        <v>1601</v>
      </c>
      <c r="B51" s="336"/>
      <c r="C51" s="337"/>
      <c r="D51" s="337"/>
      <c r="E51" s="337"/>
      <c r="F51" s="337"/>
      <c r="G51" s="337"/>
      <c r="H51" s="337"/>
      <c r="I51" s="337"/>
      <c r="J51" s="337"/>
      <c r="K51" s="337"/>
      <c r="L51" s="337"/>
      <c r="M51" s="337"/>
      <c r="N51" s="337"/>
    </row>
    <row r="52" spans="1:20" x14ac:dyDescent="0.2">
      <c r="A52" s="338" t="s">
        <v>1816</v>
      </c>
      <c r="B52" s="336"/>
      <c r="C52" s="337"/>
      <c r="D52" s="337"/>
      <c r="E52" s="337"/>
      <c r="F52" s="337"/>
      <c r="G52" s="337"/>
      <c r="H52" s="337"/>
      <c r="I52" s="337"/>
      <c r="J52" s="337"/>
      <c r="K52" s="337"/>
      <c r="L52" s="337"/>
      <c r="M52" s="337"/>
      <c r="N52" s="337"/>
    </row>
    <row r="53" spans="1:20" ht="13.5" customHeight="1" x14ac:dyDescent="0.2">
      <c r="A53" s="338" t="s">
        <v>1817</v>
      </c>
      <c r="B53" s="339"/>
      <c r="C53" s="338"/>
      <c r="D53" s="338"/>
      <c r="E53" s="337"/>
      <c r="F53" s="337"/>
      <c r="G53" s="337"/>
      <c r="H53" s="337"/>
      <c r="I53" s="337"/>
      <c r="J53" s="337"/>
      <c r="K53" s="337"/>
      <c r="L53" s="337"/>
      <c r="M53" s="337"/>
      <c r="N53" s="337"/>
    </row>
    <row r="54" spans="1:20" ht="66" customHeight="1" x14ac:dyDescent="0.2">
      <c r="A54" s="1988" t="s">
        <v>1823</v>
      </c>
      <c r="B54" s="1988"/>
      <c r="C54" s="1988"/>
      <c r="D54" s="1988"/>
      <c r="E54" s="1988"/>
      <c r="F54" s="1988"/>
      <c r="G54" s="1988"/>
      <c r="H54" s="1988"/>
      <c r="I54" s="1988"/>
      <c r="J54" s="1988"/>
      <c r="K54" s="1988"/>
      <c r="L54" s="1988"/>
      <c r="M54" s="1988"/>
      <c r="N54" s="1988"/>
    </row>
    <row r="55" spans="1:20" x14ac:dyDescent="0.2">
      <c r="A55" s="158"/>
      <c r="B55" s="312"/>
      <c r="C55" s="158"/>
      <c r="D55" s="158"/>
    </row>
    <row r="56" spans="1:20" x14ac:dyDescent="0.2">
      <c r="A56" s="158"/>
      <c r="B56" s="312"/>
      <c r="C56" s="158"/>
      <c r="D56" s="158"/>
    </row>
    <row r="57" spans="1:20" s="337" customFormat="1" x14ac:dyDescent="0.2">
      <c r="A57" s="1989" t="s">
        <v>1551</v>
      </c>
      <c r="B57" s="1989"/>
      <c r="C57" s="1989"/>
      <c r="D57" s="1989"/>
      <c r="E57" s="1989"/>
      <c r="F57" s="1989"/>
      <c r="G57" s="1989"/>
      <c r="H57" s="1989"/>
      <c r="I57" s="1989"/>
      <c r="J57" s="1989"/>
      <c r="K57" s="1989"/>
      <c r="L57" s="1989"/>
      <c r="M57" s="1989"/>
      <c r="N57" s="1989"/>
      <c r="O57" s="1989"/>
      <c r="P57" s="1989"/>
      <c r="Q57" s="1989"/>
      <c r="R57" s="1989"/>
      <c r="S57" s="1989"/>
    </row>
    <row r="58" spans="1:20" s="337" customFormat="1" x14ac:dyDescent="0.2">
      <c r="A58" s="1471"/>
      <c r="B58" s="1471"/>
      <c r="C58" s="1471"/>
      <c r="D58" s="1471"/>
      <c r="E58" s="1471"/>
      <c r="F58" s="1471"/>
      <c r="G58" s="1471"/>
      <c r="H58" s="1471"/>
      <c r="I58" s="1471"/>
      <c r="J58" s="1471"/>
      <c r="K58" s="1471"/>
      <c r="L58" s="1471"/>
      <c r="M58" s="1471"/>
      <c r="N58" s="1471"/>
      <c r="O58" s="1471"/>
      <c r="P58" s="1471"/>
      <c r="Q58" s="1471"/>
      <c r="R58" s="1471"/>
      <c r="S58" s="1471"/>
    </row>
    <row r="59" spans="1:20" s="337" customFormat="1" ht="40.5" customHeight="1" x14ac:dyDescent="0.2">
      <c r="A59" s="1978" t="s">
        <v>1824</v>
      </c>
      <c r="B59" s="1978"/>
      <c r="C59" s="1978"/>
      <c r="D59" s="1978"/>
      <c r="E59" s="1978"/>
      <c r="F59" s="1978"/>
      <c r="G59" s="1978"/>
      <c r="H59" s="1978"/>
      <c r="I59" s="1978"/>
      <c r="J59" s="1978"/>
      <c r="K59" s="1978"/>
      <c r="L59" s="1978"/>
      <c r="M59" s="1978"/>
      <c r="N59" s="1978"/>
      <c r="O59" s="1471"/>
      <c r="P59" s="1471"/>
      <c r="Q59" s="1471"/>
      <c r="R59" s="1471"/>
      <c r="S59" s="1471"/>
    </row>
    <row r="60" spans="1:20" s="337" customFormat="1" x14ac:dyDescent="0.2">
      <c r="A60" s="1466"/>
      <c r="B60" s="1466"/>
      <c r="C60" s="1466"/>
      <c r="D60" s="1466"/>
      <c r="E60" s="1466"/>
      <c r="F60" s="1466"/>
      <c r="G60" s="1466"/>
      <c r="H60" s="1466"/>
      <c r="I60" s="1466"/>
      <c r="J60" s="1466"/>
      <c r="K60" s="1466"/>
      <c r="L60" s="1466"/>
      <c r="M60" s="1466"/>
      <c r="N60" s="1466"/>
      <c r="O60" s="1471"/>
      <c r="P60" s="1471"/>
      <c r="Q60" s="1471"/>
      <c r="R60" s="1471"/>
      <c r="S60" s="1471"/>
    </row>
    <row r="61" spans="1:20" s="337" customFormat="1" ht="38.25" customHeight="1" x14ac:dyDescent="0.2">
      <c r="A61" s="1978" t="s">
        <v>1825</v>
      </c>
      <c r="B61" s="1978"/>
      <c r="C61" s="1978"/>
      <c r="D61" s="1978"/>
      <c r="E61" s="1978"/>
      <c r="F61" s="1978"/>
      <c r="G61" s="1978"/>
      <c r="H61" s="1978"/>
      <c r="I61" s="1978"/>
      <c r="J61" s="1978"/>
      <c r="K61" s="1978"/>
      <c r="L61" s="1978"/>
      <c r="M61" s="1978"/>
      <c r="N61" s="1978"/>
      <c r="O61" s="1471"/>
      <c r="P61" s="1471"/>
      <c r="Q61" s="1471"/>
      <c r="R61" s="1471"/>
      <c r="S61" s="1471"/>
    </row>
    <row r="62" spans="1:20" s="337" customFormat="1" x14ac:dyDescent="0.2">
      <c r="A62" s="1471"/>
      <c r="B62" s="1471"/>
      <c r="C62" s="1471"/>
      <c r="D62" s="1471"/>
      <c r="E62" s="1471"/>
      <c r="F62" s="1471"/>
      <c r="G62" s="1471"/>
      <c r="H62" s="1471"/>
      <c r="I62" s="1471"/>
      <c r="J62" s="1471"/>
      <c r="K62" s="1471"/>
      <c r="L62" s="1471"/>
      <c r="M62" s="1471"/>
      <c r="N62" s="1471"/>
      <c r="O62" s="1471"/>
      <c r="P62" s="1471"/>
      <c r="Q62" s="1471"/>
      <c r="R62" s="1471"/>
      <c r="S62" s="1471"/>
    </row>
    <row r="63" spans="1:20" s="337" customFormat="1" x14ac:dyDescent="0.2">
      <c r="A63" s="1461" t="s">
        <v>1552</v>
      </c>
      <c r="B63" s="1461"/>
      <c r="C63" s="1461"/>
      <c r="D63" s="1461"/>
      <c r="E63" s="1461"/>
      <c r="F63" s="1461"/>
      <c r="G63" s="340"/>
      <c r="H63" s="340"/>
      <c r="I63" s="340"/>
      <c r="J63" s="340"/>
      <c r="K63" s="340"/>
      <c r="L63" s="340"/>
      <c r="M63" s="340"/>
      <c r="N63" s="340"/>
      <c r="O63" s="340"/>
      <c r="P63" s="340"/>
      <c r="Q63" s="340"/>
      <c r="R63" s="340"/>
      <c r="S63" s="340"/>
    </row>
    <row r="64" spans="1:20" s="337" customFormat="1" ht="16.5" customHeight="1" x14ac:dyDescent="0.2">
      <c r="A64" s="1465"/>
      <c r="B64" s="1465"/>
      <c r="C64" s="1465"/>
      <c r="D64" s="1465"/>
      <c r="E64" s="1465"/>
      <c r="F64" s="1465"/>
      <c r="G64" s="1465"/>
      <c r="H64" s="1465"/>
      <c r="I64" s="1465"/>
      <c r="J64" s="1465"/>
      <c r="K64" s="1465"/>
      <c r="L64" s="1465"/>
      <c r="M64" s="1465"/>
      <c r="N64" s="1465"/>
      <c r="O64" s="1465"/>
      <c r="P64" s="1465"/>
      <c r="Q64" s="1465"/>
      <c r="R64" s="1465"/>
      <c r="S64" s="1465"/>
      <c r="T64" s="341"/>
    </row>
    <row r="65" spans="1:19" s="337" customFormat="1" x14ac:dyDescent="0.2">
      <c r="A65" s="335" t="s">
        <v>1550</v>
      </c>
      <c r="B65" s="338"/>
      <c r="C65" s="338"/>
      <c r="D65" s="338"/>
    </row>
    <row r="66" spans="1:19" s="337" customFormat="1" x14ac:dyDescent="0.2">
      <c r="A66" s="335"/>
      <c r="B66" s="338"/>
      <c r="C66" s="338"/>
      <c r="D66" s="338"/>
    </row>
    <row r="67" spans="1:19" s="337" customFormat="1" x14ac:dyDescent="0.2">
      <c r="A67" s="1980" t="s">
        <v>1546</v>
      </c>
      <c r="B67" s="1980"/>
      <c r="C67" s="1980"/>
      <c r="D67" s="1980"/>
      <c r="E67" s="1980"/>
      <c r="F67" s="1980"/>
      <c r="G67" s="1980"/>
      <c r="H67" s="1980"/>
      <c r="I67" s="1980"/>
      <c r="J67" s="1980"/>
      <c r="K67" s="1980"/>
      <c r="L67" s="341"/>
      <c r="M67" s="341"/>
      <c r="N67" s="341"/>
      <c r="O67" s="341"/>
      <c r="P67" s="341"/>
      <c r="Q67" s="341"/>
      <c r="R67" s="341"/>
      <c r="S67" s="341"/>
    </row>
    <row r="68" spans="1:19" s="337" customFormat="1" x14ac:dyDescent="0.2">
      <c r="A68" s="1980"/>
      <c r="B68" s="1980"/>
      <c r="C68" s="1980"/>
      <c r="D68" s="1980"/>
      <c r="E68" s="1980"/>
      <c r="F68" s="1980"/>
      <c r="G68" s="1980"/>
      <c r="H68" s="1980"/>
      <c r="I68" s="1980"/>
      <c r="J68" s="1980"/>
      <c r="K68" s="1980"/>
      <c r="L68" s="341"/>
      <c r="M68" s="341"/>
      <c r="N68" s="341"/>
      <c r="O68" s="341"/>
      <c r="P68" s="341"/>
      <c r="Q68" s="341"/>
      <c r="R68" s="341"/>
      <c r="S68" s="341"/>
    </row>
    <row r="69" spans="1:19" s="337" customFormat="1" x14ac:dyDescent="0.2">
      <c r="A69" s="1980"/>
      <c r="B69" s="1980"/>
      <c r="C69" s="1980"/>
      <c r="D69" s="1980"/>
      <c r="E69" s="1980"/>
      <c r="F69" s="1980"/>
      <c r="G69" s="1980"/>
      <c r="H69" s="1980"/>
      <c r="I69" s="1980"/>
      <c r="J69" s="1980"/>
      <c r="K69" s="1980"/>
      <c r="L69" s="341"/>
      <c r="M69" s="341"/>
      <c r="N69" s="341"/>
      <c r="O69" s="341"/>
      <c r="P69" s="341"/>
      <c r="Q69" s="341"/>
      <c r="R69" s="341"/>
      <c r="S69" s="341"/>
    </row>
    <row r="70" spans="1:19" x14ac:dyDescent="0.2">
      <c r="A70" s="337"/>
      <c r="B70" s="337"/>
      <c r="C70" s="337"/>
      <c r="D70" s="337"/>
      <c r="E70" s="337"/>
      <c r="F70" s="337"/>
      <c r="G70" s="337"/>
      <c r="H70" s="337"/>
      <c r="I70" s="337"/>
      <c r="J70" s="337"/>
      <c r="K70" s="337"/>
      <c r="L70" s="337"/>
      <c r="M70" s="337"/>
      <c r="N70" s="337"/>
      <c r="O70" s="337"/>
      <c r="P70" s="337"/>
      <c r="Q70" s="337"/>
      <c r="R70" s="337"/>
      <c r="S70" s="337"/>
    </row>
    <row r="71" spans="1:19" x14ac:dyDescent="0.2">
      <c r="A71" s="337"/>
      <c r="B71" s="337"/>
      <c r="C71" s="337"/>
      <c r="D71" s="337"/>
      <c r="E71" s="337"/>
      <c r="F71" s="337"/>
      <c r="G71" s="337"/>
      <c r="H71" s="337"/>
      <c r="I71" s="337"/>
      <c r="J71" s="337"/>
      <c r="K71" s="337"/>
      <c r="L71" s="337"/>
      <c r="M71" s="337"/>
      <c r="N71" s="337"/>
      <c r="O71" s="337"/>
      <c r="P71" s="337"/>
      <c r="Q71" s="337"/>
      <c r="R71" s="337"/>
      <c r="S71" s="337"/>
    </row>
    <row r="72" spans="1:19" x14ac:dyDescent="0.2">
      <c r="A72" s="337"/>
      <c r="B72" s="337"/>
      <c r="C72" s="337"/>
      <c r="D72" s="337"/>
      <c r="E72" s="337"/>
      <c r="F72" s="337"/>
      <c r="G72" s="337"/>
      <c r="H72" s="337"/>
      <c r="I72" s="337"/>
      <c r="J72" s="337"/>
      <c r="K72" s="337"/>
      <c r="L72" s="337"/>
      <c r="M72" s="337"/>
      <c r="N72" s="337"/>
      <c r="O72" s="337"/>
      <c r="P72" s="337"/>
      <c r="Q72" s="337"/>
      <c r="R72" s="337"/>
      <c r="S72" s="337"/>
    </row>
    <row r="73" spans="1:19" x14ac:dyDescent="0.2">
      <c r="A73" s="337"/>
      <c r="B73" s="337"/>
      <c r="C73" s="337"/>
      <c r="D73" s="337"/>
      <c r="E73" s="337"/>
      <c r="F73" s="337"/>
      <c r="G73" s="337"/>
      <c r="H73" s="337"/>
      <c r="I73" s="337"/>
      <c r="J73" s="337"/>
      <c r="K73" s="337"/>
      <c r="L73" s="337"/>
      <c r="M73" s="337"/>
      <c r="N73" s="337"/>
      <c r="O73" s="337"/>
      <c r="P73" s="337"/>
      <c r="Q73" s="337"/>
      <c r="R73" s="337"/>
      <c r="S73" s="337"/>
    </row>
    <row r="74" spans="1:19" x14ac:dyDescent="0.2">
      <c r="A74" s="1984"/>
      <c r="B74" s="1984"/>
      <c r="C74" s="1984"/>
      <c r="D74" s="1984"/>
      <c r="E74" s="1984"/>
      <c r="F74" s="1984"/>
      <c r="G74" s="1984"/>
      <c r="H74" s="1984"/>
      <c r="I74" s="1984"/>
      <c r="J74" s="1984"/>
      <c r="K74" s="1984"/>
      <c r="L74" s="1984"/>
      <c r="M74" s="1984"/>
      <c r="N74" s="1984"/>
      <c r="O74" s="1984"/>
      <c r="P74" s="1984"/>
      <c r="Q74" s="1984"/>
      <c r="R74" s="1984"/>
      <c r="S74" s="1984"/>
    </row>
    <row r="75" spans="1:19" x14ac:dyDescent="0.2">
      <c r="A75" s="1984"/>
      <c r="B75" s="1984"/>
      <c r="C75" s="1984"/>
      <c r="D75" s="1984"/>
      <c r="E75" s="1984"/>
      <c r="F75" s="1984"/>
      <c r="G75" s="1984"/>
      <c r="H75" s="1984"/>
      <c r="I75" s="1984"/>
      <c r="J75" s="1984"/>
      <c r="K75" s="1984"/>
      <c r="L75" s="1984"/>
      <c r="M75" s="1984"/>
      <c r="N75" s="1984"/>
      <c r="O75" s="1984"/>
      <c r="P75" s="1984"/>
      <c r="Q75" s="1984"/>
      <c r="R75" s="1984"/>
      <c r="S75" s="1984"/>
    </row>
    <row r="76" spans="1:19" x14ac:dyDescent="0.2">
      <c r="A76" s="1984"/>
      <c r="B76" s="1984"/>
      <c r="C76" s="1984"/>
      <c r="D76" s="1984"/>
      <c r="E76" s="1984"/>
      <c r="F76" s="1984"/>
      <c r="G76" s="1984"/>
      <c r="H76" s="1984"/>
      <c r="I76" s="1984"/>
      <c r="J76" s="1984"/>
      <c r="K76" s="1984"/>
      <c r="L76" s="1984"/>
      <c r="M76" s="1984"/>
      <c r="N76" s="1984"/>
      <c r="O76" s="1984"/>
      <c r="P76" s="1984"/>
      <c r="Q76" s="1984"/>
      <c r="R76" s="1984"/>
      <c r="S76" s="1984"/>
    </row>
    <row r="77" spans="1:19" x14ac:dyDescent="0.2">
      <c r="L77" s="1984"/>
      <c r="M77" s="1984"/>
      <c r="N77" s="1984"/>
      <c r="O77" s="1984"/>
      <c r="P77" s="1984"/>
      <c r="Q77" s="1984"/>
      <c r="R77" s="1984"/>
      <c r="S77" s="1984"/>
    </row>
    <row r="78" spans="1:19" x14ac:dyDescent="0.2">
      <c r="A78" s="1984"/>
      <c r="B78" s="1984"/>
      <c r="C78" s="1984"/>
      <c r="D78" s="1984"/>
      <c r="E78" s="1984"/>
      <c r="F78" s="1984"/>
      <c r="G78" s="1984"/>
      <c r="H78" s="1984"/>
      <c r="I78" s="1984"/>
      <c r="J78" s="1984"/>
      <c r="K78" s="1984"/>
      <c r="L78" s="1984"/>
      <c r="M78" s="1984"/>
      <c r="N78" s="1984"/>
      <c r="O78" s="1984"/>
      <c r="P78" s="1984"/>
      <c r="Q78" s="1984"/>
      <c r="R78" s="1984"/>
      <c r="S78" s="1984"/>
    </row>
    <row r="79" spans="1:19" x14ac:dyDescent="0.2">
      <c r="A79" s="1984"/>
      <c r="B79" s="1984"/>
      <c r="C79" s="1984"/>
      <c r="D79" s="1984"/>
      <c r="E79" s="1984"/>
      <c r="F79" s="1984"/>
      <c r="G79" s="1984"/>
      <c r="H79" s="1984"/>
      <c r="I79" s="1984"/>
      <c r="J79" s="1984"/>
      <c r="K79" s="1984"/>
      <c r="L79" s="1984"/>
      <c r="M79" s="1984"/>
      <c r="N79" s="1984"/>
      <c r="O79" s="1984"/>
      <c r="P79" s="1984"/>
      <c r="Q79" s="1984"/>
      <c r="R79" s="1984"/>
      <c r="S79" s="1984"/>
    </row>
    <row r="80" spans="1:19" x14ac:dyDescent="0.2">
      <c r="A80" s="1984"/>
      <c r="B80" s="1984"/>
      <c r="C80" s="1984"/>
      <c r="D80" s="1984"/>
      <c r="E80" s="1984"/>
      <c r="F80" s="1984"/>
      <c r="G80" s="1984"/>
      <c r="H80" s="1984"/>
      <c r="I80" s="1984"/>
      <c r="J80" s="1984"/>
      <c r="K80" s="1984"/>
      <c r="L80" s="1984"/>
      <c r="M80" s="1984"/>
      <c r="N80" s="1984"/>
      <c r="O80" s="1984"/>
      <c r="P80" s="1984"/>
      <c r="Q80" s="1984"/>
      <c r="R80" s="1984"/>
      <c r="S80" s="1984"/>
    </row>
    <row r="81" spans="1:19" x14ac:dyDescent="0.2">
      <c r="A81" s="1984"/>
      <c r="B81" s="1984"/>
      <c r="C81" s="1984"/>
      <c r="D81" s="1984"/>
      <c r="E81" s="1984"/>
      <c r="F81" s="1984"/>
      <c r="G81" s="1984"/>
      <c r="H81" s="1984"/>
      <c r="I81" s="1984"/>
      <c r="J81" s="1984"/>
      <c r="K81" s="1984"/>
      <c r="L81" s="1984"/>
      <c r="M81" s="1984"/>
      <c r="N81" s="1984"/>
      <c r="O81" s="1984"/>
      <c r="P81" s="1984"/>
      <c r="Q81" s="1984"/>
      <c r="R81" s="1984"/>
      <c r="S81" s="1984"/>
    </row>
    <row r="82" spans="1:19" x14ac:dyDescent="0.2">
      <c r="A82" s="1984"/>
      <c r="B82" s="1984"/>
      <c r="C82" s="1984"/>
      <c r="D82" s="1984"/>
      <c r="E82" s="1984"/>
      <c r="F82" s="1984"/>
      <c r="G82" s="1984"/>
      <c r="H82" s="1984"/>
      <c r="I82" s="1984"/>
      <c r="J82" s="1984"/>
      <c r="K82" s="1984"/>
      <c r="L82" s="1984"/>
      <c r="M82" s="1984"/>
      <c r="N82" s="1984"/>
      <c r="O82" s="1984"/>
      <c r="P82" s="1984"/>
      <c r="Q82" s="1984"/>
      <c r="R82" s="1984"/>
      <c r="S82" s="1984"/>
    </row>
    <row r="83" spans="1:19" x14ac:dyDescent="0.2">
      <c r="A83" s="1984"/>
      <c r="B83" s="1984"/>
      <c r="C83" s="1984"/>
      <c r="D83" s="1984"/>
      <c r="E83" s="1984"/>
      <c r="F83" s="1984"/>
      <c r="G83" s="1984"/>
      <c r="H83" s="1984"/>
      <c r="I83" s="1984"/>
      <c r="J83" s="1984"/>
      <c r="K83" s="1984"/>
      <c r="L83" s="1984"/>
      <c r="M83" s="1984"/>
      <c r="N83" s="1984"/>
      <c r="O83" s="1984"/>
      <c r="P83" s="1984"/>
      <c r="Q83" s="1984"/>
      <c r="R83" s="1984"/>
      <c r="S83" s="1984"/>
    </row>
    <row r="84" spans="1:19" x14ac:dyDescent="0.2">
      <c r="A84" s="1984"/>
      <c r="B84" s="1984"/>
      <c r="C84" s="1984"/>
      <c r="D84" s="1984"/>
      <c r="E84" s="1984"/>
      <c r="F84" s="1984"/>
      <c r="G84" s="1984"/>
      <c r="H84" s="1984"/>
      <c r="I84" s="1984"/>
      <c r="J84" s="1984"/>
      <c r="K84" s="1984"/>
      <c r="L84" s="1984"/>
      <c r="M84" s="1984"/>
      <c r="N84" s="1984"/>
      <c r="O84" s="1984"/>
      <c r="P84" s="1984"/>
      <c r="Q84" s="1984"/>
      <c r="R84" s="1984"/>
      <c r="S84" s="1984"/>
    </row>
    <row r="85" spans="1:19" x14ac:dyDescent="0.2">
      <c r="A85" s="1984"/>
      <c r="B85" s="1984"/>
      <c r="C85" s="1984"/>
      <c r="D85" s="1984"/>
      <c r="E85" s="1984"/>
      <c r="F85" s="1984"/>
      <c r="G85" s="1984"/>
      <c r="H85" s="1984"/>
      <c r="I85" s="1984"/>
      <c r="J85" s="1984"/>
      <c r="K85" s="1984"/>
      <c r="L85" s="1984"/>
      <c r="M85" s="1984"/>
      <c r="N85" s="1984"/>
      <c r="O85" s="1984"/>
      <c r="P85" s="1984"/>
      <c r="Q85" s="1984"/>
      <c r="R85" s="1984"/>
      <c r="S85" s="1984"/>
    </row>
    <row r="86" spans="1:19" x14ac:dyDescent="0.2">
      <c r="A86" s="1984"/>
      <c r="B86" s="1984"/>
      <c r="C86" s="1984"/>
      <c r="D86" s="1984"/>
      <c r="E86" s="1984"/>
      <c r="F86" s="1984"/>
      <c r="G86" s="1984"/>
      <c r="H86" s="1984"/>
      <c r="I86" s="1984"/>
      <c r="J86" s="1984"/>
      <c r="K86" s="1984"/>
      <c r="L86" s="1984"/>
      <c r="M86" s="1984"/>
      <c r="N86" s="1984"/>
      <c r="O86" s="1984"/>
      <c r="P86" s="1984"/>
      <c r="Q86" s="1984"/>
      <c r="R86" s="1984"/>
      <c r="S86" s="1984"/>
    </row>
    <row r="87" spans="1:19" x14ac:dyDescent="0.2">
      <c r="A87" s="1984"/>
      <c r="B87" s="1984"/>
      <c r="C87" s="1984"/>
      <c r="D87" s="1984"/>
      <c r="E87" s="1984"/>
      <c r="F87" s="1984"/>
      <c r="G87" s="1984"/>
      <c r="H87" s="1984"/>
      <c r="I87" s="1984"/>
      <c r="J87" s="1984"/>
      <c r="K87" s="1984"/>
      <c r="L87" s="1984"/>
      <c r="M87" s="1984"/>
      <c r="N87" s="1984"/>
      <c r="O87" s="1984"/>
      <c r="P87" s="1984"/>
      <c r="Q87" s="1984"/>
      <c r="R87" s="1984"/>
      <c r="S87" s="1984"/>
    </row>
    <row r="88" spans="1:19" x14ac:dyDescent="0.2">
      <c r="A88" s="1984"/>
      <c r="B88" s="1984"/>
      <c r="C88" s="1984"/>
      <c r="D88" s="1984"/>
      <c r="E88" s="1984"/>
      <c r="F88" s="1984"/>
      <c r="G88" s="1984"/>
      <c r="H88" s="1984"/>
      <c r="I88" s="1984"/>
      <c r="J88" s="1984"/>
      <c r="K88" s="1984"/>
      <c r="L88" s="1984"/>
      <c r="M88" s="1984"/>
      <c r="N88" s="1984"/>
      <c r="O88" s="1984"/>
      <c r="P88" s="1984"/>
      <c r="Q88" s="1984"/>
      <c r="R88" s="1984"/>
      <c r="S88" s="1984"/>
    </row>
    <row r="89" spans="1:19" x14ac:dyDescent="0.2">
      <c r="A89" s="1984"/>
      <c r="B89" s="1984"/>
      <c r="C89" s="1984"/>
      <c r="D89" s="1984"/>
      <c r="E89" s="1984"/>
      <c r="F89" s="1984"/>
      <c r="G89" s="1984"/>
      <c r="H89" s="1984"/>
      <c r="I89" s="1984"/>
      <c r="J89" s="1984"/>
      <c r="K89" s="1984"/>
      <c r="L89" s="1984"/>
      <c r="M89" s="1984"/>
      <c r="N89" s="1984"/>
      <c r="O89" s="1984"/>
      <c r="P89" s="1984"/>
      <c r="Q89" s="1984"/>
      <c r="R89" s="1984"/>
      <c r="S89" s="1984"/>
    </row>
    <row r="90" spans="1:19" x14ac:dyDescent="0.2">
      <c r="A90" s="1984"/>
      <c r="B90" s="1984"/>
      <c r="C90" s="1984"/>
      <c r="D90" s="1984"/>
      <c r="E90" s="1984"/>
      <c r="F90" s="1984"/>
      <c r="G90" s="1984"/>
      <c r="H90" s="1984"/>
      <c r="I90" s="1984"/>
      <c r="J90" s="1984"/>
      <c r="K90" s="1984"/>
      <c r="L90" s="1984"/>
      <c r="M90" s="1984"/>
      <c r="N90" s="1984"/>
      <c r="O90" s="1984"/>
      <c r="P90" s="1984"/>
      <c r="Q90" s="1984"/>
      <c r="R90" s="1984"/>
      <c r="S90" s="1984"/>
    </row>
    <row r="91" spans="1:19" x14ac:dyDescent="0.2">
      <c r="A91" s="1993"/>
      <c r="B91" s="1993"/>
      <c r="C91" s="1993"/>
      <c r="D91" s="1993"/>
      <c r="E91" s="1993"/>
      <c r="F91" s="1993"/>
      <c r="G91" s="1993"/>
      <c r="H91" s="1993"/>
      <c r="I91" s="1993"/>
      <c r="J91" s="1993"/>
      <c r="K91" s="1993"/>
      <c r="L91" s="1984"/>
      <c r="M91" s="1984"/>
      <c r="N91" s="1984"/>
      <c r="O91" s="1984"/>
      <c r="P91" s="1984"/>
      <c r="Q91" s="1984"/>
      <c r="R91" s="1984"/>
      <c r="S91" s="1984"/>
    </row>
    <row r="92" spans="1:19" x14ac:dyDescent="0.2">
      <c r="A92" s="1993"/>
      <c r="B92" s="1993"/>
      <c r="C92" s="1993"/>
      <c r="D92" s="1993"/>
      <c r="E92" s="1993"/>
      <c r="F92" s="1993"/>
      <c r="G92" s="1993"/>
      <c r="H92" s="1993"/>
      <c r="I92" s="1993"/>
      <c r="J92" s="1993"/>
      <c r="K92" s="1993"/>
      <c r="L92" s="1984"/>
      <c r="M92" s="1984"/>
      <c r="N92" s="1984"/>
      <c r="O92" s="1984"/>
      <c r="P92" s="1984"/>
      <c r="Q92" s="1984"/>
      <c r="R92" s="1984"/>
      <c r="S92" s="1984"/>
    </row>
    <row r="93" spans="1:19" x14ac:dyDescent="0.2">
      <c r="A93" s="1984"/>
      <c r="B93" s="1984"/>
      <c r="C93" s="1984"/>
      <c r="D93" s="1984"/>
      <c r="E93" s="1984"/>
      <c r="F93" s="1984"/>
      <c r="G93" s="1984"/>
      <c r="H93" s="1984"/>
      <c r="I93" s="1984"/>
      <c r="J93" s="1984"/>
      <c r="K93" s="1984"/>
      <c r="L93" s="1984"/>
      <c r="M93" s="1984"/>
      <c r="N93" s="1984"/>
      <c r="O93" s="1984"/>
      <c r="P93" s="1984"/>
      <c r="Q93" s="1984"/>
      <c r="R93" s="1984"/>
      <c r="S93" s="1984"/>
    </row>
    <row r="94" spans="1:19" x14ac:dyDescent="0.2">
      <c r="L94" s="1984"/>
      <c r="M94" s="1984"/>
      <c r="N94" s="1984"/>
      <c r="O94" s="1984"/>
      <c r="P94" s="1984"/>
      <c r="Q94" s="1984"/>
      <c r="R94" s="1984"/>
      <c r="S94" s="1984"/>
    </row>
    <row r="95" spans="1:19" x14ac:dyDescent="0.2">
      <c r="A95" s="1984"/>
      <c r="B95" s="1984"/>
      <c r="C95" s="1984"/>
      <c r="D95" s="1984"/>
      <c r="E95" s="1984"/>
      <c r="F95" s="1984"/>
      <c r="G95" s="1984"/>
      <c r="H95" s="1984"/>
      <c r="I95" s="1984"/>
      <c r="J95" s="1984"/>
      <c r="K95" s="1984"/>
      <c r="L95" s="1984"/>
      <c r="M95" s="1984"/>
      <c r="N95" s="1984"/>
      <c r="O95" s="1984"/>
      <c r="P95" s="1984"/>
      <c r="Q95" s="1984"/>
      <c r="R95" s="1984"/>
      <c r="S95" s="1984"/>
    </row>
    <row r="96" spans="1:19" x14ac:dyDescent="0.2">
      <c r="A96" s="1984"/>
      <c r="B96" s="1984"/>
      <c r="C96" s="1984"/>
      <c r="D96" s="1984"/>
      <c r="E96" s="1984"/>
      <c r="F96" s="1984"/>
      <c r="G96" s="1984"/>
      <c r="H96" s="1984"/>
      <c r="I96" s="1984"/>
      <c r="J96" s="1984"/>
      <c r="K96" s="1984"/>
      <c r="L96" s="1984"/>
      <c r="M96" s="1984"/>
      <c r="N96" s="1984"/>
      <c r="O96" s="1984"/>
      <c r="P96" s="1984"/>
      <c r="Q96" s="1984"/>
      <c r="R96" s="1984"/>
      <c r="S96" s="1984"/>
    </row>
    <row r="97" spans="1:19" x14ac:dyDescent="0.2">
      <c r="A97" s="1984"/>
      <c r="B97" s="1984"/>
      <c r="C97" s="1984"/>
      <c r="D97" s="1984"/>
      <c r="E97" s="1984"/>
      <c r="F97" s="1984"/>
      <c r="G97" s="1984"/>
      <c r="H97" s="1984"/>
      <c r="I97" s="1984"/>
      <c r="J97" s="1984"/>
      <c r="K97" s="1984"/>
      <c r="L97" s="1984"/>
      <c r="M97" s="1984"/>
      <c r="N97" s="1984"/>
      <c r="O97" s="1984"/>
      <c r="P97" s="1984"/>
      <c r="Q97" s="1984"/>
      <c r="R97" s="1984"/>
      <c r="S97" s="1984"/>
    </row>
    <row r="98" spans="1:19" x14ac:dyDescent="0.2">
      <c r="A98" s="1984"/>
      <c r="B98" s="1984"/>
      <c r="C98" s="1984"/>
      <c r="D98" s="1984"/>
      <c r="E98" s="1984"/>
      <c r="F98" s="1984"/>
      <c r="G98" s="1984"/>
      <c r="H98" s="1984"/>
      <c r="I98" s="1984"/>
      <c r="J98" s="1984"/>
      <c r="K98" s="1984"/>
      <c r="L98" s="1984"/>
      <c r="M98" s="1984"/>
      <c r="N98" s="1984"/>
      <c r="O98" s="1984"/>
      <c r="P98" s="1984"/>
      <c r="Q98" s="1984"/>
      <c r="R98" s="1984"/>
      <c r="S98" s="1984"/>
    </row>
    <row r="99" spans="1:19" x14ac:dyDescent="0.2">
      <c r="A99" s="1984"/>
      <c r="B99" s="1984"/>
      <c r="C99" s="1984"/>
      <c r="D99" s="1984"/>
      <c r="E99" s="1984"/>
      <c r="F99" s="1984"/>
      <c r="G99" s="1984"/>
      <c r="H99" s="1984"/>
      <c r="I99" s="1984"/>
      <c r="J99" s="1984"/>
      <c r="K99" s="1984"/>
      <c r="L99" s="1984"/>
      <c r="M99" s="1984"/>
      <c r="N99" s="1984"/>
      <c r="O99" s="1984"/>
      <c r="P99" s="1984"/>
      <c r="Q99" s="1984"/>
      <c r="R99" s="1984"/>
      <c r="S99" s="1984"/>
    </row>
    <row r="100" spans="1:19" x14ac:dyDescent="0.2">
      <c r="A100" s="1984"/>
      <c r="B100" s="1984"/>
      <c r="C100" s="1984"/>
      <c r="D100" s="1984"/>
      <c r="E100" s="1984"/>
      <c r="F100" s="1984"/>
      <c r="G100" s="1984"/>
      <c r="H100" s="1984"/>
      <c r="I100" s="1984"/>
      <c r="J100" s="1984"/>
      <c r="K100" s="1984"/>
      <c r="L100" s="1984"/>
      <c r="M100" s="1984"/>
      <c r="N100" s="1984"/>
      <c r="O100" s="1984"/>
      <c r="P100" s="1984"/>
      <c r="Q100" s="1984"/>
      <c r="R100" s="1984"/>
      <c r="S100" s="1984"/>
    </row>
    <row r="101" spans="1:19" x14ac:dyDescent="0.2">
      <c r="A101" s="1984"/>
      <c r="B101" s="1984"/>
      <c r="C101" s="1984"/>
      <c r="D101" s="1984"/>
      <c r="E101" s="1984"/>
      <c r="F101" s="1984"/>
      <c r="G101" s="1984"/>
      <c r="H101" s="1984"/>
      <c r="I101" s="1984"/>
      <c r="J101" s="1984"/>
      <c r="K101" s="1984"/>
      <c r="L101" s="1984"/>
      <c r="M101" s="1984"/>
      <c r="N101" s="1984"/>
      <c r="O101" s="1984"/>
      <c r="P101" s="1984"/>
      <c r="Q101" s="1984"/>
      <c r="R101" s="1984"/>
      <c r="S101" s="1984"/>
    </row>
    <row r="102" spans="1:19" x14ac:dyDescent="0.2">
      <c r="A102" s="1984"/>
      <c r="B102" s="1984"/>
      <c r="C102" s="1984"/>
      <c r="D102" s="1984"/>
      <c r="E102" s="1984"/>
      <c r="F102" s="1984"/>
      <c r="G102" s="1984"/>
      <c r="H102" s="1984"/>
      <c r="I102" s="1984"/>
      <c r="J102" s="1984"/>
      <c r="K102" s="1984"/>
      <c r="L102" s="1984"/>
      <c r="M102" s="1984"/>
      <c r="N102" s="1984"/>
      <c r="O102" s="1984"/>
      <c r="P102" s="1984"/>
      <c r="Q102" s="1984"/>
      <c r="R102" s="1984"/>
      <c r="S102" s="1984"/>
    </row>
    <row r="103" spans="1:19" x14ac:dyDescent="0.2">
      <c r="A103" s="1984"/>
      <c r="B103" s="1984"/>
      <c r="C103" s="1984"/>
      <c r="D103" s="1984"/>
      <c r="E103" s="1984"/>
      <c r="F103" s="1984"/>
      <c r="G103" s="1984"/>
      <c r="H103" s="1984"/>
      <c r="I103" s="1984"/>
      <c r="J103" s="1984"/>
      <c r="K103" s="1984"/>
      <c r="L103" s="1984"/>
      <c r="M103" s="1984"/>
      <c r="N103" s="1984"/>
      <c r="O103" s="1984"/>
      <c r="P103" s="1984"/>
      <c r="Q103" s="1984"/>
      <c r="R103" s="1984"/>
      <c r="S103" s="1984"/>
    </row>
    <row r="104" spans="1:19" x14ac:dyDescent="0.2">
      <c r="A104" s="1984"/>
      <c r="B104" s="1984"/>
      <c r="C104" s="1984"/>
      <c r="D104" s="1984"/>
      <c r="E104" s="1984"/>
      <c r="F104" s="1984"/>
      <c r="G104" s="1984"/>
      <c r="H104" s="1984"/>
      <c r="I104" s="1984"/>
      <c r="J104" s="1984"/>
      <c r="K104" s="1984"/>
      <c r="L104" s="1984"/>
      <c r="M104" s="1984"/>
      <c r="N104" s="1984"/>
      <c r="O104" s="1984"/>
      <c r="P104" s="1984"/>
      <c r="Q104" s="1984"/>
      <c r="R104" s="1984"/>
      <c r="S104" s="1984"/>
    </row>
    <row r="105" spans="1:19" x14ac:dyDescent="0.2">
      <c r="A105" s="1984"/>
      <c r="B105" s="1984"/>
      <c r="C105" s="1984"/>
      <c r="D105" s="1984"/>
      <c r="E105" s="1984"/>
      <c r="F105" s="1984"/>
      <c r="G105" s="1984"/>
      <c r="H105" s="1984"/>
      <c r="I105" s="1984"/>
      <c r="J105" s="1984"/>
      <c r="K105" s="1984"/>
      <c r="L105" s="1984"/>
      <c r="M105" s="1984"/>
      <c r="N105" s="1984"/>
      <c r="O105" s="1984"/>
      <c r="P105" s="1984"/>
      <c r="Q105" s="1984"/>
      <c r="R105" s="1984"/>
      <c r="S105" s="1984"/>
    </row>
    <row r="106" spans="1:19" x14ac:dyDescent="0.2">
      <c r="A106" s="1984"/>
      <c r="B106" s="1984"/>
      <c r="C106" s="1984"/>
      <c r="D106" s="1984"/>
      <c r="E106" s="1984"/>
      <c r="F106" s="1984"/>
      <c r="G106" s="1984"/>
      <c r="H106" s="1984"/>
      <c r="I106" s="1984"/>
      <c r="J106" s="1984"/>
      <c r="K106" s="1984"/>
      <c r="L106" s="1984"/>
      <c r="M106" s="1984"/>
      <c r="N106" s="1984"/>
      <c r="O106" s="1984"/>
      <c r="P106" s="1984"/>
      <c r="Q106" s="1984"/>
      <c r="R106" s="1984"/>
      <c r="S106" s="1984"/>
    </row>
    <row r="107" spans="1:19" x14ac:dyDescent="0.2">
      <c r="A107" s="1984"/>
      <c r="B107" s="1984"/>
      <c r="C107" s="1984"/>
      <c r="D107" s="1984"/>
      <c r="E107" s="1984"/>
      <c r="F107" s="1984"/>
      <c r="G107" s="1984"/>
      <c r="H107" s="1984"/>
      <c r="I107" s="1984"/>
      <c r="J107" s="1984"/>
      <c r="K107" s="1984"/>
      <c r="L107" s="1984"/>
      <c r="M107" s="1984"/>
      <c r="N107" s="1984"/>
      <c r="O107" s="1984"/>
      <c r="P107" s="1984"/>
      <c r="Q107" s="1984"/>
      <c r="R107" s="1984"/>
      <c r="S107" s="1984"/>
    </row>
    <row r="108" spans="1:19" x14ac:dyDescent="0.2">
      <c r="A108" s="1984"/>
      <c r="B108" s="1984"/>
      <c r="C108" s="1984"/>
      <c r="D108" s="1984"/>
      <c r="E108" s="1984"/>
      <c r="F108" s="1984"/>
      <c r="G108" s="1984"/>
      <c r="H108" s="1984"/>
      <c r="I108" s="1984"/>
      <c r="J108" s="1984"/>
      <c r="K108" s="1984"/>
      <c r="L108" s="1984"/>
      <c r="M108" s="1984"/>
      <c r="N108" s="1984"/>
      <c r="O108" s="1984"/>
      <c r="P108" s="1984"/>
      <c r="Q108" s="1984"/>
      <c r="R108" s="1984"/>
      <c r="S108" s="1984"/>
    </row>
    <row r="109" spans="1:19" x14ac:dyDescent="0.2">
      <c r="A109" s="1984"/>
      <c r="B109" s="1984"/>
      <c r="C109" s="1984"/>
      <c r="D109" s="1984"/>
      <c r="E109" s="1984"/>
      <c r="F109" s="1984"/>
      <c r="G109" s="1984"/>
      <c r="H109" s="1984"/>
      <c r="I109" s="1984"/>
      <c r="J109" s="1984"/>
      <c r="K109" s="1984"/>
      <c r="L109" s="1984"/>
      <c r="M109" s="1984"/>
      <c r="N109" s="1984"/>
      <c r="O109" s="1984"/>
      <c r="P109" s="1984"/>
      <c r="Q109" s="1984"/>
      <c r="R109" s="1984"/>
      <c r="S109" s="1984"/>
    </row>
    <row r="110" spans="1:19" x14ac:dyDescent="0.2">
      <c r="A110" s="1984"/>
      <c r="B110" s="1984"/>
      <c r="C110" s="1984"/>
      <c r="D110" s="1984"/>
      <c r="E110" s="1984"/>
      <c r="F110" s="1984"/>
      <c r="G110" s="1984"/>
      <c r="H110" s="1984"/>
      <c r="I110" s="1984"/>
      <c r="J110" s="1984"/>
      <c r="K110" s="1984"/>
      <c r="L110" s="1984"/>
      <c r="M110" s="1984"/>
      <c r="N110" s="1984"/>
      <c r="O110" s="1984"/>
      <c r="P110" s="1984"/>
      <c r="Q110" s="1984"/>
      <c r="R110" s="1984"/>
      <c r="S110" s="1984"/>
    </row>
    <row r="111" spans="1:19" x14ac:dyDescent="0.2">
      <c r="A111" s="1984"/>
      <c r="B111" s="1984"/>
      <c r="C111" s="1984"/>
      <c r="D111" s="1984"/>
      <c r="E111" s="1984"/>
      <c r="F111" s="1984"/>
      <c r="G111" s="1984"/>
      <c r="H111" s="1984"/>
      <c r="I111" s="1984"/>
      <c r="J111" s="1984"/>
      <c r="K111" s="1984"/>
      <c r="L111" s="1984"/>
      <c r="M111" s="1984"/>
      <c r="N111" s="1984"/>
      <c r="O111" s="1984"/>
      <c r="P111" s="1984"/>
      <c r="Q111" s="1984"/>
      <c r="R111" s="1984"/>
      <c r="S111" s="1984"/>
    </row>
    <row r="112" spans="1:19" x14ac:dyDescent="0.2">
      <c r="A112" s="1984"/>
      <c r="B112" s="1984"/>
      <c r="C112" s="1984"/>
      <c r="D112" s="1984"/>
      <c r="E112" s="1984"/>
      <c r="F112" s="1984"/>
      <c r="G112" s="1984"/>
      <c r="H112" s="1984"/>
      <c r="I112" s="1984"/>
      <c r="J112" s="1984"/>
      <c r="K112" s="1984"/>
      <c r="L112" s="1984"/>
      <c r="M112" s="1984"/>
      <c r="N112" s="1984"/>
      <c r="O112" s="1984"/>
      <c r="P112" s="1984"/>
      <c r="Q112" s="1984"/>
      <c r="R112" s="1984"/>
      <c r="S112" s="1984"/>
    </row>
    <row r="113" spans="1:19" x14ac:dyDescent="0.2">
      <c r="A113" s="1984"/>
      <c r="B113" s="1984"/>
      <c r="C113" s="1984"/>
      <c r="D113" s="1984"/>
      <c r="E113" s="1984"/>
      <c r="F113" s="1984"/>
      <c r="G113" s="1984"/>
      <c r="H113" s="1984"/>
      <c r="I113" s="1984"/>
      <c r="J113" s="1984"/>
      <c r="K113" s="1984"/>
      <c r="L113" s="1984"/>
      <c r="M113" s="1984"/>
      <c r="N113" s="1984"/>
      <c r="O113" s="1984"/>
      <c r="P113" s="1984"/>
      <c r="Q113" s="1984"/>
      <c r="R113" s="1984"/>
      <c r="S113" s="1984"/>
    </row>
    <row r="114" spans="1:19" x14ac:dyDescent="0.2">
      <c r="A114" s="1984"/>
      <c r="B114" s="1984"/>
      <c r="C114" s="1984"/>
      <c r="D114" s="1984"/>
      <c r="E114" s="1984"/>
      <c r="F114" s="1984"/>
      <c r="G114" s="1984"/>
      <c r="H114" s="1984"/>
      <c r="I114" s="1984"/>
      <c r="J114" s="1984"/>
      <c r="K114" s="1984"/>
      <c r="L114" s="1984"/>
      <c r="M114" s="1984"/>
      <c r="N114" s="1984"/>
      <c r="O114" s="1984"/>
      <c r="P114" s="1984"/>
      <c r="Q114" s="1984"/>
      <c r="R114" s="1984"/>
      <c r="S114" s="1984"/>
    </row>
    <row r="115" spans="1:19" x14ac:dyDescent="0.2">
      <c r="A115" s="1984"/>
      <c r="B115" s="1984"/>
      <c r="C115" s="1984"/>
      <c r="D115" s="1984"/>
      <c r="E115" s="1984"/>
      <c r="F115" s="1984"/>
      <c r="G115" s="1984"/>
      <c r="H115" s="1984"/>
      <c r="I115" s="1984"/>
      <c r="J115" s="1984"/>
      <c r="K115" s="1984"/>
      <c r="L115" s="1984"/>
      <c r="M115" s="1984"/>
      <c r="N115" s="1984"/>
      <c r="O115" s="1984"/>
      <c r="P115" s="1984"/>
      <c r="Q115" s="1984"/>
      <c r="R115" s="1984"/>
      <c r="S115" s="1984"/>
    </row>
    <row r="116" spans="1:19" x14ac:dyDescent="0.2">
      <c r="A116" s="1984"/>
      <c r="B116" s="1984"/>
      <c r="C116" s="1984"/>
      <c r="D116" s="1984"/>
      <c r="E116" s="1984"/>
      <c r="F116" s="1984"/>
      <c r="G116" s="1984"/>
      <c r="H116" s="1984"/>
      <c r="I116" s="1984"/>
      <c r="J116" s="1984"/>
      <c r="K116" s="1984"/>
      <c r="L116" s="1984"/>
      <c r="M116" s="1984"/>
      <c r="N116" s="1984"/>
      <c r="O116" s="1984"/>
      <c r="P116" s="1984"/>
      <c r="Q116" s="1984"/>
      <c r="R116" s="1984"/>
      <c r="S116" s="1984"/>
    </row>
    <row r="117" spans="1:19" x14ac:dyDescent="0.2">
      <c r="A117" s="1984"/>
      <c r="B117" s="1984"/>
      <c r="C117" s="1984"/>
      <c r="D117" s="1984"/>
      <c r="E117" s="1984"/>
      <c r="F117" s="1984"/>
      <c r="G117" s="1984"/>
      <c r="H117" s="1984"/>
      <c r="I117" s="1984"/>
      <c r="J117" s="1984"/>
      <c r="K117" s="1984"/>
      <c r="L117" s="1984"/>
      <c r="M117" s="1984"/>
      <c r="N117" s="1984"/>
      <c r="O117" s="1984"/>
      <c r="P117" s="1984"/>
      <c r="Q117" s="1984"/>
      <c r="R117" s="1984"/>
      <c r="S117" s="1984"/>
    </row>
    <row r="118" spans="1:19" x14ac:dyDescent="0.2">
      <c r="A118" s="1984"/>
      <c r="B118" s="1984"/>
      <c r="C118" s="1984"/>
      <c r="D118" s="1984"/>
      <c r="E118" s="1984"/>
      <c r="F118" s="1984"/>
      <c r="G118" s="1984"/>
      <c r="H118" s="1984"/>
      <c r="I118" s="1984"/>
      <c r="J118" s="1984"/>
      <c r="K118" s="1984"/>
      <c r="L118" s="1984"/>
      <c r="M118" s="1984"/>
      <c r="N118" s="1984"/>
      <c r="O118" s="1984"/>
      <c r="P118" s="1984"/>
      <c r="Q118" s="1984"/>
      <c r="R118" s="1984"/>
      <c r="S118" s="1984"/>
    </row>
    <row r="119" spans="1:19" x14ac:dyDescent="0.2">
      <c r="A119" s="1984"/>
      <c r="B119" s="1984"/>
      <c r="C119" s="1984"/>
      <c r="D119" s="1984"/>
      <c r="E119" s="1984"/>
      <c r="F119" s="1984"/>
      <c r="G119" s="1984"/>
      <c r="H119" s="1984"/>
      <c r="I119" s="1984"/>
      <c r="J119" s="1984"/>
      <c r="K119" s="1984"/>
      <c r="L119" s="1984"/>
      <c r="M119" s="1984"/>
      <c r="N119" s="1984"/>
      <c r="O119" s="1984"/>
      <c r="P119" s="1984"/>
      <c r="Q119" s="1984"/>
      <c r="R119" s="1984"/>
      <c r="S119" s="1984"/>
    </row>
    <row r="120" spans="1:19" x14ac:dyDescent="0.2">
      <c r="A120" s="1984"/>
      <c r="B120" s="1984"/>
      <c r="C120" s="1984"/>
      <c r="D120" s="1984"/>
      <c r="E120" s="1984"/>
      <c r="F120" s="1984"/>
      <c r="G120" s="1984"/>
      <c r="H120" s="1984"/>
      <c r="I120" s="1984"/>
      <c r="J120" s="1984"/>
      <c r="K120" s="1984"/>
      <c r="L120" s="1984"/>
      <c r="M120" s="1984"/>
      <c r="N120" s="1984"/>
      <c r="O120" s="1984"/>
      <c r="P120" s="1984"/>
      <c r="Q120" s="1984"/>
      <c r="R120" s="1984"/>
      <c r="S120" s="1984"/>
    </row>
    <row r="121" spans="1:19" x14ac:dyDescent="0.2">
      <c r="A121" s="1984"/>
      <c r="B121" s="1984"/>
      <c r="C121" s="1984"/>
      <c r="D121" s="1984"/>
      <c r="E121" s="1984"/>
      <c r="F121" s="1984"/>
      <c r="G121" s="1984"/>
      <c r="H121" s="1984"/>
      <c r="I121" s="1984"/>
      <c r="J121" s="1984"/>
      <c r="K121" s="1984"/>
      <c r="L121" s="1984"/>
      <c r="M121" s="1984"/>
      <c r="N121" s="1984"/>
      <c r="O121" s="1984"/>
      <c r="P121" s="1984"/>
      <c r="Q121" s="1984"/>
      <c r="R121" s="1984"/>
      <c r="S121" s="1984"/>
    </row>
    <row r="122" spans="1:19" x14ac:dyDescent="0.2">
      <c r="A122" s="1984"/>
      <c r="B122" s="1984"/>
      <c r="C122" s="1984"/>
      <c r="D122" s="1984"/>
      <c r="E122" s="1984"/>
      <c r="F122" s="1984"/>
      <c r="G122" s="1984"/>
      <c r="H122" s="1984"/>
      <c r="I122" s="1984"/>
      <c r="J122" s="1984"/>
      <c r="K122" s="1984"/>
      <c r="L122" s="1984"/>
      <c r="M122" s="1984"/>
      <c r="N122" s="1984"/>
      <c r="O122" s="1984"/>
      <c r="P122" s="1984"/>
      <c r="Q122" s="1984"/>
      <c r="R122" s="1984"/>
      <c r="S122" s="1984"/>
    </row>
    <row r="123" spans="1:19" x14ac:dyDescent="0.2">
      <c r="A123" s="1984"/>
      <c r="B123" s="1984"/>
      <c r="C123" s="1984"/>
      <c r="D123" s="1984"/>
      <c r="E123" s="1984"/>
      <c r="F123" s="1984"/>
      <c r="G123" s="1984"/>
      <c r="H123" s="1984"/>
      <c r="I123" s="1984"/>
      <c r="J123" s="1984"/>
      <c r="K123" s="1984"/>
      <c r="L123" s="1984"/>
      <c r="M123" s="1984"/>
      <c r="N123" s="1984"/>
      <c r="O123" s="1984"/>
      <c r="P123" s="1984"/>
      <c r="Q123" s="1984"/>
      <c r="R123" s="1984"/>
      <c r="S123" s="1984"/>
    </row>
    <row r="124" spans="1:19" x14ac:dyDescent="0.2">
      <c r="A124" s="1984"/>
      <c r="B124" s="1984"/>
      <c r="C124" s="1984"/>
      <c r="D124" s="1984"/>
      <c r="E124" s="1984"/>
      <c r="F124" s="1984"/>
      <c r="G124" s="1984"/>
      <c r="H124" s="1984"/>
      <c r="I124" s="1984"/>
      <c r="J124" s="1984"/>
      <c r="K124" s="1984"/>
      <c r="L124" s="1984"/>
      <c r="M124" s="1984"/>
      <c r="N124" s="1984"/>
      <c r="O124" s="1984"/>
      <c r="P124" s="1984"/>
      <c r="Q124" s="1984"/>
      <c r="R124" s="1984"/>
      <c r="S124" s="1984"/>
    </row>
    <row r="125" spans="1:19" x14ac:dyDescent="0.2">
      <c r="A125" s="1984"/>
      <c r="B125" s="1984"/>
      <c r="C125" s="1984"/>
      <c r="D125" s="1984"/>
      <c r="E125" s="1984"/>
      <c r="F125" s="1984"/>
      <c r="G125" s="1984"/>
      <c r="H125" s="1984"/>
      <c r="I125" s="1984"/>
      <c r="J125" s="1984"/>
      <c r="K125" s="1984"/>
      <c r="L125" s="1984"/>
      <c r="M125" s="1984"/>
      <c r="N125" s="1984"/>
      <c r="O125" s="1984"/>
      <c r="P125" s="1984"/>
      <c r="Q125" s="1984"/>
      <c r="R125" s="1984"/>
      <c r="S125" s="1984"/>
    </row>
    <row r="126" spans="1:19" x14ac:dyDescent="0.2">
      <c r="A126" s="1984"/>
      <c r="B126" s="1984"/>
      <c r="C126" s="1984"/>
      <c r="D126" s="1984"/>
      <c r="E126" s="1984"/>
      <c r="F126" s="1984"/>
      <c r="G126" s="1984"/>
      <c r="H126" s="1984"/>
      <c r="I126" s="1984"/>
      <c r="J126" s="1984"/>
      <c r="K126" s="1984"/>
      <c r="L126" s="1984"/>
      <c r="M126" s="1984"/>
      <c r="N126" s="1984"/>
      <c r="O126" s="1984"/>
      <c r="P126" s="1984"/>
      <c r="Q126" s="1984"/>
      <c r="R126" s="1984"/>
      <c r="S126" s="1984"/>
    </row>
    <row r="127" spans="1:19" x14ac:dyDescent="0.2">
      <c r="A127" s="1984"/>
      <c r="B127" s="1984"/>
      <c r="C127" s="1984"/>
      <c r="D127" s="1984"/>
      <c r="E127" s="1984"/>
      <c r="F127" s="1984"/>
      <c r="G127" s="1984"/>
      <c r="H127" s="1984"/>
      <c r="I127" s="1984"/>
      <c r="J127" s="1984"/>
      <c r="K127" s="1984"/>
      <c r="L127" s="1984"/>
      <c r="M127" s="1984"/>
      <c r="N127" s="1984"/>
      <c r="O127" s="1984"/>
      <c r="P127" s="1984"/>
      <c r="Q127" s="1984"/>
      <c r="R127" s="1984"/>
      <c r="S127" s="1984"/>
    </row>
  </sheetData>
  <mergeCells count="124">
    <mergeCell ref="A112:K112"/>
    <mergeCell ref="L112:S112"/>
    <mergeCell ref="A113:K113"/>
    <mergeCell ref="L113:S113"/>
    <mergeCell ref="A114:K114"/>
    <mergeCell ref="L114:S114"/>
    <mergeCell ref="A109:K109"/>
    <mergeCell ref="L109:S109"/>
    <mergeCell ref="A110:K110"/>
    <mergeCell ref="L110:S110"/>
    <mergeCell ref="A111:K111"/>
    <mergeCell ref="L111:S111"/>
    <mergeCell ref="A118:K118"/>
    <mergeCell ref="L118:S118"/>
    <mergeCell ref="A119:K119"/>
    <mergeCell ref="L119:S119"/>
    <mergeCell ref="A120:K120"/>
    <mergeCell ref="L120:S120"/>
    <mergeCell ref="A115:K115"/>
    <mergeCell ref="L115:S115"/>
    <mergeCell ref="A116:K116"/>
    <mergeCell ref="L116:S116"/>
    <mergeCell ref="A117:K117"/>
    <mergeCell ref="L117:S117"/>
    <mergeCell ref="A127:K127"/>
    <mergeCell ref="L127:S127"/>
    <mergeCell ref="A124:K124"/>
    <mergeCell ref="L124:S124"/>
    <mergeCell ref="A125:K125"/>
    <mergeCell ref="L125:S125"/>
    <mergeCell ref="A126:K126"/>
    <mergeCell ref="L126:S126"/>
    <mergeCell ref="A121:K121"/>
    <mergeCell ref="L121:S121"/>
    <mergeCell ref="A122:K122"/>
    <mergeCell ref="L122:S122"/>
    <mergeCell ref="A123:K123"/>
    <mergeCell ref="L123:S123"/>
    <mergeCell ref="A106:K106"/>
    <mergeCell ref="L106:S106"/>
    <mergeCell ref="A107:K107"/>
    <mergeCell ref="L107:S107"/>
    <mergeCell ref="A108:K108"/>
    <mergeCell ref="L108:S108"/>
    <mergeCell ref="A103:K103"/>
    <mergeCell ref="L103:S103"/>
    <mergeCell ref="A104:K104"/>
    <mergeCell ref="L104:S104"/>
    <mergeCell ref="A105:K105"/>
    <mergeCell ref="L105:S105"/>
    <mergeCell ref="A100:K100"/>
    <mergeCell ref="L100:S100"/>
    <mergeCell ref="A101:K101"/>
    <mergeCell ref="L101:S101"/>
    <mergeCell ref="A102:K102"/>
    <mergeCell ref="L102:S102"/>
    <mergeCell ref="A97:K97"/>
    <mergeCell ref="L97:S97"/>
    <mergeCell ref="A98:K98"/>
    <mergeCell ref="L98:S98"/>
    <mergeCell ref="A99:K99"/>
    <mergeCell ref="L99:S99"/>
    <mergeCell ref="L94:S94"/>
    <mergeCell ref="A95:K95"/>
    <mergeCell ref="L95:S95"/>
    <mergeCell ref="A96:K96"/>
    <mergeCell ref="L96:S96"/>
    <mergeCell ref="L92:S92"/>
    <mergeCell ref="A93:K93"/>
    <mergeCell ref="L93:S93"/>
    <mergeCell ref="A90:K90"/>
    <mergeCell ref="L90:S90"/>
    <mergeCell ref="A92:K92"/>
    <mergeCell ref="L83:S83"/>
    <mergeCell ref="A91:K91"/>
    <mergeCell ref="L91:S91"/>
    <mergeCell ref="A89:K89"/>
    <mergeCell ref="L89:S89"/>
    <mergeCell ref="A87:K87"/>
    <mergeCell ref="L87:S87"/>
    <mergeCell ref="A88:K88"/>
    <mergeCell ref="L88:S88"/>
    <mergeCell ref="A74:K74"/>
    <mergeCell ref="L74:S74"/>
    <mergeCell ref="A75:K75"/>
    <mergeCell ref="L75:S75"/>
    <mergeCell ref="A84:K84"/>
    <mergeCell ref="L84:S84"/>
    <mergeCell ref="A85:K85"/>
    <mergeCell ref="L85:S85"/>
    <mergeCell ref="A86:K86"/>
    <mergeCell ref="L76:S76"/>
    <mergeCell ref="A76:K76"/>
    <mergeCell ref="L77:S77"/>
    <mergeCell ref="A78:K78"/>
    <mergeCell ref="L78:S78"/>
    <mergeCell ref="A79:K79"/>
    <mergeCell ref="L79:S79"/>
    <mergeCell ref="A80:K80"/>
    <mergeCell ref="L80:S80"/>
    <mergeCell ref="L86:S86"/>
    <mergeCell ref="A81:K81"/>
    <mergeCell ref="L81:S81"/>
    <mergeCell ref="A82:K82"/>
    <mergeCell ref="L82:S82"/>
    <mergeCell ref="A83:K83"/>
    <mergeCell ref="A59:N59"/>
    <mergeCell ref="A61:N61"/>
    <mergeCell ref="A1:K1"/>
    <mergeCell ref="A2:K2"/>
    <mergeCell ref="A67:K69"/>
    <mergeCell ref="A6:K6"/>
    <mergeCell ref="E10:F10"/>
    <mergeCell ref="A18:K20"/>
    <mergeCell ref="A21:K23"/>
    <mergeCell ref="A26:S26"/>
    <mergeCell ref="A35:K37"/>
    <mergeCell ref="L35:S37"/>
    <mergeCell ref="A43:K45"/>
    <mergeCell ref="L43:S45"/>
    <mergeCell ref="A29:K31"/>
    <mergeCell ref="A54:N54"/>
    <mergeCell ref="A57:S57"/>
    <mergeCell ref="A11:A16"/>
  </mergeCells>
  <pageMargins left="0.7" right="0.7" top="0.75" bottom="0.75" header="0.3" footer="0.3"/>
  <pageSetup scale="63" fitToHeight="0" orientation="landscape" horizontalDpi="200" verticalDpi="200" r:id="rId1"/>
  <rowBreaks count="1" manualBreakCount="1">
    <brk id="48"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P582"/>
  <sheetViews>
    <sheetView showGridLines="0" zoomScale="95" zoomScaleNormal="95" zoomScaleSheetLayoutView="85" workbookViewId="0"/>
  </sheetViews>
  <sheetFormatPr defaultRowHeight="12.75" x14ac:dyDescent="0.2"/>
  <cols>
    <col min="1" max="1" width="7.7109375" style="1482" customWidth="1"/>
    <col min="2" max="2" width="10.140625" style="1482" customWidth="1"/>
    <col min="3" max="3" width="37.85546875" style="140" customWidth="1"/>
    <col min="4" max="4" width="14.42578125" style="140" customWidth="1"/>
    <col min="5" max="5" width="13" style="140" customWidth="1"/>
    <col min="6" max="6" width="11.7109375" style="140" customWidth="1"/>
    <col min="7" max="7" width="14.140625" style="140" bestFit="1" customWidth="1"/>
    <col min="8" max="8" width="1.7109375" style="342" customWidth="1"/>
    <col min="9" max="9" width="14.28515625" style="140" customWidth="1"/>
    <col min="10" max="10" width="13.42578125" style="140" customWidth="1"/>
    <col min="11" max="11" width="11.85546875" style="140" customWidth="1"/>
    <col min="12" max="12" width="14.5703125" style="140" bestFit="1" customWidth="1"/>
    <col min="13" max="13" width="14.140625" style="140" bestFit="1" customWidth="1"/>
    <col min="14" max="14" width="10.28515625" style="140" bestFit="1" customWidth="1"/>
    <col min="15" max="16384" width="9.140625" style="140"/>
  </cols>
  <sheetData>
    <row r="1" spans="1:13" x14ac:dyDescent="0.2">
      <c r="L1" s="334" t="s">
        <v>394</v>
      </c>
      <c r="M1" s="253" t="str">
        <f>EBNUMBER</f>
        <v>EB-2015-0089</v>
      </c>
    </row>
    <row r="2" spans="1:13" x14ac:dyDescent="0.2">
      <c r="L2" s="334" t="s">
        <v>395</v>
      </c>
      <c r="M2" s="136">
        <v>2</v>
      </c>
    </row>
    <row r="3" spans="1:13" x14ac:dyDescent="0.2">
      <c r="L3" s="334" t="s">
        <v>396</v>
      </c>
      <c r="M3" s="136" t="s">
        <v>2458</v>
      </c>
    </row>
    <row r="4" spans="1:13" x14ac:dyDescent="0.2">
      <c r="L4" s="334" t="s">
        <v>397</v>
      </c>
      <c r="M4" s="136"/>
    </row>
    <row r="5" spans="1:13" x14ac:dyDescent="0.2">
      <c r="L5" s="334" t="s">
        <v>398</v>
      </c>
      <c r="M5" s="1514">
        <v>16</v>
      </c>
    </row>
    <row r="6" spans="1:13" ht="9" customHeight="1" x14ac:dyDescent="0.2">
      <c r="L6" s="334"/>
      <c r="M6" s="1513"/>
    </row>
    <row r="7" spans="1:13" x14ac:dyDescent="0.2">
      <c r="L7" s="334" t="s">
        <v>399</v>
      </c>
      <c r="M7" s="1838" t="s">
        <v>2460</v>
      </c>
    </row>
    <row r="8" spans="1:13" ht="9" customHeight="1" x14ac:dyDescent="0.2"/>
    <row r="9" spans="1:13" ht="20.25" customHeight="1" x14ac:dyDescent="0.2">
      <c r="A9" s="1997" t="s">
        <v>632</v>
      </c>
      <c r="B9" s="1997"/>
      <c r="C9" s="1997"/>
      <c r="D9" s="1997"/>
      <c r="E9" s="1997"/>
      <c r="F9" s="1997"/>
      <c r="G9" s="1997"/>
      <c r="H9" s="1997"/>
      <c r="I9" s="1997"/>
      <c r="J9" s="1997"/>
      <c r="K9" s="1997"/>
      <c r="L9" s="1997"/>
      <c r="M9" s="1997"/>
    </row>
    <row r="10" spans="1:13" ht="21" x14ac:dyDescent="0.2">
      <c r="A10" s="1997" t="s">
        <v>1828</v>
      </c>
      <c r="B10" s="1997"/>
      <c r="C10" s="1997"/>
      <c r="D10" s="1997"/>
      <c r="E10" s="1997"/>
      <c r="F10" s="1997"/>
      <c r="G10" s="1997"/>
      <c r="H10" s="1997"/>
      <c r="I10" s="1997"/>
      <c r="J10" s="1997"/>
      <c r="K10" s="1997"/>
      <c r="L10" s="1997"/>
      <c r="M10" s="1997"/>
    </row>
    <row r="11" spans="1:13" x14ac:dyDescent="0.2">
      <c r="H11" s="140"/>
    </row>
    <row r="12" spans="1:13" x14ac:dyDescent="0.2">
      <c r="E12" s="303" t="s">
        <v>1520</v>
      </c>
      <c r="F12" s="128" t="s">
        <v>151</v>
      </c>
      <c r="H12" s="140"/>
    </row>
    <row r="13" spans="1:13" ht="15" x14ac:dyDescent="0.25">
      <c r="C13" s="158"/>
      <c r="E13" s="303" t="s">
        <v>149</v>
      </c>
      <c r="F13" s="343">
        <v>2011</v>
      </c>
      <c r="G13" s="344"/>
    </row>
    <row r="15" spans="1:13" x14ac:dyDescent="0.2">
      <c r="D15" s="1998" t="s">
        <v>355</v>
      </c>
      <c r="E15" s="1999"/>
      <c r="F15" s="1999"/>
      <c r="G15" s="2000"/>
      <c r="I15" s="345"/>
      <c r="J15" s="346" t="s">
        <v>356</v>
      </c>
      <c r="K15" s="346"/>
      <c r="L15" s="347"/>
      <c r="M15" s="342"/>
    </row>
    <row r="16" spans="1:13" ht="25.5" customHeight="1" x14ac:dyDescent="0.2">
      <c r="A16" s="348" t="s">
        <v>1829</v>
      </c>
      <c r="B16" s="348" t="s">
        <v>1831</v>
      </c>
      <c r="C16" s="349" t="s">
        <v>1832</v>
      </c>
      <c r="D16" s="348" t="s">
        <v>325</v>
      </c>
      <c r="E16" s="350" t="s">
        <v>1830</v>
      </c>
      <c r="F16" s="350" t="s">
        <v>353</v>
      </c>
      <c r="G16" s="348" t="s">
        <v>354</v>
      </c>
      <c r="H16" s="351"/>
      <c r="I16" s="352" t="s">
        <v>325</v>
      </c>
      <c r="J16" s="353" t="s">
        <v>326</v>
      </c>
      <c r="K16" s="353" t="s">
        <v>353</v>
      </c>
      <c r="L16" s="354" t="s">
        <v>354</v>
      </c>
      <c r="M16" s="348" t="s">
        <v>393</v>
      </c>
    </row>
    <row r="17" spans="1:13" ht="25.5" x14ac:dyDescent="0.2">
      <c r="A17" s="149">
        <v>12</v>
      </c>
      <c r="B17" s="1473">
        <v>1611</v>
      </c>
      <c r="C17" s="355" t="s">
        <v>475</v>
      </c>
      <c r="D17" s="356">
        <v>395061</v>
      </c>
      <c r="E17" s="356">
        <v>107668</v>
      </c>
      <c r="F17" s="356"/>
      <c r="G17" s="357">
        <f>D17+E17+F17</f>
        <v>502729</v>
      </c>
      <c r="H17" s="358"/>
      <c r="I17" s="359">
        <v>-352541</v>
      </c>
      <c r="J17" s="356">
        <f>-37469-1</f>
        <v>-37470</v>
      </c>
      <c r="K17" s="356"/>
      <c r="L17" s="357">
        <f>I17+J17+K17</f>
        <v>-390011</v>
      </c>
      <c r="M17" s="360">
        <f>G17+L17</f>
        <v>112718</v>
      </c>
    </row>
    <row r="18" spans="1:13" ht="25.5" x14ac:dyDescent="0.2">
      <c r="A18" s="149" t="s">
        <v>365</v>
      </c>
      <c r="B18" s="1473">
        <v>1612</v>
      </c>
      <c r="C18" s="355" t="s">
        <v>563</v>
      </c>
      <c r="D18" s="356"/>
      <c r="E18" s="356"/>
      <c r="F18" s="356"/>
      <c r="G18" s="357">
        <f>D18+E18+F18</f>
        <v>0</v>
      </c>
      <c r="H18" s="358"/>
      <c r="I18" s="359"/>
      <c r="J18" s="356"/>
      <c r="K18" s="356"/>
      <c r="L18" s="357">
        <f>I18+J18+K18</f>
        <v>0</v>
      </c>
      <c r="M18" s="360">
        <f>G18+L18</f>
        <v>0</v>
      </c>
    </row>
    <row r="19" spans="1:13" x14ac:dyDescent="0.2">
      <c r="A19" s="149" t="s">
        <v>357</v>
      </c>
      <c r="B19" s="361">
        <v>1805</v>
      </c>
      <c r="C19" s="362" t="s">
        <v>358</v>
      </c>
      <c r="D19" s="1601">
        <v>69883.360000000001</v>
      </c>
      <c r="E19" s="356"/>
      <c r="F19" s="356"/>
      <c r="G19" s="357">
        <f>D19+E19+F19</f>
        <v>69883.360000000001</v>
      </c>
      <c r="H19" s="358"/>
      <c r="I19" s="359">
        <v>0</v>
      </c>
      <c r="J19" s="356"/>
      <c r="K19" s="356"/>
      <c r="L19" s="357">
        <f>I19+J19+K19</f>
        <v>0</v>
      </c>
      <c r="M19" s="360">
        <f>G19+L19</f>
        <v>69883.360000000001</v>
      </c>
    </row>
    <row r="20" spans="1:13" x14ac:dyDescent="0.2">
      <c r="A20" s="149">
        <v>47</v>
      </c>
      <c r="B20" s="361">
        <v>1808</v>
      </c>
      <c r="C20" s="363" t="s">
        <v>359</v>
      </c>
      <c r="D20" s="1601">
        <v>0</v>
      </c>
      <c r="E20" s="356"/>
      <c r="F20" s="356"/>
      <c r="G20" s="357">
        <f t="shared" ref="G20:G59" si="0">D20+E20+F20</f>
        <v>0</v>
      </c>
      <c r="H20" s="358"/>
      <c r="I20" s="359"/>
      <c r="J20" s="356"/>
      <c r="K20" s="356"/>
      <c r="L20" s="357">
        <f t="shared" ref="L20:L56" si="1">I20+J20+K20</f>
        <v>0</v>
      </c>
      <c r="M20" s="360">
        <f t="shared" ref="M20:M59" si="2">G20+L20</f>
        <v>0</v>
      </c>
    </row>
    <row r="21" spans="1:13" x14ac:dyDescent="0.2">
      <c r="A21" s="149">
        <v>13</v>
      </c>
      <c r="B21" s="361">
        <v>1810</v>
      </c>
      <c r="C21" s="363" t="s">
        <v>392</v>
      </c>
      <c r="D21" s="1601">
        <v>0</v>
      </c>
      <c r="E21" s="356"/>
      <c r="F21" s="356"/>
      <c r="G21" s="357">
        <f t="shared" si="0"/>
        <v>0</v>
      </c>
      <c r="H21" s="358"/>
      <c r="I21" s="359"/>
      <c r="J21" s="356"/>
      <c r="K21" s="356"/>
      <c r="L21" s="357">
        <f t="shared" si="1"/>
        <v>0</v>
      </c>
      <c r="M21" s="360">
        <f t="shared" si="2"/>
        <v>0</v>
      </c>
    </row>
    <row r="22" spans="1:13" x14ac:dyDescent="0.2">
      <c r="A22" s="149">
        <v>47</v>
      </c>
      <c r="B22" s="361">
        <v>1815</v>
      </c>
      <c r="C22" s="363" t="s">
        <v>360</v>
      </c>
      <c r="D22" s="1601">
        <v>0</v>
      </c>
      <c r="E22" s="356"/>
      <c r="F22" s="356"/>
      <c r="G22" s="357">
        <f t="shared" si="0"/>
        <v>0</v>
      </c>
      <c r="H22" s="358"/>
      <c r="I22" s="359"/>
      <c r="J22" s="356"/>
      <c r="K22" s="356"/>
      <c r="L22" s="357">
        <f t="shared" si="1"/>
        <v>0</v>
      </c>
      <c r="M22" s="360">
        <f t="shared" si="2"/>
        <v>0</v>
      </c>
    </row>
    <row r="23" spans="1:13" x14ac:dyDescent="0.2">
      <c r="A23" s="149">
        <v>47</v>
      </c>
      <c r="B23" s="361">
        <v>1820</v>
      </c>
      <c r="C23" s="355" t="s">
        <v>287</v>
      </c>
      <c r="D23" s="1601">
        <v>1516191.65</v>
      </c>
      <c r="E23" s="356"/>
      <c r="F23" s="356"/>
      <c r="G23" s="357">
        <f t="shared" si="0"/>
        <v>1516191.65</v>
      </c>
      <c r="H23" s="358"/>
      <c r="I23" s="359">
        <f>-1357719-1</f>
        <v>-1357720</v>
      </c>
      <c r="J23" s="356">
        <v>-23011</v>
      </c>
      <c r="K23" s="356"/>
      <c r="L23" s="357">
        <f t="shared" si="1"/>
        <v>-1380731</v>
      </c>
      <c r="M23" s="360">
        <f t="shared" si="2"/>
        <v>135460.64999999991</v>
      </c>
    </row>
    <row r="24" spans="1:13" x14ac:dyDescent="0.2">
      <c r="A24" s="149">
        <v>47</v>
      </c>
      <c r="B24" s="361">
        <v>1825</v>
      </c>
      <c r="C24" s="363" t="s">
        <v>361</v>
      </c>
      <c r="D24" s="1601">
        <v>0</v>
      </c>
      <c r="E24" s="356"/>
      <c r="F24" s="356"/>
      <c r="G24" s="357">
        <f t="shared" si="0"/>
        <v>0</v>
      </c>
      <c r="H24" s="358"/>
      <c r="I24" s="359"/>
      <c r="J24" s="356"/>
      <c r="K24" s="356"/>
      <c r="L24" s="357">
        <f t="shared" si="1"/>
        <v>0</v>
      </c>
      <c r="M24" s="360">
        <f t="shared" si="2"/>
        <v>0</v>
      </c>
    </row>
    <row r="25" spans="1:13" x14ac:dyDescent="0.2">
      <c r="A25" s="149">
        <v>47</v>
      </c>
      <c r="B25" s="361">
        <v>1830</v>
      </c>
      <c r="C25" s="363" t="s">
        <v>362</v>
      </c>
      <c r="D25" s="1601">
        <v>20306658.210000001</v>
      </c>
      <c r="E25" s="356">
        <f>2410809-1</f>
        <v>2410808</v>
      </c>
      <c r="F25" s="356"/>
      <c r="G25" s="357">
        <f t="shared" si="0"/>
        <v>22717466.210000001</v>
      </c>
      <c r="H25" s="358"/>
      <c r="I25" s="359">
        <v>-8119640</v>
      </c>
      <c r="J25" s="356">
        <v>-720094</v>
      </c>
      <c r="K25" s="356"/>
      <c r="L25" s="357">
        <f t="shared" si="1"/>
        <v>-8839734</v>
      </c>
      <c r="M25" s="360">
        <f t="shared" si="2"/>
        <v>13877732.210000001</v>
      </c>
    </row>
    <row r="26" spans="1:13" x14ac:dyDescent="0.2">
      <c r="A26" s="149">
        <v>47</v>
      </c>
      <c r="B26" s="361">
        <v>1835</v>
      </c>
      <c r="C26" s="363" t="s">
        <v>288</v>
      </c>
      <c r="D26" s="1601">
        <v>18698729.809999995</v>
      </c>
      <c r="E26" s="356">
        <v>832202</v>
      </c>
      <c r="F26" s="356"/>
      <c r="G26" s="357">
        <f t="shared" si="0"/>
        <v>19530931.809999995</v>
      </c>
      <c r="H26" s="358"/>
      <c r="I26" s="359">
        <v>-10743410</v>
      </c>
      <c r="J26" s="356">
        <v>-625677</v>
      </c>
      <c r="K26" s="356"/>
      <c r="L26" s="357">
        <f t="shared" si="1"/>
        <v>-11369087</v>
      </c>
      <c r="M26" s="360">
        <f t="shared" si="2"/>
        <v>8161844.8099999949</v>
      </c>
    </row>
    <row r="27" spans="1:13" x14ac:dyDescent="0.2">
      <c r="A27" s="149">
        <v>47</v>
      </c>
      <c r="B27" s="361">
        <v>1840</v>
      </c>
      <c r="C27" s="363" t="s">
        <v>289</v>
      </c>
      <c r="D27" s="1601">
        <v>19096081.84</v>
      </c>
      <c r="E27" s="356">
        <v>1663588</v>
      </c>
      <c r="F27" s="356"/>
      <c r="G27" s="357">
        <f t="shared" si="0"/>
        <v>20759669.84</v>
      </c>
      <c r="H27" s="358"/>
      <c r="I27" s="359">
        <v>-5686851</v>
      </c>
      <c r="J27" s="356">
        <v>-802272</v>
      </c>
      <c r="K27" s="356"/>
      <c r="L27" s="357">
        <f t="shared" si="1"/>
        <v>-6489123</v>
      </c>
      <c r="M27" s="360">
        <f t="shared" si="2"/>
        <v>14270546.84</v>
      </c>
    </row>
    <row r="28" spans="1:13" x14ac:dyDescent="0.2">
      <c r="A28" s="149">
        <v>47</v>
      </c>
      <c r="B28" s="361">
        <v>1845</v>
      </c>
      <c r="C28" s="363" t="s">
        <v>290</v>
      </c>
      <c r="D28" s="1601">
        <v>14984674.970000001</v>
      </c>
      <c r="E28" s="356">
        <v>719319</v>
      </c>
      <c r="F28" s="356"/>
      <c r="G28" s="357">
        <f t="shared" si="0"/>
        <v>15703993.970000001</v>
      </c>
      <c r="H28" s="358"/>
      <c r="I28" s="359">
        <v>-5583602</v>
      </c>
      <c r="J28" s="356">
        <v>-596496</v>
      </c>
      <c r="K28" s="356"/>
      <c r="L28" s="357">
        <f t="shared" si="1"/>
        <v>-6180098</v>
      </c>
      <c r="M28" s="360">
        <f t="shared" si="2"/>
        <v>9523895.9700000007</v>
      </c>
    </row>
    <row r="29" spans="1:13" x14ac:dyDescent="0.2">
      <c r="A29" s="149">
        <v>47</v>
      </c>
      <c r="B29" s="361">
        <v>1850</v>
      </c>
      <c r="C29" s="363" t="s">
        <v>363</v>
      </c>
      <c r="D29" s="1601">
        <v>31835814.070000004</v>
      </c>
      <c r="E29" s="356">
        <v>1750397</v>
      </c>
      <c r="F29" s="356"/>
      <c r="G29" s="357">
        <f t="shared" si="0"/>
        <v>33586211.070000008</v>
      </c>
      <c r="H29" s="358"/>
      <c r="I29" s="359">
        <v>-13994371</v>
      </c>
      <c r="J29" s="356">
        <v>-1349137</v>
      </c>
      <c r="K29" s="356"/>
      <c r="L29" s="357">
        <f t="shared" si="1"/>
        <v>-15343508</v>
      </c>
      <c r="M29" s="360">
        <f t="shared" si="2"/>
        <v>18242703.070000008</v>
      </c>
    </row>
    <row r="30" spans="1:13" x14ac:dyDescent="0.2">
      <c r="A30" s="149">
        <v>47</v>
      </c>
      <c r="B30" s="361">
        <v>1855</v>
      </c>
      <c r="C30" s="363" t="s">
        <v>291</v>
      </c>
      <c r="D30" s="1601">
        <v>10897902.449999999</v>
      </c>
      <c r="E30" s="356">
        <v>1031285</v>
      </c>
      <c r="F30" s="356"/>
      <c r="G30" s="357">
        <f t="shared" si="0"/>
        <v>11929187.449999999</v>
      </c>
      <c r="H30" s="358"/>
      <c r="I30" s="359">
        <v>-2954020</v>
      </c>
      <c r="J30" s="356">
        <v>-263410</v>
      </c>
      <c r="K30" s="356"/>
      <c r="L30" s="357">
        <f t="shared" si="1"/>
        <v>-3217430</v>
      </c>
      <c r="M30" s="360">
        <f t="shared" si="2"/>
        <v>8711757.4499999993</v>
      </c>
    </row>
    <row r="31" spans="1:13" x14ac:dyDescent="0.2">
      <c r="A31" s="149">
        <v>47</v>
      </c>
      <c r="B31" s="361">
        <v>1860</v>
      </c>
      <c r="C31" s="363" t="s">
        <v>364</v>
      </c>
      <c r="D31" s="1601"/>
      <c r="E31" s="356"/>
      <c r="F31" s="356"/>
      <c r="G31" s="357">
        <f t="shared" si="0"/>
        <v>0</v>
      </c>
      <c r="H31" s="358"/>
      <c r="I31" s="359"/>
      <c r="J31" s="356"/>
      <c r="K31" s="356"/>
      <c r="L31" s="357">
        <f t="shared" si="1"/>
        <v>0</v>
      </c>
      <c r="M31" s="360">
        <f t="shared" si="2"/>
        <v>0</v>
      </c>
    </row>
    <row r="32" spans="1:13" x14ac:dyDescent="0.2">
      <c r="A32" s="149">
        <v>47</v>
      </c>
      <c r="B32" s="361">
        <v>1860</v>
      </c>
      <c r="C32" s="362" t="s">
        <v>292</v>
      </c>
      <c r="D32" s="1601">
        <v>9477576.7199999988</v>
      </c>
      <c r="E32" s="356">
        <v>344003</v>
      </c>
      <c r="F32" s="356"/>
      <c r="G32" s="357">
        <f t="shared" si="0"/>
        <v>9821579.7199999988</v>
      </c>
      <c r="H32" s="358"/>
      <c r="I32" s="359">
        <v>-2885421</v>
      </c>
      <c r="J32" s="356">
        <v>-559549</v>
      </c>
      <c r="K32" s="356"/>
      <c r="L32" s="357">
        <f t="shared" si="1"/>
        <v>-3444970</v>
      </c>
      <c r="M32" s="360">
        <f t="shared" si="2"/>
        <v>6376609.7199999988</v>
      </c>
    </row>
    <row r="33" spans="1:13" x14ac:dyDescent="0.2">
      <c r="A33" s="149" t="s">
        <v>357</v>
      </c>
      <c r="B33" s="361">
        <v>1905</v>
      </c>
      <c r="C33" s="362" t="s">
        <v>358</v>
      </c>
      <c r="D33" s="1601">
        <v>1136810.7649999999</v>
      </c>
      <c r="E33" s="356">
        <v>5241</v>
      </c>
      <c r="F33" s="356"/>
      <c r="G33" s="357">
        <f t="shared" si="0"/>
        <v>1142051.7649999999</v>
      </c>
      <c r="H33" s="358"/>
      <c r="I33" s="359">
        <v>0</v>
      </c>
      <c r="J33" s="356"/>
      <c r="K33" s="356"/>
      <c r="L33" s="357">
        <f t="shared" si="1"/>
        <v>0</v>
      </c>
      <c r="M33" s="360">
        <f t="shared" si="2"/>
        <v>1142051.7649999999</v>
      </c>
    </row>
    <row r="34" spans="1:13" x14ac:dyDescent="0.2">
      <c r="A34" s="149">
        <v>47</v>
      </c>
      <c r="B34" s="361">
        <v>1908</v>
      </c>
      <c r="C34" s="363" t="s">
        <v>366</v>
      </c>
      <c r="D34" s="1601"/>
      <c r="E34" s="356"/>
      <c r="F34" s="356"/>
      <c r="G34" s="357">
        <f t="shared" si="0"/>
        <v>0</v>
      </c>
      <c r="H34" s="358"/>
      <c r="I34" s="359"/>
      <c r="J34" s="356"/>
      <c r="K34" s="356"/>
      <c r="L34" s="357">
        <f t="shared" si="1"/>
        <v>0</v>
      </c>
      <c r="M34" s="360">
        <f t="shared" si="2"/>
        <v>0</v>
      </c>
    </row>
    <row r="35" spans="1:13" x14ac:dyDescent="0.2">
      <c r="A35" s="149">
        <v>13</v>
      </c>
      <c r="B35" s="361">
        <v>1910</v>
      </c>
      <c r="C35" s="363" t="s">
        <v>392</v>
      </c>
      <c r="D35" s="1601">
        <v>377009</v>
      </c>
      <c r="E35" s="356"/>
      <c r="F35" s="356"/>
      <c r="G35" s="357">
        <f t="shared" si="0"/>
        <v>377009</v>
      </c>
      <c r="H35" s="358"/>
      <c r="I35" s="359">
        <v>-124352</v>
      </c>
      <c r="J35" s="356">
        <v>-80211</v>
      </c>
      <c r="K35" s="356"/>
      <c r="L35" s="357">
        <f t="shared" si="1"/>
        <v>-204563</v>
      </c>
      <c r="M35" s="360">
        <f t="shared" si="2"/>
        <v>172446</v>
      </c>
    </row>
    <row r="36" spans="1:13" x14ac:dyDescent="0.2">
      <c r="A36" s="149">
        <v>8</v>
      </c>
      <c r="B36" s="361">
        <v>1915</v>
      </c>
      <c r="C36" s="363" t="s">
        <v>293</v>
      </c>
      <c r="D36" s="1601">
        <v>627106</v>
      </c>
      <c r="E36" s="356">
        <v>84983</v>
      </c>
      <c r="F36" s="356"/>
      <c r="G36" s="357">
        <f t="shared" si="0"/>
        <v>712089</v>
      </c>
      <c r="H36" s="358"/>
      <c r="I36" s="359">
        <v>-576085</v>
      </c>
      <c r="J36" s="356">
        <v>-12585</v>
      </c>
      <c r="K36" s="356"/>
      <c r="L36" s="357">
        <f t="shared" si="1"/>
        <v>-588670</v>
      </c>
      <c r="M36" s="360">
        <f t="shared" si="2"/>
        <v>123419</v>
      </c>
    </row>
    <row r="37" spans="1:13" x14ac:dyDescent="0.2">
      <c r="A37" s="149">
        <v>8</v>
      </c>
      <c r="B37" s="361">
        <v>1915</v>
      </c>
      <c r="C37" s="363" t="s">
        <v>294</v>
      </c>
      <c r="D37" s="1601"/>
      <c r="E37" s="356"/>
      <c r="F37" s="356"/>
      <c r="G37" s="357">
        <f t="shared" si="0"/>
        <v>0</v>
      </c>
      <c r="H37" s="358"/>
      <c r="I37" s="359"/>
      <c r="J37" s="356"/>
      <c r="K37" s="356"/>
      <c r="L37" s="357">
        <f t="shared" si="1"/>
        <v>0</v>
      </c>
      <c r="M37" s="360">
        <f t="shared" si="2"/>
        <v>0</v>
      </c>
    </row>
    <row r="38" spans="1:13" x14ac:dyDescent="0.2">
      <c r="A38" s="149">
        <v>10</v>
      </c>
      <c r="B38" s="361">
        <v>1920</v>
      </c>
      <c r="C38" s="363" t="s">
        <v>295</v>
      </c>
      <c r="D38" s="1601">
        <v>1547034</v>
      </c>
      <c r="E38" s="356">
        <v>53049</v>
      </c>
      <c r="F38" s="356"/>
      <c r="G38" s="357">
        <f t="shared" si="0"/>
        <v>1600083</v>
      </c>
      <c r="H38" s="358"/>
      <c r="I38" s="359">
        <v>-1381376</v>
      </c>
      <c r="J38" s="356">
        <v>-51477</v>
      </c>
      <c r="K38" s="356"/>
      <c r="L38" s="357">
        <f t="shared" si="1"/>
        <v>-1432853</v>
      </c>
      <c r="M38" s="360">
        <f t="shared" si="2"/>
        <v>167230</v>
      </c>
    </row>
    <row r="39" spans="1:13" ht="25.5" x14ac:dyDescent="0.2">
      <c r="A39" s="149">
        <v>45</v>
      </c>
      <c r="B39" s="364">
        <v>1920</v>
      </c>
      <c r="C39" s="355" t="s">
        <v>297</v>
      </c>
      <c r="D39" s="1601">
        <v>0</v>
      </c>
      <c r="E39" s="356"/>
      <c r="F39" s="356"/>
      <c r="G39" s="357">
        <f t="shared" si="0"/>
        <v>0</v>
      </c>
      <c r="H39" s="358"/>
      <c r="I39" s="359"/>
      <c r="J39" s="356"/>
      <c r="K39" s="356"/>
      <c r="L39" s="357">
        <f t="shared" si="1"/>
        <v>0</v>
      </c>
      <c r="M39" s="360">
        <f t="shared" si="2"/>
        <v>0</v>
      </c>
    </row>
    <row r="40" spans="1:13" ht="25.5" x14ac:dyDescent="0.2">
      <c r="A40" s="149">
        <v>45.1</v>
      </c>
      <c r="B40" s="364">
        <v>1920</v>
      </c>
      <c r="C40" s="355" t="s">
        <v>296</v>
      </c>
      <c r="D40" s="1601">
        <v>0</v>
      </c>
      <c r="E40" s="356"/>
      <c r="F40" s="356"/>
      <c r="G40" s="357">
        <f t="shared" si="0"/>
        <v>0</v>
      </c>
      <c r="H40" s="358"/>
      <c r="I40" s="359"/>
      <c r="J40" s="356"/>
      <c r="K40" s="356"/>
      <c r="L40" s="357">
        <f t="shared" si="1"/>
        <v>0</v>
      </c>
      <c r="M40" s="360">
        <f t="shared" si="2"/>
        <v>0</v>
      </c>
    </row>
    <row r="41" spans="1:13" x14ac:dyDescent="0.2">
      <c r="A41" s="149">
        <v>10</v>
      </c>
      <c r="B41" s="1473">
        <v>1930</v>
      </c>
      <c r="C41" s="363" t="s">
        <v>379</v>
      </c>
      <c r="D41" s="1601">
        <v>1884866.1700000002</v>
      </c>
      <c r="E41" s="356">
        <v>131195</v>
      </c>
      <c r="F41" s="356">
        <v>-31600</v>
      </c>
      <c r="G41" s="357">
        <f t="shared" si="0"/>
        <v>1984461.1700000002</v>
      </c>
      <c r="H41" s="358"/>
      <c r="I41" s="359">
        <v>-1307171</v>
      </c>
      <c r="J41" s="356">
        <v>-144636</v>
      </c>
      <c r="K41" s="356">
        <v>31600</v>
      </c>
      <c r="L41" s="357">
        <f t="shared" si="1"/>
        <v>-1420207</v>
      </c>
      <c r="M41" s="360">
        <f t="shared" si="2"/>
        <v>564254.17000000016</v>
      </c>
    </row>
    <row r="42" spans="1:13" x14ac:dyDescent="0.2">
      <c r="A42" s="149">
        <v>8</v>
      </c>
      <c r="B42" s="1473">
        <v>1935</v>
      </c>
      <c r="C42" s="363" t="s">
        <v>380</v>
      </c>
      <c r="D42" s="1601">
        <v>179526.32</v>
      </c>
      <c r="E42" s="356">
        <v>45448</v>
      </c>
      <c r="F42" s="356"/>
      <c r="G42" s="357">
        <f t="shared" si="0"/>
        <v>224974.32</v>
      </c>
      <c r="H42" s="358"/>
      <c r="I42" s="359">
        <v>-156815</v>
      </c>
      <c r="J42" s="356">
        <v>-9089</v>
      </c>
      <c r="K42" s="356"/>
      <c r="L42" s="357">
        <f t="shared" si="1"/>
        <v>-165904</v>
      </c>
      <c r="M42" s="360">
        <f t="shared" si="2"/>
        <v>59070.320000000007</v>
      </c>
    </row>
    <row r="43" spans="1:13" x14ac:dyDescent="0.2">
      <c r="A43" s="149">
        <v>8</v>
      </c>
      <c r="B43" s="1473">
        <v>1940</v>
      </c>
      <c r="C43" s="363" t="s">
        <v>381</v>
      </c>
      <c r="D43" s="1601">
        <v>389001.39999999997</v>
      </c>
      <c r="E43" s="356">
        <v>4447</v>
      </c>
      <c r="F43" s="356"/>
      <c r="G43" s="357">
        <f t="shared" si="0"/>
        <v>393448.39999999997</v>
      </c>
      <c r="H43" s="358"/>
      <c r="I43" s="359">
        <v>-366216</v>
      </c>
      <c r="J43" s="356">
        <v>-5172</v>
      </c>
      <c r="K43" s="356"/>
      <c r="L43" s="357">
        <f t="shared" si="1"/>
        <v>-371388</v>
      </c>
      <c r="M43" s="360">
        <f t="shared" si="2"/>
        <v>22060.399999999965</v>
      </c>
    </row>
    <row r="44" spans="1:13" x14ac:dyDescent="0.2">
      <c r="A44" s="149">
        <v>8</v>
      </c>
      <c r="B44" s="1473">
        <v>1945</v>
      </c>
      <c r="C44" s="363" t="s">
        <v>382</v>
      </c>
      <c r="D44" s="1601">
        <v>35689.83</v>
      </c>
      <c r="E44" s="356">
        <v>53564</v>
      </c>
      <c r="F44" s="356"/>
      <c r="G44" s="357">
        <f t="shared" si="0"/>
        <v>89253.83</v>
      </c>
      <c r="H44" s="358"/>
      <c r="I44" s="359">
        <v>-17166</v>
      </c>
      <c r="J44" s="356">
        <v>-6048</v>
      </c>
      <c r="K44" s="356"/>
      <c r="L44" s="357">
        <f t="shared" si="1"/>
        <v>-23214</v>
      </c>
      <c r="M44" s="360">
        <f t="shared" si="2"/>
        <v>66039.83</v>
      </c>
    </row>
    <row r="45" spans="1:13" x14ac:dyDescent="0.2">
      <c r="A45" s="149">
        <v>8</v>
      </c>
      <c r="B45" s="1473">
        <v>1950</v>
      </c>
      <c r="C45" s="363" t="s">
        <v>298</v>
      </c>
      <c r="D45" s="1601">
        <v>0</v>
      </c>
      <c r="E45" s="356"/>
      <c r="F45" s="356"/>
      <c r="G45" s="357">
        <f t="shared" si="0"/>
        <v>0</v>
      </c>
      <c r="H45" s="358"/>
      <c r="I45" s="365"/>
      <c r="J45" s="356"/>
      <c r="K45" s="356"/>
      <c r="L45" s="357">
        <f t="shared" si="1"/>
        <v>0</v>
      </c>
      <c r="M45" s="360">
        <f t="shared" si="2"/>
        <v>0</v>
      </c>
    </row>
    <row r="46" spans="1:13" x14ac:dyDescent="0.2">
      <c r="A46" s="149">
        <v>8</v>
      </c>
      <c r="B46" s="1473">
        <v>1955</v>
      </c>
      <c r="C46" s="363" t="s">
        <v>383</v>
      </c>
      <c r="D46" s="1601">
        <v>206046.82</v>
      </c>
      <c r="E46" s="356">
        <v>14336</v>
      </c>
      <c r="F46" s="356"/>
      <c r="G46" s="357">
        <f t="shared" si="0"/>
        <v>220382.82</v>
      </c>
      <c r="H46" s="358"/>
      <c r="I46" s="359">
        <v>-156867</v>
      </c>
      <c r="J46" s="356">
        <v>-9424</v>
      </c>
      <c r="K46" s="356"/>
      <c r="L46" s="357">
        <f t="shared" si="1"/>
        <v>-166291</v>
      </c>
      <c r="M46" s="360">
        <f t="shared" si="2"/>
        <v>54091.820000000007</v>
      </c>
    </row>
    <row r="47" spans="1:13" x14ac:dyDescent="0.2">
      <c r="A47" s="366">
        <v>8</v>
      </c>
      <c r="B47" s="364">
        <v>1955</v>
      </c>
      <c r="C47" s="367" t="s">
        <v>299</v>
      </c>
      <c r="D47" s="1601">
        <v>0</v>
      </c>
      <c r="E47" s="356"/>
      <c r="F47" s="356"/>
      <c r="G47" s="357">
        <f t="shared" si="0"/>
        <v>0</v>
      </c>
      <c r="H47" s="358"/>
      <c r="I47" s="359"/>
      <c r="J47" s="356"/>
      <c r="K47" s="356"/>
      <c r="L47" s="357">
        <f t="shared" si="1"/>
        <v>0</v>
      </c>
      <c r="M47" s="360">
        <f t="shared" si="2"/>
        <v>0</v>
      </c>
    </row>
    <row r="48" spans="1:13" x14ac:dyDescent="0.2">
      <c r="A48" s="366">
        <v>8</v>
      </c>
      <c r="B48" s="368">
        <v>1960</v>
      </c>
      <c r="C48" s="355" t="s">
        <v>300</v>
      </c>
      <c r="D48" s="1601">
        <v>0</v>
      </c>
      <c r="E48" s="356"/>
      <c r="F48" s="356"/>
      <c r="G48" s="357">
        <f t="shared" si="0"/>
        <v>0</v>
      </c>
      <c r="H48" s="358"/>
      <c r="I48" s="359"/>
      <c r="J48" s="356"/>
      <c r="K48" s="356"/>
      <c r="L48" s="357">
        <f t="shared" si="1"/>
        <v>0</v>
      </c>
      <c r="M48" s="360">
        <f t="shared" si="2"/>
        <v>0</v>
      </c>
    </row>
    <row r="49" spans="1:13" ht="25.5" x14ac:dyDescent="0.2">
      <c r="A49" s="369">
        <v>47</v>
      </c>
      <c r="B49" s="368">
        <v>1970</v>
      </c>
      <c r="C49" s="363" t="s">
        <v>649</v>
      </c>
      <c r="D49" s="1601">
        <v>0</v>
      </c>
      <c r="E49" s="356"/>
      <c r="F49" s="356"/>
      <c r="G49" s="357">
        <f t="shared" si="0"/>
        <v>0</v>
      </c>
      <c r="H49" s="358"/>
      <c r="I49" s="359"/>
      <c r="J49" s="356"/>
      <c r="K49" s="356"/>
      <c r="L49" s="357">
        <f t="shared" si="1"/>
        <v>0</v>
      </c>
      <c r="M49" s="360">
        <f t="shared" si="2"/>
        <v>0</v>
      </c>
    </row>
    <row r="50" spans="1:13" ht="25.5" x14ac:dyDescent="0.2">
      <c r="A50" s="149">
        <v>47</v>
      </c>
      <c r="B50" s="1473">
        <v>1975</v>
      </c>
      <c r="C50" s="363" t="s">
        <v>384</v>
      </c>
      <c r="D50" s="1601"/>
      <c r="E50" s="356"/>
      <c r="F50" s="356"/>
      <c r="G50" s="357">
        <f t="shared" si="0"/>
        <v>0</v>
      </c>
      <c r="H50" s="358"/>
      <c r="I50" s="359"/>
      <c r="J50" s="356"/>
      <c r="K50" s="356"/>
      <c r="L50" s="357">
        <f t="shared" si="1"/>
        <v>0</v>
      </c>
      <c r="M50" s="360">
        <f t="shared" si="2"/>
        <v>0</v>
      </c>
    </row>
    <row r="51" spans="1:13" x14ac:dyDescent="0.2">
      <c r="A51" s="149">
        <v>47</v>
      </c>
      <c r="B51" s="1473">
        <v>1980</v>
      </c>
      <c r="C51" s="363" t="s">
        <v>385</v>
      </c>
      <c r="D51" s="1601">
        <v>41545</v>
      </c>
      <c r="E51" s="356"/>
      <c r="F51" s="356"/>
      <c r="G51" s="357">
        <f t="shared" si="0"/>
        <v>41545</v>
      </c>
      <c r="H51" s="358"/>
      <c r="I51" s="359">
        <v>-41545</v>
      </c>
      <c r="J51" s="356"/>
      <c r="K51" s="356"/>
      <c r="L51" s="357">
        <f t="shared" si="1"/>
        <v>-41545</v>
      </c>
      <c r="M51" s="360">
        <f t="shared" si="2"/>
        <v>0</v>
      </c>
    </row>
    <row r="52" spans="1:13" x14ac:dyDescent="0.2">
      <c r="A52" s="149">
        <v>47</v>
      </c>
      <c r="B52" s="1473">
        <v>1985</v>
      </c>
      <c r="C52" s="363" t="s">
        <v>386</v>
      </c>
      <c r="D52" s="1601">
        <v>0</v>
      </c>
      <c r="E52" s="356"/>
      <c r="F52" s="356"/>
      <c r="G52" s="357">
        <f t="shared" si="0"/>
        <v>0</v>
      </c>
      <c r="H52" s="358"/>
      <c r="I52" s="359"/>
      <c r="J52" s="356"/>
      <c r="K52" s="356"/>
      <c r="L52" s="357">
        <f t="shared" si="1"/>
        <v>0</v>
      </c>
      <c r="M52" s="360">
        <f t="shared" si="2"/>
        <v>0</v>
      </c>
    </row>
    <row r="53" spans="1:13" x14ac:dyDescent="0.2">
      <c r="A53" s="369">
        <v>47</v>
      </c>
      <c r="B53" s="1473">
        <v>1990</v>
      </c>
      <c r="C53" s="1475" t="s">
        <v>650</v>
      </c>
      <c r="D53" s="1601">
        <v>68775.11</v>
      </c>
      <c r="E53" s="356"/>
      <c r="F53" s="356"/>
      <c r="G53" s="357">
        <f t="shared" si="0"/>
        <v>68775.11</v>
      </c>
      <c r="H53" s="358"/>
      <c r="I53" s="359">
        <v>-3437</v>
      </c>
      <c r="J53" s="356">
        <v>-6878</v>
      </c>
      <c r="K53" s="356"/>
      <c r="L53" s="357">
        <f t="shared" si="1"/>
        <v>-10315</v>
      </c>
      <c r="M53" s="360">
        <f t="shared" si="2"/>
        <v>58460.11</v>
      </c>
    </row>
    <row r="54" spans="1:13" x14ac:dyDescent="0.2">
      <c r="A54" s="149">
        <v>47</v>
      </c>
      <c r="B54" s="1473">
        <v>1995</v>
      </c>
      <c r="C54" s="363" t="s">
        <v>387</v>
      </c>
      <c r="D54" s="356">
        <v>-38175515.840000004</v>
      </c>
      <c r="E54" s="356">
        <v>-1927637</v>
      </c>
      <c r="F54" s="356"/>
      <c r="G54" s="357">
        <f t="shared" si="0"/>
        <v>-40103152.840000004</v>
      </c>
      <c r="H54" s="358"/>
      <c r="I54" s="359">
        <v>8119419</v>
      </c>
      <c r="J54" s="356">
        <v>1550573</v>
      </c>
      <c r="K54" s="356"/>
      <c r="L54" s="357">
        <f t="shared" si="1"/>
        <v>9669992</v>
      </c>
      <c r="M54" s="360">
        <f t="shared" si="2"/>
        <v>-30433160.840000004</v>
      </c>
    </row>
    <row r="55" spans="1:13" ht="14.25" x14ac:dyDescent="0.2">
      <c r="A55" s="149">
        <v>47</v>
      </c>
      <c r="B55" s="1473">
        <v>2440</v>
      </c>
      <c r="C55" s="363" t="s">
        <v>1638</v>
      </c>
      <c r="D55" s="356"/>
      <c r="E55" s="356"/>
      <c r="F55" s="356"/>
      <c r="G55" s="357"/>
      <c r="I55" s="359"/>
      <c r="J55" s="356"/>
      <c r="K55" s="356"/>
      <c r="L55" s="357"/>
      <c r="M55" s="360"/>
    </row>
    <row r="56" spans="1:13" x14ac:dyDescent="0.2">
      <c r="A56" s="370"/>
      <c r="B56" s="370"/>
      <c r="C56" s="371"/>
      <c r="D56" s="372"/>
      <c r="E56" s="372"/>
      <c r="F56" s="372"/>
      <c r="G56" s="357">
        <f t="shared" si="0"/>
        <v>0</v>
      </c>
      <c r="I56" s="372"/>
      <c r="J56" s="372"/>
      <c r="K56" s="372"/>
      <c r="L56" s="357">
        <f t="shared" si="1"/>
        <v>0</v>
      </c>
      <c r="M56" s="360">
        <f t="shared" si="2"/>
        <v>0</v>
      </c>
    </row>
    <row r="57" spans="1:13" x14ac:dyDescent="0.2">
      <c r="A57" s="370"/>
      <c r="B57" s="370"/>
      <c r="C57" s="373" t="s">
        <v>268</v>
      </c>
      <c r="D57" s="374">
        <f>SUM(D17:D56)</f>
        <v>95596468.654999986</v>
      </c>
      <c r="E57" s="374">
        <f>SUM(E17:E56)</f>
        <v>7323896</v>
      </c>
      <c r="F57" s="374">
        <f>SUM(F17:F56)</f>
        <v>-31600</v>
      </c>
      <c r="G57" s="374">
        <f>SUM(G17:G56)</f>
        <v>102888764.65499997</v>
      </c>
      <c r="H57" s="374"/>
      <c r="I57" s="374">
        <f>SUM(I17:I56)</f>
        <v>-47689187</v>
      </c>
      <c r="J57" s="374">
        <f>SUM(J17:J56)</f>
        <v>-3752063</v>
      </c>
      <c r="K57" s="374">
        <f>SUM(K17:K56)</f>
        <v>31600</v>
      </c>
      <c r="L57" s="374">
        <f>SUM(L17:L56)</f>
        <v>-51409650</v>
      </c>
      <c r="M57" s="374">
        <f>SUM(M17:M56)</f>
        <v>51479114.654999986</v>
      </c>
    </row>
    <row r="58" spans="1:13" ht="37.5" x14ac:dyDescent="0.2">
      <c r="A58" s="370"/>
      <c r="B58" s="370"/>
      <c r="C58" s="375" t="s">
        <v>775</v>
      </c>
      <c r="D58" s="372"/>
      <c r="E58" s="372"/>
      <c r="F58" s="372"/>
      <c r="G58" s="357">
        <f t="shared" ref="G58" si="3">D58+E58+F58</f>
        <v>0</v>
      </c>
      <c r="I58" s="372"/>
      <c r="J58" s="372"/>
      <c r="K58" s="372"/>
      <c r="L58" s="357">
        <f t="shared" ref="L58:L59" si="4">I58+J58+K58</f>
        <v>0</v>
      </c>
      <c r="M58" s="360">
        <f t="shared" ref="M58" si="5">G58+L58</f>
        <v>0</v>
      </c>
    </row>
    <row r="59" spans="1:13" ht="25.5" x14ac:dyDescent="0.2">
      <c r="A59" s="370"/>
      <c r="B59" s="370"/>
      <c r="C59" s="376" t="s">
        <v>774</v>
      </c>
      <c r="D59" s="372"/>
      <c r="E59" s="372"/>
      <c r="F59" s="372"/>
      <c r="G59" s="357">
        <f t="shared" si="0"/>
        <v>0</v>
      </c>
      <c r="I59" s="372"/>
      <c r="J59" s="372"/>
      <c r="K59" s="372"/>
      <c r="L59" s="357">
        <f t="shared" si="4"/>
        <v>0</v>
      </c>
      <c r="M59" s="360">
        <f t="shared" si="2"/>
        <v>0</v>
      </c>
    </row>
    <row r="60" spans="1:13" x14ac:dyDescent="0.2">
      <c r="A60" s="370"/>
      <c r="B60" s="370"/>
      <c r="C60" s="373" t="s">
        <v>651</v>
      </c>
      <c r="D60" s="374">
        <f>SUM(D57:D59)</f>
        <v>95596468.654999986</v>
      </c>
      <c r="E60" s="374">
        <f t="shared" ref="E60:G60" si="6">SUM(E57:E59)</f>
        <v>7323896</v>
      </c>
      <c r="F60" s="374">
        <f t="shared" si="6"/>
        <v>-31600</v>
      </c>
      <c r="G60" s="374">
        <f t="shared" si="6"/>
        <v>102888764.65499997</v>
      </c>
      <c r="H60" s="374"/>
      <c r="I60" s="374">
        <f t="shared" ref="I60:M60" si="7">SUM(I57:I59)</f>
        <v>-47689187</v>
      </c>
      <c r="J60" s="374">
        <f t="shared" si="7"/>
        <v>-3752063</v>
      </c>
      <c r="K60" s="374">
        <f t="shared" si="7"/>
        <v>31600</v>
      </c>
      <c r="L60" s="374">
        <f t="shared" si="7"/>
        <v>-51409650</v>
      </c>
      <c r="M60" s="374">
        <f t="shared" si="7"/>
        <v>51479114.654999986</v>
      </c>
    </row>
    <row r="61" spans="1:13" ht="14.25" x14ac:dyDescent="0.2">
      <c r="A61" s="370"/>
      <c r="B61" s="370"/>
      <c r="C61" s="1994" t="s">
        <v>1568</v>
      </c>
      <c r="D61" s="1995"/>
      <c r="E61" s="1995"/>
      <c r="F61" s="1995"/>
      <c r="G61" s="1995"/>
      <c r="H61" s="1995"/>
      <c r="I61" s="1996"/>
      <c r="J61" s="372"/>
      <c r="K61" s="377"/>
      <c r="L61" s="378"/>
      <c r="M61" s="379"/>
    </row>
    <row r="62" spans="1:13" x14ac:dyDescent="0.2">
      <c r="A62" s="370"/>
      <c r="B62" s="370"/>
      <c r="C62" s="1994" t="s">
        <v>388</v>
      </c>
      <c r="D62" s="1995"/>
      <c r="E62" s="1995"/>
      <c r="F62" s="1995"/>
      <c r="G62" s="1995"/>
      <c r="H62" s="1995"/>
      <c r="I62" s="1996"/>
      <c r="J62" s="374">
        <f>J60+J61</f>
        <v>-3752063</v>
      </c>
      <c r="K62" s="377"/>
      <c r="L62" s="378"/>
      <c r="M62" s="379"/>
    </row>
    <row r="64" spans="1:13" x14ac:dyDescent="0.2">
      <c r="I64" s="380" t="s">
        <v>522</v>
      </c>
      <c r="J64" s="1483"/>
    </row>
    <row r="65" spans="1:14" x14ac:dyDescent="0.2">
      <c r="A65" s="370">
        <v>10</v>
      </c>
      <c r="B65" s="370"/>
      <c r="C65" s="371" t="s">
        <v>389</v>
      </c>
      <c r="I65" s="1483" t="s">
        <v>389</v>
      </c>
      <c r="J65" s="1483"/>
      <c r="K65" s="381">
        <f>+J41</f>
        <v>-144636</v>
      </c>
    </row>
    <row r="66" spans="1:14" x14ac:dyDescent="0.2">
      <c r="A66" s="370">
        <v>8</v>
      </c>
      <c r="B66" s="370"/>
      <c r="C66" s="371" t="s">
        <v>380</v>
      </c>
      <c r="I66" s="1483" t="s">
        <v>380</v>
      </c>
      <c r="J66" s="1483"/>
      <c r="K66" s="381">
        <f>+J42</f>
        <v>-9089</v>
      </c>
    </row>
    <row r="67" spans="1:14" x14ac:dyDescent="0.2">
      <c r="A67" s="370">
        <v>8</v>
      </c>
      <c r="B67" s="1525"/>
      <c r="C67" s="363" t="s">
        <v>381</v>
      </c>
      <c r="I67" s="1527" t="s">
        <v>2162</v>
      </c>
      <c r="J67" s="1527"/>
      <c r="K67" s="381">
        <f>+J43</f>
        <v>-5172</v>
      </c>
    </row>
    <row r="68" spans="1:14" x14ac:dyDescent="0.2">
      <c r="A68" s="370">
        <v>8</v>
      </c>
      <c r="B68" s="1525"/>
      <c r="C68" s="363" t="s">
        <v>382</v>
      </c>
      <c r="I68" s="1527" t="s">
        <v>2163</v>
      </c>
      <c r="J68" s="1527"/>
      <c r="K68" s="381">
        <f>+J44</f>
        <v>-6048</v>
      </c>
    </row>
    <row r="69" spans="1:14" x14ac:dyDescent="0.2">
      <c r="I69" s="382" t="s">
        <v>390</v>
      </c>
      <c r="K69" s="383">
        <f>J62-K65-K66-K67-K68</f>
        <v>-3587118</v>
      </c>
    </row>
    <row r="70" spans="1:14" x14ac:dyDescent="0.2">
      <c r="N70" s="384"/>
    </row>
    <row r="71" spans="1:14" ht="21" x14ac:dyDescent="0.2">
      <c r="A71" s="1997" t="s">
        <v>1828</v>
      </c>
      <c r="B71" s="1997"/>
      <c r="C71" s="1997"/>
      <c r="D71" s="1997"/>
      <c r="E71" s="1997"/>
      <c r="F71" s="1997"/>
      <c r="G71" s="1997"/>
      <c r="H71" s="1997"/>
      <c r="I71" s="1997"/>
      <c r="J71" s="1997"/>
      <c r="K71" s="1997"/>
      <c r="L71" s="1997"/>
      <c r="M71" s="1997"/>
    </row>
    <row r="72" spans="1:14" x14ac:dyDescent="0.2">
      <c r="A72" s="1526"/>
      <c r="B72" s="1526"/>
      <c r="H72" s="140"/>
    </row>
    <row r="73" spans="1:14" x14ac:dyDescent="0.2">
      <c r="A73" s="1526"/>
      <c r="B73" s="1526"/>
      <c r="E73" s="303" t="s">
        <v>1520</v>
      </c>
      <c r="F73" s="128" t="s">
        <v>151</v>
      </c>
      <c r="H73" s="140"/>
    </row>
    <row r="74" spans="1:14" ht="15" x14ac:dyDescent="0.25">
      <c r="A74" s="1526"/>
      <c r="B74" s="1526"/>
      <c r="C74" s="158"/>
      <c r="E74" s="303" t="s">
        <v>149</v>
      </c>
      <c r="F74" s="343">
        <v>2012</v>
      </c>
      <c r="G74" s="344"/>
    </row>
    <row r="75" spans="1:14" x14ac:dyDescent="0.2">
      <c r="A75" s="1526"/>
      <c r="B75" s="1526"/>
    </row>
    <row r="76" spans="1:14" x14ac:dyDescent="0.2">
      <c r="A76" s="1526"/>
      <c r="B76" s="1526"/>
      <c r="D76" s="1998" t="s">
        <v>355</v>
      </c>
      <c r="E76" s="1999"/>
      <c r="F76" s="1999"/>
      <c r="G76" s="2000"/>
      <c r="I76" s="345"/>
      <c r="J76" s="346" t="s">
        <v>356</v>
      </c>
      <c r="K76" s="346"/>
      <c r="L76" s="347"/>
      <c r="M76" s="342"/>
    </row>
    <row r="77" spans="1:14" ht="25.5" customHeight="1" x14ac:dyDescent="0.2">
      <c r="A77" s="348" t="s">
        <v>1829</v>
      </c>
      <c r="B77" s="348" t="s">
        <v>1831</v>
      </c>
      <c r="C77" s="349" t="s">
        <v>1832</v>
      </c>
      <c r="D77" s="348" t="s">
        <v>325</v>
      </c>
      <c r="E77" s="350" t="s">
        <v>1830</v>
      </c>
      <c r="F77" s="350" t="s">
        <v>353</v>
      </c>
      <c r="G77" s="348" t="s">
        <v>354</v>
      </c>
      <c r="H77" s="351"/>
      <c r="I77" s="352" t="s">
        <v>325</v>
      </c>
      <c r="J77" s="353" t="s">
        <v>326</v>
      </c>
      <c r="K77" s="353" t="s">
        <v>353</v>
      </c>
      <c r="L77" s="354" t="s">
        <v>354</v>
      </c>
      <c r="M77" s="348" t="s">
        <v>393</v>
      </c>
    </row>
    <row r="78" spans="1:14" ht="25.5" x14ac:dyDescent="0.2">
      <c r="A78" s="149">
        <v>12</v>
      </c>
      <c r="B78" s="1525">
        <v>1611</v>
      </c>
      <c r="C78" s="355" t="s">
        <v>475</v>
      </c>
      <c r="D78" s="356">
        <f>+G17</f>
        <v>502729</v>
      </c>
      <c r="E78" s="356">
        <v>194604</v>
      </c>
      <c r="F78" s="356"/>
      <c r="G78" s="357">
        <f>D78+E78+F78</f>
        <v>697333</v>
      </c>
      <c r="H78" s="358"/>
      <c r="I78" s="359">
        <f>+L17</f>
        <v>-390011</v>
      </c>
      <c r="J78" s="356">
        <v>-72736</v>
      </c>
      <c r="K78" s="356"/>
      <c r="L78" s="357">
        <f>I78+J78+K78</f>
        <v>-462747</v>
      </c>
      <c r="M78" s="360">
        <f>G78+L78</f>
        <v>234586</v>
      </c>
    </row>
    <row r="79" spans="1:14" ht="25.5" x14ac:dyDescent="0.2">
      <c r="A79" s="149" t="s">
        <v>365</v>
      </c>
      <c r="B79" s="1525">
        <v>1612</v>
      </c>
      <c r="C79" s="355" t="s">
        <v>563</v>
      </c>
      <c r="D79" s="356">
        <f t="shared" ref="D79:D115" si="8">+G18</f>
        <v>0</v>
      </c>
      <c r="E79" s="356"/>
      <c r="F79" s="356"/>
      <c r="G79" s="357">
        <f>D79+E79+F79</f>
        <v>0</v>
      </c>
      <c r="H79" s="358"/>
      <c r="I79" s="359">
        <f t="shared" ref="I79:I115" si="9">+L18</f>
        <v>0</v>
      </c>
      <c r="J79" s="356"/>
      <c r="K79" s="356"/>
      <c r="L79" s="357">
        <f>I79+J79+K79</f>
        <v>0</v>
      </c>
      <c r="M79" s="360">
        <f>G79+L79</f>
        <v>0</v>
      </c>
    </row>
    <row r="80" spans="1:14" x14ac:dyDescent="0.2">
      <c r="A80" s="149" t="s">
        <v>357</v>
      </c>
      <c r="B80" s="361">
        <v>1805</v>
      </c>
      <c r="C80" s="362" t="s">
        <v>358</v>
      </c>
      <c r="D80" s="356">
        <f t="shared" si="8"/>
        <v>69883.360000000001</v>
      </c>
      <c r="E80" s="356"/>
      <c r="F80" s="356"/>
      <c r="G80" s="357">
        <f>D80+E80+F80</f>
        <v>69883.360000000001</v>
      </c>
      <c r="H80" s="358"/>
      <c r="I80" s="359">
        <f t="shared" si="9"/>
        <v>0</v>
      </c>
      <c r="J80" s="356"/>
      <c r="K80" s="356"/>
      <c r="L80" s="357">
        <f>I80+J80+K80</f>
        <v>0</v>
      </c>
      <c r="M80" s="360">
        <f>G80+L80</f>
        <v>69883.360000000001</v>
      </c>
    </row>
    <row r="81" spans="1:13" x14ac:dyDescent="0.2">
      <c r="A81" s="149">
        <v>47</v>
      </c>
      <c r="B81" s="361">
        <v>1808</v>
      </c>
      <c r="C81" s="363" t="s">
        <v>359</v>
      </c>
      <c r="D81" s="356">
        <f t="shared" si="8"/>
        <v>0</v>
      </c>
      <c r="E81" s="356"/>
      <c r="F81" s="356"/>
      <c r="G81" s="357">
        <f t="shared" ref="G81:G115" si="10">D81+E81+F81</f>
        <v>0</v>
      </c>
      <c r="H81" s="358"/>
      <c r="I81" s="359">
        <f t="shared" si="9"/>
        <v>0</v>
      </c>
      <c r="J81" s="356"/>
      <c r="K81" s="356"/>
      <c r="L81" s="357">
        <f t="shared" ref="L81:L115" si="11">I81+J81+K81</f>
        <v>0</v>
      </c>
      <c r="M81" s="360">
        <f t="shared" ref="M81:M115" si="12">G81+L81</f>
        <v>0</v>
      </c>
    </row>
    <row r="82" spans="1:13" x14ac:dyDescent="0.2">
      <c r="A82" s="149">
        <v>13</v>
      </c>
      <c r="B82" s="361">
        <v>1810</v>
      </c>
      <c r="C82" s="363" t="s">
        <v>392</v>
      </c>
      <c r="D82" s="356">
        <f t="shared" si="8"/>
        <v>0</v>
      </c>
      <c r="E82" s="356"/>
      <c r="F82" s="356"/>
      <c r="G82" s="357">
        <f t="shared" si="10"/>
        <v>0</v>
      </c>
      <c r="H82" s="358"/>
      <c r="I82" s="359">
        <f t="shared" si="9"/>
        <v>0</v>
      </c>
      <c r="J82" s="356"/>
      <c r="K82" s="356"/>
      <c r="L82" s="357">
        <f t="shared" si="11"/>
        <v>0</v>
      </c>
      <c r="M82" s="360">
        <f t="shared" si="12"/>
        <v>0</v>
      </c>
    </row>
    <row r="83" spans="1:13" x14ac:dyDescent="0.2">
      <c r="A83" s="149">
        <v>47</v>
      </c>
      <c r="B83" s="361">
        <v>1815</v>
      </c>
      <c r="C83" s="363" t="s">
        <v>360</v>
      </c>
      <c r="D83" s="356">
        <f t="shared" si="8"/>
        <v>0</v>
      </c>
      <c r="E83" s="356"/>
      <c r="F83" s="356"/>
      <c r="G83" s="357">
        <f t="shared" si="10"/>
        <v>0</v>
      </c>
      <c r="H83" s="358"/>
      <c r="I83" s="359">
        <f t="shared" si="9"/>
        <v>0</v>
      </c>
      <c r="J83" s="356"/>
      <c r="K83" s="356"/>
      <c r="L83" s="357">
        <f t="shared" si="11"/>
        <v>0</v>
      </c>
      <c r="M83" s="360">
        <f t="shared" si="12"/>
        <v>0</v>
      </c>
    </row>
    <row r="84" spans="1:13" x14ac:dyDescent="0.2">
      <c r="A84" s="149">
        <v>47</v>
      </c>
      <c r="B84" s="361">
        <v>1820</v>
      </c>
      <c r="C84" s="355" t="s">
        <v>287</v>
      </c>
      <c r="D84" s="356">
        <f t="shared" si="8"/>
        <v>1516191.65</v>
      </c>
      <c r="E84" s="356"/>
      <c r="F84" s="356"/>
      <c r="G84" s="357">
        <f t="shared" si="10"/>
        <v>1516191.65</v>
      </c>
      <c r="H84" s="358"/>
      <c r="I84" s="359">
        <f t="shared" si="9"/>
        <v>-1380731</v>
      </c>
      <c r="J84" s="356">
        <v>-23011</v>
      </c>
      <c r="K84" s="356"/>
      <c r="L84" s="357">
        <f t="shared" si="11"/>
        <v>-1403742</v>
      </c>
      <c r="M84" s="360">
        <f t="shared" si="12"/>
        <v>112449.64999999991</v>
      </c>
    </row>
    <row r="85" spans="1:13" x14ac:dyDescent="0.2">
      <c r="A85" s="149">
        <v>47</v>
      </c>
      <c r="B85" s="361">
        <v>1825</v>
      </c>
      <c r="C85" s="363" t="s">
        <v>361</v>
      </c>
      <c r="D85" s="356">
        <f t="shared" si="8"/>
        <v>0</v>
      </c>
      <c r="E85" s="356"/>
      <c r="F85" s="356"/>
      <c r="G85" s="357">
        <f t="shared" si="10"/>
        <v>0</v>
      </c>
      <c r="H85" s="358"/>
      <c r="I85" s="359">
        <f t="shared" si="9"/>
        <v>0</v>
      </c>
      <c r="J85" s="356"/>
      <c r="K85" s="356"/>
      <c r="L85" s="357">
        <f t="shared" si="11"/>
        <v>0</v>
      </c>
      <c r="M85" s="360">
        <f t="shared" si="12"/>
        <v>0</v>
      </c>
    </row>
    <row r="86" spans="1:13" x14ac:dyDescent="0.2">
      <c r="A86" s="149">
        <v>47</v>
      </c>
      <c r="B86" s="361">
        <v>1830</v>
      </c>
      <c r="C86" s="363" t="s">
        <v>362</v>
      </c>
      <c r="D86" s="356">
        <f t="shared" si="8"/>
        <v>22717466.210000001</v>
      </c>
      <c r="E86" s="356">
        <f>4029244-1</f>
        <v>4029243</v>
      </c>
      <c r="F86" s="356"/>
      <c r="G86" s="357">
        <f t="shared" si="10"/>
        <v>26746709.210000001</v>
      </c>
      <c r="H86" s="358"/>
      <c r="I86" s="359">
        <f t="shared" si="9"/>
        <v>-8839734</v>
      </c>
      <c r="J86" s="356">
        <f>-827051-1</f>
        <v>-827052</v>
      </c>
      <c r="K86" s="356"/>
      <c r="L86" s="357">
        <f t="shared" si="11"/>
        <v>-9666786</v>
      </c>
      <c r="M86" s="360">
        <f t="shared" si="12"/>
        <v>17079923.210000001</v>
      </c>
    </row>
    <row r="87" spans="1:13" x14ac:dyDescent="0.2">
      <c r="A87" s="149">
        <v>47</v>
      </c>
      <c r="B87" s="361">
        <v>1835</v>
      </c>
      <c r="C87" s="363" t="s">
        <v>288</v>
      </c>
      <c r="D87" s="356">
        <f t="shared" si="8"/>
        <v>19530931.809999995</v>
      </c>
      <c r="E87" s="356">
        <v>1548927</v>
      </c>
      <c r="F87" s="356"/>
      <c r="G87" s="357">
        <f t="shared" si="10"/>
        <v>21079858.809999995</v>
      </c>
      <c r="H87" s="358"/>
      <c r="I87" s="359">
        <f t="shared" si="9"/>
        <v>-11369087</v>
      </c>
      <c r="J87" s="356">
        <v>-673299</v>
      </c>
      <c r="K87" s="356"/>
      <c r="L87" s="357">
        <f t="shared" si="11"/>
        <v>-12042386</v>
      </c>
      <c r="M87" s="360">
        <f t="shared" si="12"/>
        <v>9037472.8099999949</v>
      </c>
    </row>
    <row r="88" spans="1:13" x14ac:dyDescent="0.2">
      <c r="A88" s="149">
        <v>47</v>
      </c>
      <c r="B88" s="361">
        <v>1840</v>
      </c>
      <c r="C88" s="363" t="s">
        <v>289</v>
      </c>
      <c r="D88" s="356">
        <f t="shared" si="8"/>
        <v>20759669.84</v>
      </c>
      <c r="E88" s="356">
        <v>1531539</v>
      </c>
      <c r="F88" s="356"/>
      <c r="G88" s="357">
        <f t="shared" si="10"/>
        <v>22291208.84</v>
      </c>
      <c r="H88" s="358"/>
      <c r="I88" s="359">
        <f t="shared" si="9"/>
        <v>-6489123</v>
      </c>
      <c r="J88" s="356">
        <v>-863986</v>
      </c>
      <c r="K88" s="356"/>
      <c r="L88" s="357">
        <f t="shared" si="11"/>
        <v>-7353109</v>
      </c>
      <c r="M88" s="360">
        <f t="shared" si="12"/>
        <v>14938099.84</v>
      </c>
    </row>
    <row r="89" spans="1:13" x14ac:dyDescent="0.2">
      <c r="A89" s="149">
        <v>47</v>
      </c>
      <c r="B89" s="361">
        <v>1845</v>
      </c>
      <c r="C89" s="363" t="s">
        <v>290</v>
      </c>
      <c r="D89" s="356">
        <f t="shared" si="8"/>
        <v>15703993.970000001</v>
      </c>
      <c r="E89" s="356">
        <v>793136</v>
      </c>
      <c r="F89" s="356"/>
      <c r="G89" s="357">
        <f t="shared" si="10"/>
        <v>16497129.970000001</v>
      </c>
      <c r="H89" s="358"/>
      <c r="I89" s="359">
        <f t="shared" si="9"/>
        <v>-6180098</v>
      </c>
      <c r="J89" s="356">
        <v>-626753</v>
      </c>
      <c r="K89" s="356"/>
      <c r="L89" s="357">
        <f t="shared" si="11"/>
        <v>-6806851</v>
      </c>
      <c r="M89" s="360">
        <f t="shared" si="12"/>
        <v>9690278.9700000007</v>
      </c>
    </row>
    <row r="90" spans="1:13" x14ac:dyDescent="0.2">
      <c r="A90" s="149">
        <v>47</v>
      </c>
      <c r="B90" s="361">
        <v>1850</v>
      </c>
      <c r="C90" s="363" t="s">
        <v>363</v>
      </c>
      <c r="D90" s="356">
        <f t="shared" si="8"/>
        <v>33586211.070000008</v>
      </c>
      <c r="E90" s="356">
        <v>1442416</v>
      </c>
      <c r="F90" s="356"/>
      <c r="G90" s="357">
        <f t="shared" si="10"/>
        <v>35028627.070000008</v>
      </c>
      <c r="H90" s="358"/>
      <c r="I90" s="359">
        <f t="shared" si="9"/>
        <v>-15343508</v>
      </c>
      <c r="J90" s="356">
        <v>-1366718</v>
      </c>
      <c r="K90" s="356"/>
      <c r="L90" s="357">
        <f t="shared" si="11"/>
        <v>-16710226</v>
      </c>
      <c r="M90" s="360">
        <f t="shared" si="12"/>
        <v>18318401.070000008</v>
      </c>
    </row>
    <row r="91" spans="1:13" x14ac:dyDescent="0.2">
      <c r="A91" s="149">
        <v>47</v>
      </c>
      <c r="B91" s="361">
        <v>1855</v>
      </c>
      <c r="C91" s="363" t="s">
        <v>291</v>
      </c>
      <c r="D91" s="356">
        <f t="shared" si="8"/>
        <v>11929187.449999999</v>
      </c>
      <c r="E91" s="356">
        <v>1292307</v>
      </c>
      <c r="F91" s="356"/>
      <c r="G91" s="357">
        <f t="shared" si="10"/>
        <v>13221494.449999999</v>
      </c>
      <c r="H91" s="358"/>
      <c r="I91" s="359">
        <f t="shared" si="9"/>
        <v>-3217430</v>
      </c>
      <c r="J91" s="356">
        <v>-309880</v>
      </c>
      <c r="K91" s="356"/>
      <c r="L91" s="357">
        <f t="shared" si="11"/>
        <v>-3527310</v>
      </c>
      <c r="M91" s="360">
        <f t="shared" si="12"/>
        <v>9694184.4499999993</v>
      </c>
    </row>
    <row r="92" spans="1:13" x14ac:dyDescent="0.2">
      <c r="A92" s="149">
        <v>47</v>
      </c>
      <c r="B92" s="361">
        <v>1860</v>
      </c>
      <c r="C92" s="363" t="s">
        <v>364</v>
      </c>
      <c r="D92" s="356">
        <f t="shared" si="8"/>
        <v>0</v>
      </c>
      <c r="E92" s="356"/>
      <c r="F92" s="356"/>
      <c r="G92" s="357">
        <f t="shared" si="10"/>
        <v>0</v>
      </c>
      <c r="H92" s="358"/>
      <c r="I92" s="359">
        <f t="shared" si="9"/>
        <v>0</v>
      </c>
      <c r="J92" s="356"/>
      <c r="K92" s="356"/>
      <c r="L92" s="357">
        <f t="shared" si="11"/>
        <v>0</v>
      </c>
      <c r="M92" s="360">
        <f t="shared" si="12"/>
        <v>0</v>
      </c>
    </row>
    <row r="93" spans="1:13" x14ac:dyDescent="0.2">
      <c r="A93" s="149">
        <v>47</v>
      </c>
      <c r="B93" s="361">
        <v>1860</v>
      </c>
      <c r="C93" s="362" t="s">
        <v>292</v>
      </c>
      <c r="D93" s="356">
        <f t="shared" si="8"/>
        <v>9821579.7199999988</v>
      </c>
      <c r="E93" s="356">
        <v>578144</v>
      </c>
      <c r="F93" s="356">
        <v>-1260</v>
      </c>
      <c r="G93" s="357">
        <f t="shared" si="10"/>
        <v>10398463.719999999</v>
      </c>
      <c r="H93" s="358"/>
      <c r="I93" s="359">
        <f t="shared" si="9"/>
        <v>-3444970</v>
      </c>
      <c r="J93" s="356">
        <v>-568728</v>
      </c>
      <c r="K93" s="356"/>
      <c r="L93" s="357">
        <f t="shared" si="11"/>
        <v>-4013698</v>
      </c>
      <c r="M93" s="360">
        <f t="shared" si="12"/>
        <v>6384765.7199999988</v>
      </c>
    </row>
    <row r="94" spans="1:13" x14ac:dyDescent="0.2">
      <c r="A94" s="149" t="s">
        <v>357</v>
      </c>
      <c r="B94" s="361">
        <v>1905</v>
      </c>
      <c r="C94" s="362" t="s">
        <v>358</v>
      </c>
      <c r="D94" s="356">
        <f t="shared" si="8"/>
        <v>1142051.7649999999</v>
      </c>
      <c r="E94" s="356"/>
      <c r="F94" s="356"/>
      <c r="G94" s="357">
        <f t="shared" si="10"/>
        <v>1142051.7649999999</v>
      </c>
      <c r="H94" s="358"/>
      <c r="I94" s="359">
        <f t="shared" si="9"/>
        <v>0</v>
      </c>
      <c r="J94" s="356"/>
      <c r="K94" s="356"/>
      <c r="L94" s="357">
        <f t="shared" si="11"/>
        <v>0</v>
      </c>
      <c r="M94" s="360">
        <f t="shared" si="12"/>
        <v>1142051.7649999999</v>
      </c>
    </row>
    <row r="95" spans="1:13" x14ac:dyDescent="0.2">
      <c r="A95" s="149">
        <v>47</v>
      </c>
      <c r="B95" s="361">
        <v>1908</v>
      </c>
      <c r="C95" s="363" t="s">
        <v>366</v>
      </c>
      <c r="D95" s="356">
        <f t="shared" si="8"/>
        <v>0</v>
      </c>
      <c r="E95" s="356"/>
      <c r="F95" s="356"/>
      <c r="G95" s="357">
        <f t="shared" si="10"/>
        <v>0</v>
      </c>
      <c r="H95" s="358"/>
      <c r="I95" s="359">
        <f t="shared" si="9"/>
        <v>0</v>
      </c>
      <c r="J95" s="356"/>
      <c r="K95" s="356"/>
      <c r="L95" s="357">
        <f t="shared" si="11"/>
        <v>0</v>
      </c>
      <c r="M95" s="360">
        <f t="shared" si="12"/>
        <v>0</v>
      </c>
    </row>
    <row r="96" spans="1:13" x14ac:dyDescent="0.2">
      <c r="A96" s="149">
        <v>13</v>
      </c>
      <c r="B96" s="361">
        <v>1910</v>
      </c>
      <c r="C96" s="363" t="s">
        <v>392</v>
      </c>
      <c r="D96" s="356">
        <f t="shared" si="8"/>
        <v>377009</v>
      </c>
      <c r="E96" s="356"/>
      <c r="F96" s="356"/>
      <c r="G96" s="357">
        <f t="shared" si="10"/>
        <v>377009</v>
      </c>
      <c r="H96" s="358"/>
      <c r="I96" s="359">
        <f t="shared" si="9"/>
        <v>-204563</v>
      </c>
      <c r="J96" s="356">
        <v>-80211</v>
      </c>
      <c r="K96" s="356"/>
      <c r="L96" s="357">
        <f t="shared" si="11"/>
        <v>-284774</v>
      </c>
      <c r="M96" s="360">
        <f t="shared" si="12"/>
        <v>92235</v>
      </c>
    </row>
    <row r="97" spans="1:13" x14ac:dyDescent="0.2">
      <c r="A97" s="149">
        <v>8</v>
      </c>
      <c r="B97" s="361">
        <v>1915</v>
      </c>
      <c r="C97" s="363" t="s">
        <v>293</v>
      </c>
      <c r="D97" s="356">
        <f t="shared" si="8"/>
        <v>712089</v>
      </c>
      <c r="E97" s="356"/>
      <c r="F97" s="356"/>
      <c r="G97" s="357">
        <f t="shared" si="10"/>
        <v>712089</v>
      </c>
      <c r="H97" s="358"/>
      <c r="I97" s="359">
        <f t="shared" si="9"/>
        <v>-588670</v>
      </c>
      <c r="J97" s="356">
        <v>-16677</v>
      </c>
      <c r="K97" s="356"/>
      <c r="L97" s="357">
        <f t="shared" si="11"/>
        <v>-605347</v>
      </c>
      <c r="M97" s="360">
        <f t="shared" si="12"/>
        <v>106742</v>
      </c>
    </row>
    <row r="98" spans="1:13" x14ac:dyDescent="0.2">
      <c r="A98" s="149">
        <v>8</v>
      </c>
      <c r="B98" s="361">
        <v>1915</v>
      </c>
      <c r="C98" s="363" t="s">
        <v>294</v>
      </c>
      <c r="D98" s="356">
        <f t="shared" si="8"/>
        <v>0</v>
      </c>
      <c r="E98" s="356"/>
      <c r="F98" s="356"/>
      <c r="G98" s="357">
        <f t="shared" si="10"/>
        <v>0</v>
      </c>
      <c r="H98" s="358"/>
      <c r="I98" s="359">
        <f t="shared" si="9"/>
        <v>0</v>
      </c>
      <c r="J98" s="356"/>
      <c r="K98" s="356"/>
      <c r="L98" s="357">
        <f t="shared" si="11"/>
        <v>0</v>
      </c>
      <c r="M98" s="360">
        <f t="shared" si="12"/>
        <v>0</v>
      </c>
    </row>
    <row r="99" spans="1:13" x14ac:dyDescent="0.2">
      <c r="A99" s="149">
        <v>10</v>
      </c>
      <c r="B99" s="361">
        <v>1920</v>
      </c>
      <c r="C99" s="363" t="s">
        <v>295</v>
      </c>
      <c r="D99" s="356">
        <f t="shared" si="8"/>
        <v>1600083</v>
      </c>
      <c r="E99" s="356">
        <v>56629</v>
      </c>
      <c r="F99" s="356"/>
      <c r="G99" s="357">
        <f t="shared" si="10"/>
        <v>1656712</v>
      </c>
      <c r="H99" s="358"/>
      <c r="I99" s="359">
        <f t="shared" si="9"/>
        <v>-1432853</v>
      </c>
      <c r="J99" s="356">
        <v>-54198</v>
      </c>
      <c r="K99" s="356"/>
      <c r="L99" s="357">
        <f t="shared" si="11"/>
        <v>-1487051</v>
      </c>
      <c r="M99" s="360">
        <f t="shared" si="12"/>
        <v>169661</v>
      </c>
    </row>
    <row r="100" spans="1:13" ht="25.5" x14ac:dyDescent="0.2">
      <c r="A100" s="149">
        <v>45</v>
      </c>
      <c r="B100" s="364">
        <v>1920</v>
      </c>
      <c r="C100" s="355" t="s">
        <v>297</v>
      </c>
      <c r="D100" s="356">
        <f t="shared" si="8"/>
        <v>0</v>
      </c>
      <c r="E100" s="356"/>
      <c r="F100" s="356"/>
      <c r="G100" s="357">
        <f t="shared" si="10"/>
        <v>0</v>
      </c>
      <c r="H100" s="358"/>
      <c r="I100" s="359">
        <f t="shared" si="9"/>
        <v>0</v>
      </c>
      <c r="J100" s="356"/>
      <c r="K100" s="356"/>
      <c r="L100" s="357">
        <f t="shared" si="11"/>
        <v>0</v>
      </c>
      <c r="M100" s="360">
        <f t="shared" si="12"/>
        <v>0</v>
      </c>
    </row>
    <row r="101" spans="1:13" ht="25.5" x14ac:dyDescent="0.2">
      <c r="A101" s="149">
        <v>45.1</v>
      </c>
      <c r="B101" s="364">
        <v>1920</v>
      </c>
      <c r="C101" s="355" t="s">
        <v>296</v>
      </c>
      <c r="D101" s="356">
        <f t="shared" si="8"/>
        <v>0</v>
      </c>
      <c r="E101" s="356"/>
      <c r="F101" s="356"/>
      <c r="G101" s="357">
        <f t="shared" si="10"/>
        <v>0</v>
      </c>
      <c r="H101" s="358"/>
      <c r="I101" s="359">
        <f t="shared" si="9"/>
        <v>0</v>
      </c>
      <c r="J101" s="356"/>
      <c r="K101" s="356"/>
      <c r="L101" s="357">
        <f t="shared" si="11"/>
        <v>0</v>
      </c>
      <c r="M101" s="360">
        <f t="shared" si="12"/>
        <v>0</v>
      </c>
    </row>
    <row r="102" spans="1:13" x14ac:dyDescent="0.2">
      <c r="A102" s="149">
        <v>10</v>
      </c>
      <c r="B102" s="1525">
        <v>1930</v>
      </c>
      <c r="C102" s="363" t="s">
        <v>379</v>
      </c>
      <c r="D102" s="356">
        <f t="shared" si="8"/>
        <v>1984461.1700000002</v>
      </c>
      <c r="E102" s="356"/>
      <c r="F102" s="356">
        <v>-29815</v>
      </c>
      <c r="G102" s="357">
        <f t="shared" si="10"/>
        <v>1954646.1700000002</v>
      </c>
      <c r="H102" s="358"/>
      <c r="I102" s="359">
        <f t="shared" si="9"/>
        <v>-1420207</v>
      </c>
      <c r="J102" s="356">
        <v>-114356</v>
      </c>
      <c r="K102" s="356">
        <v>29815</v>
      </c>
      <c r="L102" s="357">
        <f t="shared" si="11"/>
        <v>-1504748</v>
      </c>
      <c r="M102" s="360">
        <f t="shared" si="12"/>
        <v>449898.17000000016</v>
      </c>
    </row>
    <row r="103" spans="1:13" x14ac:dyDescent="0.2">
      <c r="A103" s="149">
        <v>8</v>
      </c>
      <c r="B103" s="1525">
        <v>1935</v>
      </c>
      <c r="C103" s="363" t="s">
        <v>380</v>
      </c>
      <c r="D103" s="356">
        <f t="shared" si="8"/>
        <v>224974.32</v>
      </c>
      <c r="E103" s="356"/>
      <c r="F103" s="356"/>
      <c r="G103" s="357">
        <f t="shared" si="10"/>
        <v>224974.32</v>
      </c>
      <c r="H103" s="358"/>
      <c r="I103" s="359">
        <f t="shared" si="9"/>
        <v>-165904</v>
      </c>
      <c r="J103" s="356">
        <v>-6077</v>
      </c>
      <c r="K103" s="356"/>
      <c r="L103" s="357">
        <f t="shared" si="11"/>
        <v>-171981</v>
      </c>
      <c r="M103" s="360">
        <f t="shared" si="12"/>
        <v>52993.320000000007</v>
      </c>
    </row>
    <row r="104" spans="1:13" x14ac:dyDescent="0.2">
      <c r="A104" s="149">
        <v>8</v>
      </c>
      <c r="B104" s="1525">
        <v>1940</v>
      </c>
      <c r="C104" s="363" t="s">
        <v>381</v>
      </c>
      <c r="D104" s="356">
        <f t="shared" si="8"/>
        <v>393448.39999999997</v>
      </c>
      <c r="E104" s="356">
        <v>6536</v>
      </c>
      <c r="F104" s="356"/>
      <c r="G104" s="357">
        <f t="shared" si="10"/>
        <v>399984.39999999997</v>
      </c>
      <c r="H104" s="358"/>
      <c r="I104" s="359">
        <f t="shared" si="9"/>
        <v>-371388</v>
      </c>
      <c r="J104" s="356">
        <v>-5210</v>
      </c>
      <c r="K104" s="356"/>
      <c r="L104" s="357">
        <f t="shared" si="11"/>
        <v>-376598</v>
      </c>
      <c r="M104" s="360">
        <f t="shared" si="12"/>
        <v>23386.399999999965</v>
      </c>
    </row>
    <row r="105" spans="1:13" x14ac:dyDescent="0.2">
      <c r="A105" s="149">
        <v>8</v>
      </c>
      <c r="B105" s="1525">
        <v>1945</v>
      </c>
      <c r="C105" s="363" t="s">
        <v>382</v>
      </c>
      <c r="D105" s="356">
        <f t="shared" si="8"/>
        <v>89253.83</v>
      </c>
      <c r="E105" s="356">
        <v>34882</v>
      </c>
      <c r="F105" s="356"/>
      <c r="G105" s="357">
        <f t="shared" si="10"/>
        <v>124135.83</v>
      </c>
      <c r="H105" s="358"/>
      <c r="I105" s="359">
        <f t="shared" si="9"/>
        <v>-23214</v>
      </c>
      <c r="J105" s="356">
        <v>-10469</v>
      </c>
      <c r="K105" s="356"/>
      <c r="L105" s="357">
        <f t="shared" si="11"/>
        <v>-33683</v>
      </c>
      <c r="M105" s="360">
        <f t="shared" si="12"/>
        <v>90452.83</v>
      </c>
    </row>
    <row r="106" spans="1:13" x14ac:dyDescent="0.2">
      <c r="A106" s="149">
        <v>8</v>
      </c>
      <c r="B106" s="1525">
        <v>1950</v>
      </c>
      <c r="C106" s="363" t="s">
        <v>298</v>
      </c>
      <c r="D106" s="356">
        <f t="shared" si="8"/>
        <v>0</v>
      </c>
      <c r="E106" s="356"/>
      <c r="F106" s="356"/>
      <c r="G106" s="357">
        <f t="shared" si="10"/>
        <v>0</v>
      </c>
      <c r="H106" s="358"/>
      <c r="I106" s="359">
        <f t="shared" si="9"/>
        <v>0</v>
      </c>
      <c r="J106" s="356"/>
      <c r="K106" s="356"/>
      <c r="L106" s="357">
        <f t="shared" si="11"/>
        <v>0</v>
      </c>
      <c r="M106" s="360">
        <f t="shared" si="12"/>
        <v>0</v>
      </c>
    </row>
    <row r="107" spans="1:13" x14ac:dyDescent="0.2">
      <c r="A107" s="149">
        <v>8</v>
      </c>
      <c r="B107" s="1525">
        <v>1955</v>
      </c>
      <c r="C107" s="363" t="s">
        <v>383</v>
      </c>
      <c r="D107" s="356">
        <f t="shared" si="8"/>
        <v>220382.82</v>
      </c>
      <c r="E107" s="356">
        <v>15909</v>
      </c>
      <c r="F107" s="356"/>
      <c r="G107" s="357">
        <f t="shared" si="10"/>
        <v>236291.82</v>
      </c>
      <c r="H107" s="358"/>
      <c r="I107" s="359">
        <f t="shared" si="9"/>
        <v>-166291</v>
      </c>
      <c r="J107" s="356">
        <v>-10737</v>
      </c>
      <c r="K107" s="356"/>
      <c r="L107" s="357">
        <f t="shared" si="11"/>
        <v>-177028</v>
      </c>
      <c r="M107" s="360">
        <f t="shared" si="12"/>
        <v>59263.820000000007</v>
      </c>
    </row>
    <row r="108" spans="1:13" x14ac:dyDescent="0.2">
      <c r="A108" s="366">
        <v>8</v>
      </c>
      <c r="B108" s="364">
        <v>1955</v>
      </c>
      <c r="C108" s="367" t="s">
        <v>299</v>
      </c>
      <c r="D108" s="356">
        <f t="shared" si="8"/>
        <v>0</v>
      </c>
      <c r="E108" s="356"/>
      <c r="F108" s="356"/>
      <c r="G108" s="357">
        <f t="shared" si="10"/>
        <v>0</v>
      </c>
      <c r="H108" s="358"/>
      <c r="I108" s="359">
        <f t="shared" si="9"/>
        <v>0</v>
      </c>
      <c r="J108" s="356"/>
      <c r="K108" s="356"/>
      <c r="L108" s="357">
        <f t="shared" si="11"/>
        <v>0</v>
      </c>
      <c r="M108" s="360">
        <f t="shared" si="12"/>
        <v>0</v>
      </c>
    </row>
    <row r="109" spans="1:13" x14ac:dyDescent="0.2">
      <c r="A109" s="366">
        <v>8</v>
      </c>
      <c r="B109" s="368">
        <v>1960</v>
      </c>
      <c r="C109" s="355" t="s">
        <v>300</v>
      </c>
      <c r="D109" s="356">
        <f t="shared" si="8"/>
        <v>0</v>
      </c>
      <c r="E109" s="356"/>
      <c r="F109" s="356"/>
      <c r="G109" s="357">
        <f t="shared" si="10"/>
        <v>0</v>
      </c>
      <c r="H109" s="358"/>
      <c r="I109" s="359">
        <f t="shared" si="9"/>
        <v>0</v>
      </c>
      <c r="J109" s="356"/>
      <c r="K109" s="356"/>
      <c r="L109" s="357">
        <f t="shared" si="11"/>
        <v>0</v>
      </c>
      <c r="M109" s="360">
        <f t="shared" si="12"/>
        <v>0</v>
      </c>
    </row>
    <row r="110" spans="1:13" ht="25.5" x14ac:dyDescent="0.2">
      <c r="A110" s="369">
        <v>47</v>
      </c>
      <c r="B110" s="368">
        <v>1970</v>
      </c>
      <c r="C110" s="363" t="s">
        <v>649</v>
      </c>
      <c r="D110" s="356">
        <f t="shared" si="8"/>
        <v>0</v>
      </c>
      <c r="E110" s="356"/>
      <c r="F110" s="356"/>
      <c r="G110" s="357">
        <f t="shared" si="10"/>
        <v>0</v>
      </c>
      <c r="H110" s="358"/>
      <c r="I110" s="359">
        <f t="shared" si="9"/>
        <v>0</v>
      </c>
      <c r="J110" s="356"/>
      <c r="K110" s="356"/>
      <c r="L110" s="357">
        <f t="shared" si="11"/>
        <v>0</v>
      </c>
      <c r="M110" s="360">
        <f t="shared" si="12"/>
        <v>0</v>
      </c>
    </row>
    <row r="111" spans="1:13" ht="25.5" x14ac:dyDescent="0.2">
      <c r="A111" s="149">
        <v>47</v>
      </c>
      <c r="B111" s="1525">
        <v>1975</v>
      </c>
      <c r="C111" s="363" t="s">
        <v>384</v>
      </c>
      <c r="D111" s="356">
        <f t="shared" si="8"/>
        <v>0</v>
      </c>
      <c r="E111" s="356"/>
      <c r="F111" s="356"/>
      <c r="G111" s="357">
        <f t="shared" si="10"/>
        <v>0</v>
      </c>
      <c r="H111" s="358"/>
      <c r="I111" s="359">
        <f t="shared" si="9"/>
        <v>0</v>
      </c>
      <c r="J111" s="356"/>
      <c r="K111" s="356"/>
      <c r="L111" s="357">
        <f t="shared" si="11"/>
        <v>0</v>
      </c>
      <c r="M111" s="360">
        <f t="shared" si="12"/>
        <v>0</v>
      </c>
    </row>
    <row r="112" spans="1:13" x14ac:dyDescent="0.2">
      <c r="A112" s="149">
        <v>47</v>
      </c>
      <c r="B112" s="1525">
        <v>1980</v>
      </c>
      <c r="C112" s="363" t="s">
        <v>385</v>
      </c>
      <c r="D112" s="356">
        <f t="shared" si="8"/>
        <v>41545</v>
      </c>
      <c r="E112" s="356"/>
      <c r="F112" s="356"/>
      <c r="G112" s="357">
        <f t="shared" si="10"/>
        <v>41545</v>
      </c>
      <c r="H112" s="358"/>
      <c r="I112" s="359">
        <f t="shared" si="9"/>
        <v>-41545</v>
      </c>
      <c r="J112" s="356"/>
      <c r="K112" s="356"/>
      <c r="L112" s="357">
        <f t="shared" si="11"/>
        <v>-41545</v>
      </c>
      <c r="M112" s="360">
        <f t="shared" si="12"/>
        <v>0</v>
      </c>
    </row>
    <row r="113" spans="1:13" x14ac:dyDescent="0.2">
      <c r="A113" s="149">
        <v>47</v>
      </c>
      <c r="B113" s="1525">
        <v>1985</v>
      </c>
      <c r="C113" s="363" t="s">
        <v>386</v>
      </c>
      <c r="D113" s="356">
        <f t="shared" si="8"/>
        <v>0</v>
      </c>
      <c r="E113" s="356"/>
      <c r="F113" s="356"/>
      <c r="G113" s="357">
        <f t="shared" si="10"/>
        <v>0</v>
      </c>
      <c r="H113" s="358"/>
      <c r="I113" s="359">
        <f t="shared" si="9"/>
        <v>0</v>
      </c>
      <c r="J113" s="356"/>
      <c r="K113" s="356"/>
      <c r="L113" s="357">
        <f t="shared" si="11"/>
        <v>0</v>
      </c>
      <c r="M113" s="360">
        <f t="shared" si="12"/>
        <v>0</v>
      </c>
    </row>
    <row r="114" spans="1:13" x14ac:dyDescent="0.2">
      <c r="A114" s="369">
        <v>47</v>
      </c>
      <c r="B114" s="1525">
        <v>1990</v>
      </c>
      <c r="C114" s="1524" t="s">
        <v>650</v>
      </c>
      <c r="D114" s="356">
        <f t="shared" si="8"/>
        <v>68775.11</v>
      </c>
      <c r="E114" s="356">
        <v>64229</v>
      </c>
      <c r="F114" s="356"/>
      <c r="G114" s="357">
        <f t="shared" si="10"/>
        <v>133004.10999999999</v>
      </c>
      <c r="H114" s="358"/>
      <c r="I114" s="359">
        <f t="shared" si="9"/>
        <v>-10315</v>
      </c>
      <c r="J114" s="356">
        <v>-10089</v>
      </c>
      <c r="K114" s="356"/>
      <c r="L114" s="357">
        <f t="shared" si="11"/>
        <v>-20404</v>
      </c>
      <c r="M114" s="360">
        <f t="shared" si="12"/>
        <v>112600.10999999999</v>
      </c>
    </row>
    <row r="115" spans="1:13" x14ac:dyDescent="0.2">
      <c r="A115" s="149">
        <v>47</v>
      </c>
      <c r="B115" s="1525">
        <v>1995</v>
      </c>
      <c r="C115" s="363" t="s">
        <v>387</v>
      </c>
      <c r="D115" s="356">
        <f t="shared" si="8"/>
        <v>-40103152.840000004</v>
      </c>
      <c r="E115" s="356">
        <v>-3857151</v>
      </c>
      <c r="F115" s="356"/>
      <c r="G115" s="357">
        <f t="shared" si="10"/>
        <v>-43960303.840000004</v>
      </c>
      <c r="H115" s="358"/>
      <c r="I115" s="359">
        <f t="shared" si="9"/>
        <v>9669992</v>
      </c>
      <c r="J115" s="356">
        <f>1677429</f>
        <v>1677429</v>
      </c>
      <c r="K115" s="356"/>
      <c r="L115" s="357">
        <f t="shared" si="11"/>
        <v>11347421</v>
      </c>
      <c r="M115" s="360">
        <f t="shared" si="12"/>
        <v>-32612882.840000004</v>
      </c>
    </row>
    <row r="116" spans="1:13" ht="14.25" x14ac:dyDescent="0.2">
      <c r="A116" s="149">
        <v>47</v>
      </c>
      <c r="B116" s="1525">
        <v>2440</v>
      </c>
      <c r="C116" s="363" t="s">
        <v>1638</v>
      </c>
      <c r="D116" s="356"/>
      <c r="E116" s="356"/>
      <c r="F116" s="356"/>
      <c r="G116" s="357"/>
      <c r="I116" s="359"/>
      <c r="J116" s="356"/>
      <c r="K116" s="356"/>
      <c r="L116" s="357"/>
      <c r="M116" s="360"/>
    </row>
    <row r="117" spans="1:13" x14ac:dyDescent="0.2">
      <c r="A117" s="370"/>
      <c r="B117" s="370"/>
      <c r="C117" s="371"/>
      <c r="D117" s="372"/>
      <c r="E117" s="372"/>
      <c r="F117" s="372"/>
      <c r="G117" s="357">
        <f t="shared" ref="G117" si="13">D117+E117+F117</f>
        <v>0</v>
      </c>
      <c r="I117" s="372"/>
      <c r="J117" s="372"/>
      <c r="K117" s="372"/>
      <c r="L117" s="357">
        <f t="shared" ref="L117" si="14">I117+J117+K117</f>
        <v>0</v>
      </c>
      <c r="M117" s="360">
        <f t="shared" ref="M117" si="15">G117+L117</f>
        <v>0</v>
      </c>
    </row>
    <row r="118" spans="1:13" x14ac:dyDescent="0.2">
      <c r="A118" s="370"/>
      <c r="B118" s="370"/>
      <c r="C118" s="373" t="s">
        <v>268</v>
      </c>
      <c r="D118" s="374">
        <f>SUM(D78:D117)</f>
        <v>102888764.65499997</v>
      </c>
      <c r="E118" s="374">
        <f>SUM(E78:E117)</f>
        <v>7731350</v>
      </c>
      <c r="F118" s="374">
        <f>SUM(F78:F117)</f>
        <v>-31075</v>
      </c>
      <c r="G118" s="374">
        <f>SUM(G78:G117)</f>
        <v>110589039.65499997</v>
      </c>
      <c r="H118" s="374"/>
      <c r="I118" s="374">
        <f>SUM(I78:I117)</f>
        <v>-51409650</v>
      </c>
      <c r="J118" s="374">
        <f>SUM(J78:J117)</f>
        <v>-3962758</v>
      </c>
      <c r="K118" s="374">
        <f>SUM(K78:K117)</f>
        <v>29815</v>
      </c>
      <c r="L118" s="374">
        <f>SUM(L78:L117)</f>
        <v>-55342593</v>
      </c>
      <c r="M118" s="374">
        <f>SUM(M78:M117)</f>
        <v>55246446.654999986</v>
      </c>
    </row>
    <row r="119" spans="1:13" ht="37.5" x14ac:dyDescent="0.2">
      <c r="A119" s="370"/>
      <c r="B119" s="370"/>
      <c r="C119" s="375" t="s">
        <v>775</v>
      </c>
      <c r="D119" s="372"/>
      <c r="E119" s="372"/>
      <c r="F119" s="372"/>
      <c r="G119" s="357">
        <f t="shared" ref="G119:G120" si="16">D119+E119+F119</f>
        <v>0</v>
      </c>
      <c r="I119" s="372"/>
      <c r="J119" s="372"/>
      <c r="K119" s="372"/>
      <c r="L119" s="357">
        <f t="shared" ref="L119:L120" si="17">I119+J119+K119</f>
        <v>0</v>
      </c>
      <c r="M119" s="360">
        <f t="shared" ref="M119:M120" si="18">G119+L119</f>
        <v>0</v>
      </c>
    </row>
    <row r="120" spans="1:13" ht="25.5" x14ac:dyDescent="0.2">
      <c r="A120" s="370"/>
      <c r="B120" s="370"/>
      <c r="C120" s="376" t="s">
        <v>774</v>
      </c>
      <c r="D120" s="372"/>
      <c r="E120" s="372"/>
      <c r="F120" s="372"/>
      <c r="G120" s="357">
        <f t="shared" si="16"/>
        <v>0</v>
      </c>
      <c r="I120" s="372"/>
      <c r="J120" s="372"/>
      <c r="K120" s="372"/>
      <c r="L120" s="357">
        <f t="shared" si="17"/>
        <v>0</v>
      </c>
      <c r="M120" s="360">
        <f t="shared" si="18"/>
        <v>0</v>
      </c>
    </row>
    <row r="121" spans="1:13" x14ac:dyDescent="0.2">
      <c r="A121" s="370"/>
      <c r="B121" s="370"/>
      <c r="C121" s="373" t="s">
        <v>651</v>
      </c>
      <c r="D121" s="374">
        <f>SUM(D118:D120)</f>
        <v>102888764.65499997</v>
      </c>
      <c r="E121" s="374">
        <f t="shared" ref="E121:G121" si="19">SUM(E118:E120)</f>
        <v>7731350</v>
      </c>
      <c r="F121" s="374">
        <f t="shared" si="19"/>
        <v>-31075</v>
      </c>
      <c r="G121" s="374">
        <f t="shared" si="19"/>
        <v>110589039.65499997</v>
      </c>
      <c r="H121" s="374"/>
      <c r="I121" s="374">
        <f t="shared" ref="I121:M121" si="20">SUM(I118:I120)</f>
        <v>-51409650</v>
      </c>
      <c r="J121" s="374">
        <f t="shared" si="20"/>
        <v>-3962758</v>
      </c>
      <c r="K121" s="374">
        <f t="shared" si="20"/>
        <v>29815</v>
      </c>
      <c r="L121" s="374">
        <f t="shared" si="20"/>
        <v>-55342593</v>
      </c>
      <c r="M121" s="374">
        <f t="shared" si="20"/>
        <v>55246446.654999986</v>
      </c>
    </row>
    <row r="122" spans="1:13" ht="14.25" x14ac:dyDescent="0.2">
      <c r="A122" s="370"/>
      <c r="B122" s="370"/>
      <c r="C122" s="1994" t="s">
        <v>1568</v>
      </c>
      <c r="D122" s="1995"/>
      <c r="E122" s="1995"/>
      <c r="F122" s="1995"/>
      <c r="G122" s="1995"/>
      <c r="H122" s="1995"/>
      <c r="I122" s="1996"/>
      <c r="J122" s="372"/>
      <c r="K122" s="377"/>
      <c r="L122" s="378"/>
      <c r="M122" s="379"/>
    </row>
    <row r="123" spans="1:13" x14ac:dyDescent="0.2">
      <c r="A123" s="370"/>
      <c r="B123" s="370"/>
      <c r="C123" s="1994" t="s">
        <v>388</v>
      </c>
      <c r="D123" s="1995"/>
      <c r="E123" s="1995"/>
      <c r="F123" s="1995"/>
      <c r="G123" s="1995"/>
      <c r="H123" s="1995"/>
      <c r="I123" s="1996"/>
      <c r="J123" s="374">
        <f>J121+J122</f>
        <v>-3962758</v>
      </c>
      <c r="K123" s="377"/>
      <c r="L123" s="378"/>
      <c r="M123" s="379"/>
    </row>
    <row r="124" spans="1:13" x14ac:dyDescent="0.2">
      <c r="A124" s="1526"/>
      <c r="B124" s="1526"/>
    </row>
    <row r="125" spans="1:13" x14ac:dyDescent="0.2">
      <c r="A125" s="1526"/>
      <c r="B125" s="1526"/>
      <c r="I125" s="380" t="s">
        <v>522</v>
      </c>
      <c r="J125" s="1527"/>
    </row>
    <row r="126" spans="1:13" x14ac:dyDescent="0.2">
      <c r="A126" s="370">
        <v>10</v>
      </c>
      <c r="B126" s="370"/>
      <c r="C126" s="371" t="s">
        <v>389</v>
      </c>
      <c r="I126" s="1527" t="s">
        <v>389</v>
      </c>
      <c r="J126" s="1527"/>
      <c r="K126" s="381">
        <f>+J102</f>
        <v>-114356</v>
      </c>
    </row>
    <row r="127" spans="1:13" x14ac:dyDescent="0.2">
      <c r="A127" s="370">
        <v>8</v>
      </c>
      <c r="B127" s="370"/>
      <c r="C127" s="371" t="s">
        <v>380</v>
      </c>
      <c r="I127" s="1527" t="s">
        <v>380</v>
      </c>
      <c r="J127" s="1527"/>
      <c r="K127" s="381">
        <f>+J103</f>
        <v>-6077</v>
      </c>
    </row>
    <row r="128" spans="1:13" x14ac:dyDescent="0.2">
      <c r="A128" s="370">
        <v>8</v>
      </c>
      <c r="B128" s="1525"/>
      <c r="C128" s="363" t="s">
        <v>381</v>
      </c>
      <c r="I128" s="1527" t="s">
        <v>2162</v>
      </c>
      <c r="J128" s="1527"/>
      <c r="K128" s="381">
        <f>+J104</f>
        <v>-5210</v>
      </c>
    </row>
    <row r="129" spans="1:13" x14ac:dyDescent="0.2">
      <c r="A129" s="370">
        <v>8</v>
      </c>
      <c r="B129" s="1525"/>
      <c r="C129" s="363" t="s">
        <v>382</v>
      </c>
      <c r="I129" s="1527" t="s">
        <v>2163</v>
      </c>
      <c r="J129" s="1527"/>
      <c r="K129" s="381">
        <f>+J105</f>
        <v>-10469</v>
      </c>
    </row>
    <row r="130" spans="1:13" x14ac:dyDescent="0.2">
      <c r="A130" s="1526"/>
      <c r="B130" s="1526"/>
      <c r="I130" s="382" t="s">
        <v>390</v>
      </c>
      <c r="K130" s="383">
        <f>J123-K126-K127-K128-K129</f>
        <v>-3826646</v>
      </c>
    </row>
    <row r="131" spans="1:13" x14ac:dyDescent="0.2">
      <c r="A131" s="1526"/>
      <c r="B131" s="1526"/>
      <c r="I131" s="382"/>
      <c r="K131" s="1538"/>
    </row>
    <row r="132" spans="1:13" ht="21" x14ac:dyDescent="0.2">
      <c r="A132" s="1997" t="s">
        <v>1828</v>
      </c>
      <c r="B132" s="1997"/>
      <c r="C132" s="1997"/>
      <c r="D132" s="1997"/>
      <c r="E132" s="1997"/>
      <c r="F132" s="1997"/>
      <c r="G132" s="1997"/>
      <c r="H132" s="1997"/>
      <c r="I132" s="1997"/>
      <c r="J132" s="1997"/>
      <c r="K132" s="1997"/>
      <c r="L132" s="1997"/>
      <c r="M132" s="1997"/>
    </row>
    <row r="133" spans="1:13" x14ac:dyDescent="0.2">
      <c r="A133" s="1526"/>
      <c r="B133" s="1526"/>
      <c r="H133" s="140"/>
    </row>
    <row r="134" spans="1:13" x14ac:dyDescent="0.2">
      <c r="A134" s="1526"/>
      <c r="B134" s="1526"/>
      <c r="E134" s="303" t="s">
        <v>1520</v>
      </c>
      <c r="F134" s="128" t="s">
        <v>151</v>
      </c>
      <c r="H134" s="140"/>
    </row>
    <row r="135" spans="1:13" ht="15" x14ac:dyDescent="0.25">
      <c r="A135" s="1526"/>
      <c r="B135" s="1526"/>
      <c r="C135" s="158"/>
      <c r="E135" s="303" t="s">
        <v>149</v>
      </c>
      <c r="F135" s="343">
        <v>2013</v>
      </c>
      <c r="G135" s="344"/>
    </row>
    <row r="136" spans="1:13" x14ac:dyDescent="0.2">
      <c r="A136" s="1526"/>
      <c r="B136" s="1526"/>
    </row>
    <row r="137" spans="1:13" x14ac:dyDescent="0.2">
      <c r="A137" s="1526"/>
      <c r="B137" s="1526"/>
      <c r="D137" s="1998" t="s">
        <v>355</v>
      </c>
      <c r="E137" s="1999"/>
      <c r="F137" s="1999"/>
      <c r="G137" s="2000"/>
      <c r="I137" s="345"/>
      <c r="J137" s="346" t="s">
        <v>356</v>
      </c>
      <c r="K137" s="346"/>
      <c r="L137" s="347"/>
      <c r="M137" s="342"/>
    </row>
    <row r="138" spans="1:13" ht="25.5" customHeight="1" x14ac:dyDescent="0.2">
      <c r="A138" s="348" t="s">
        <v>1829</v>
      </c>
      <c r="B138" s="348" t="s">
        <v>1831</v>
      </c>
      <c r="C138" s="349" t="s">
        <v>1832</v>
      </c>
      <c r="D138" s="348" t="s">
        <v>325</v>
      </c>
      <c r="E138" s="350" t="s">
        <v>1830</v>
      </c>
      <c r="F138" s="350" t="s">
        <v>353</v>
      </c>
      <c r="G138" s="348" t="s">
        <v>354</v>
      </c>
      <c r="H138" s="351"/>
      <c r="I138" s="352" t="s">
        <v>325</v>
      </c>
      <c r="J138" s="353" t="s">
        <v>326</v>
      </c>
      <c r="K138" s="353" t="s">
        <v>353</v>
      </c>
      <c r="L138" s="354" t="s">
        <v>354</v>
      </c>
      <c r="M138" s="348" t="s">
        <v>393</v>
      </c>
    </row>
    <row r="139" spans="1:13" x14ac:dyDescent="0.2">
      <c r="A139" s="149">
        <v>47</v>
      </c>
      <c r="B139" s="1525">
        <v>1609</v>
      </c>
      <c r="C139" s="355" t="s">
        <v>2159</v>
      </c>
      <c r="D139" s="356"/>
      <c r="E139" s="356">
        <v>122349</v>
      </c>
      <c r="F139" s="356"/>
      <c r="G139" s="357">
        <f>D139+E139+F139</f>
        <v>122349</v>
      </c>
      <c r="H139" s="358"/>
      <c r="I139" s="359"/>
      <c r="J139" s="356">
        <v>-2447</v>
      </c>
      <c r="K139" s="356"/>
      <c r="L139" s="357">
        <f>I139+J139+K139</f>
        <v>-2447</v>
      </c>
      <c r="M139" s="360">
        <f>G139+L139</f>
        <v>119902</v>
      </c>
    </row>
    <row r="140" spans="1:13" ht="25.5" x14ac:dyDescent="0.2">
      <c r="A140" s="149">
        <v>12</v>
      </c>
      <c r="B140" s="1525">
        <v>1611</v>
      </c>
      <c r="C140" s="355" t="s">
        <v>475</v>
      </c>
      <c r="D140" s="356">
        <f>+G78</f>
        <v>697333</v>
      </c>
      <c r="E140" s="356">
        <v>183251</v>
      </c>
      <c r="F140" s="356"/>
      <c r="G140" s="357">
        <f>D140+E140+F140</f>
        <v>880584</v>
      </c>
      <c r="H140" s="358"/>
      <c r="I140" s="359">
        <f>+L78</f>
        <v>-462747</v>
      </c>
      <c r="J140" s="356">
        <f>-30542-72736</f>
        <v>-103278</v>
      </c>
      <c r="K140" s="356"/>
      <c r="L140" s="357">
        <f>I140+J140+K140</f>
        <v>-566025</v>
      </c>
      <c r="M140" s="360">
        <f>G140+L140</f>
        <v>314559</v>
      </c>
    </row>
    <row r="141" spans="1:13" ht="25.5" x14ac:dyDescent="0.2">
      <c r="A141" s="149" t="s">
        <v>365</v>
      </c>
      <c r="B141" s="1525">
        <v>1612</v>
      </c>
      <c r="C141" s="355" t="s">
        <v>563</v>
      </c>
      <c r="D141" s="356">
        <f t="shared" ref="D141:D177" si="21">+G79</f>
        <v>0</v>
      </c>
      <c r="E141" s="356"/>
      <c r="F141" s="356"/>
      <c r="G141" s="357">
        <f>D141+E141+F141</f>
        <v>0</v>
      </c>
      <c r="H141" s="358"/>
      <c r="I141" s="359">
        <f t="shared" ref="I141:I176" si="22">+L79</f>
        <v>0</v>
      </c>
      <c r="J141" s="356"/>
      <c r="K141" s="356"/>
      <c r="L141" s="357">
        <f>I141+J141+K141</f>
        <v>0</v>
      </c>
      <c r="M141" s="360">
        <f>G141+L141</f>
        <v>0</v>
      </c>
    </row>
    <row r="142" spans="1:13" x14ac:dyDescent="0.2">
      <c r="A142" s="149" t="s">
        <v>357</v>
      </c>
      <c r="B142" s="361">
        <v>1805</v>
      </c>
      <c r="C142" s="362" t="s">
        <v>358</v>
      </c>
      <c r="D142" s="356">
        <f t="shared" si="21"/>
        <v>69883.360000000001</v>
      </c>
      <c r="E142" s="356"/>
      <c r="F142" s="356"/>
      <c r="G142" s="357">
        <f>D142+E142+F142</f>
        <v>69883.360000000001</v>
      </c>
      <c r="H142" s="358"/>
      <c r="I142" s="359">
        <f t="shared" si="22"/>
        <v>0</v>
      </c>
      <c r="J142" s="356"/>
      <c r="K142" s="356"/>
      <c r="L142" s="357">
        <f>I142+J142+K142</f>
        <v>0</v>
      </c>
      <c r="M142" s="360">
        <f>G142+L142</f>
        <v>69883.360000000001</v>
      </c>
    </row>
    <row r="143" spans="1:13" x14ac:dyDescent="0.2">
      <c r="A143" s="149">
        <v>47</v>
      </c>
      <c r="B143" s="361">
        <v>1808</v>
      </c>
      <c r="C143" s="363" t="s">
        <v>359</v>
      </c>
      <c r="D143" s="356">
        <f t="shared" si="21"/>
        <v>0</v>
      </c>
      <c r="E143" s="356"/>
      <c r="F143" s="356"/>
      <c r="G143" s="357">
        <f t="shared" ref="G143:G177" si="23">D143+E143+F143</f>
        <v>0</v>
      </c>
      <c r="H143" s="358"/>
      <c r="I143" s="359">
        <f t="shared" si="22"/>
        <v>0</v>
      </c>
      <c r="J143" s="356"/>
      <c r="K143" s="356"/>
      <c r="L143" s="357">
        <f t="shared" ref="L143:L176" si="24">I143+J143+K143</f>
        <v>0</v>
      </c>
      <c r="M143" s="360">
        <f t="shared" ref="M143:M176" si="25">G143+L143</f>
        <v>0</v>
      </c>
    </row>
    <row r="144" spans="1:13" x14ac:dyDescent="0.2">
      <c r="A144" s="149">
        <v>13</v>
      </c>
      <c r="B144" s="361">
        <v>1810</v>
      </c>
      <c r="C144" s="363" t="s">
        <v>392</v>
      </c>
      <c r="D144" s="356">
        <f t="shared" si="21"/>
        <v>0</v>
      </c>
      <c r="E144" s="356"/>
      <c r="F144" s="356"/>
      <c r="G144" s="357">
        <f t="shared" si="23"/>
        <v>0</v>
      </c>
      <c r="H144" s="358"/>
      <c r="I144" s="359">
        <f t="shared" si="22"/>
        <v>0</v>
      </c>
      <c r="J144" s="356"/>
      <c r="K144" s="356"/>
      <c r="L144" s="357">
        <f t="shared" si="24"/>
        <v>0</v>
      </c>
      <c r="M144" s="360">
        <f t="shared" si="25"/>
        <v>0</v>
      </c>
    </row>
    <row r="145" spans="1:13" x14ac:dyDescent="0.2">
      <c r="A145" s="149">
        <v>47</v>
      </c>
      <c r="B145" s="361">
        <v>1815</v>
      </c>
      <c r="C145" s="363" t="s">
        <v>360</v>
      </c>
      <c r="D145" s="356">
        <f t="shared" si="21"/>
        <v>0</v>
      </c>
      <c r="E145" s="356"/>
      <c r="F145" s="356"/>
      <c r="G145" s="357">
        <f t="shared" si="23"/>
        <v>0</v>
      </c>
      <c r="H145" s="358"/>
      <c r="I145" s="359">
        <f t="shared" si="22"/>
        <v>0</v>
      </c>
      <c r="J145" s="356"/>
      <c r="K145" s="356"/>
      <c r="L145" s="357">
        <f t="shared" si="24"/>
        <v>0</v>
      </c>
      <c r="M145" s="360">
        <f t="shared" si="25"/>
        <v>0</v>
      </c>
    </row>
    <row r="146" spans="1:13" x14ac:dyDescent="0.2">
      <c r="A146" s="149">
        <v>47</v>
      </c>
      <c r="B146" s="361">
        <v>1820</v>
      </c>
      <c r="C146" s="355" t="s">
        <v>287</v>
      </c>
      <c r="D146" s="356">
        <f t="shared" si="21"/>
        <v>1516191.65</v>
      </c>
      <c r="E146" s="356"/>
      <c r="F146" s="356"/>
      <c r="G146" s="357">
        <f t="shared" si="23"/>
        <v>1516191.65</v>
      </c>
      <c r="H146" s="358"/>
      <c r="I146" s="359">
        <f t="shared" si="22"/>
        <v>-1403742</v>
      </c>
      <c r="J146" s="356">
        <v>-23011</v>
      </c>
      <c r="K146" s="356"/>
      <c r="L146" s="357">
        <f t="shared" si="24"/>
        <v>-1426753</v>
      </c>
      <c r="M146" s="360">
        <f t="shared" si="25"/>
        <v>89438.649999999907</v>
      </c>
    </row>
    <row r="147" spans="1:13" x14ac:dyDescent="0.2">
      <c r="A147" s="149">
        <v>47</v>
      </c>
      <c r="B147" s="361">
        <v>1825</v>
      </c>
      <c r="C147" s="363" t="s">
        <v>361</v>
      </c>
      <c r="D147" s="356">
        <f t="shared" si="21"/>
        <v>0</v>
      </c>
      <c r="E147" s="356"/>
      <c r="F147" s="356"/>
      <c r="G147" s="357">
        <f t="shared" si="23"/>
        <v>0</v>
      </c>
      <c r="H147" s="358"/>
      <c r="I147" s="359">
        <f t="shared" si="22"/>
        <v>0</v>
      </c>
      <c r="J147" s="356"/>
      <c r="K147" s="356"/>
      <c r="L147" s="357">
        <f t="shared" si="24"/>
        <v>0</v>
      </c>
      <c r="M147" s="360">
        <f t="shared" si="25"/>
        <v>0</v>
      </c>
    </row>
    <row r="148" spans="1:13" x14ac:dyDescent="0.2">
      <c r="A148" s="149">
        <v>47</v>
      </c>
      <c r="B148" s="361">
        <v>1830</v>
      </c>
      <c r="C148" s="363" t="s">
        <v>362</v>
      </c>
      <c r="D148" s="356">
        <f t="shared" si="21"/>
        <v>26746709.210000001</v>
      </c>
      <c r="E148" s="356">
        <v>2320857</v>
      </c>
      <c r="F148" s="356"/>
      <c r="G148" s="357">
        <f t="shared" si="23"/>
        <v>29067566.210000001</v>
      </c>
      <c r="H148" s="358"/>
      <c r="I148" s="359">
        <f t="shared" si="22"/>
        <v>-9666786</v>
      </c>
      <c r="J148" s="356">
        <v>-915637</v>
      </c>
      <c r="K148" s="356"/>
      <c r="L148" s="357">
        <f t="shared" si="24"/>
        <v>-10582423</v>
      </c>
      <c r="M148" s="360">
        <f t="shared" si="25"/>
        <v>18485143.210000001</v>
      </c>
    </row>
    <row r="149" spans="1:13" x14ac:dyDescent="0.2">
      <c r="A149" s="149">
        <v>47</v>
      </c>
      <c r="B149" s="361">
        <v>1835</v>
      </c>
      <c r="C149" s="363" t="s">
        <v>288</v>
      </c>
      <c r="D149" s="356">
        <f t="shared" si="21"/>
        <v>21079858.809999995</v>
      </c>
      <c r="E149" s="356">
        <v>907786</v>
      </c>
      <c r="F149" s="356"/>
      <c r="G149" s="357">
        <f t="shared" si="23"/>
        <v>21987644.809999995</v>
      </c>
      <c r="H149" s="358"/>
      <c r="I149" s="359">
        <f t="shared" si="22"/>
        <v>-12042386</v>
      </c>
      <c r="J149" s="356">
        <v>-722438</v>
      </c>
      <c r="K149" s="356"/>
      <c r="L149" s="357">
        <f t="shared" si="24"/>
        <v>-12764824</v>
      </c>
      <c r="M149" s="360">
        <f t="shared" si="25"/>
        <v>9222820.8099999949</v>
      </c>
    </row>
    <row r="150" spans="1:13" x14ac:dyDescent="0.2">
      <c r="A150" s="149">
        <v>47</v>
      </c>
      <c r="B150" s="361">
        <v>1840</v>
      </c>
      <c r="C150" s="363" t="s">
        <v>289</v>
      </c>
      <c r="D150" s="356">
        <f t="shared" si="21"/>
        <v>22291208.84</v>
      </c>
      <c r="E150" s="356">
        <v>1895764</v>
      </c>
      <c r="F150" s="356"/>
      <c r="G150" s="357">
        <f t="shared" si="23"/>
        <v>24186972.84</v>
      </c>
      <c r="H150" s="358"/>
      <c r="I150" s="359">
        <f t="shared" si="22"/>
        <v>-7353109</v>
      </c>
      <c r="J150" s="356">
        <v>-892593</v>
      </c>
      <c r="K150" s="356"/>
      <c r="L150" s="357">
        <f t="shared" si="24"/>
        <v>-8245702</v>
      </c>
      <c r="M150" s="360">
        <f t="shared" si="25"/>
        <v>15941270.84</v>
      </c>
    </row>
    <row r="151" spans="1:13" x14ac:dyDescent="0.2">
      <c r="A151" s="149">
        <v>47</v>
      </c>
      <c r="B151" s="361">
        <v>1845</v>
      </c>
      <c r="C151" s="363" t="s">
        <v>290</v>
      </c>
      <c r="D151" s="356">
        <f t="shared" si="21"/>
        <v>16497129.970000001</v>
      </c>
      <c r="E151" s="356">
        <v>926889</v>
      </c>
      <c r="F151" s="356"/>
      <c r="G151" s="357">
        <f t="shared" si="23"/>
        <v>17424018.969999999</v>
      </c>
      <c r="H151" s="358"/>
      <c r="I151" s="359">
        <f t="shared" si="22"/>
        <v>-6806851</v>
      </c>
      <c r="J151" s="356">
        <v>-661143</v>
      </c>
      <c r="K151" s="356"/>
      <c r="L151" s="357">
        <f t="shared" si="24"/>
        <v>-7467994</v>
      </c>
      <c r="M151" s="360">
        <f t="shared" si="25"/>
        <v>9956024.9699999988</v>
      </c>
    </row>
    <row r="152" spans="1:13" x14ac:dyDescent="0.2">
      <c r="A152" s="149">
        <v>47</v>
      </c>
      <c r="B152" s="361">
        <v>1850</v>
      </c>
      <c r="C152" s="363" t="s">
        <v>363</v>
      </c>
      <c r="D152" s="356">
        <f t="shared" si="21"/>
        <v>35028627.070000008</v>
      </c>
      <c r="E152" s="356">
        <v>1209577</v>
      </c>
      <c r="F152" s="356"/>
      <c r="G152" s="357">
        <f t="shared" si="23"/>
        <v>36238204.070000008</v>
      </c>
      <c r="H152" s="358"/>
      <c r="I152" s="359">
        <f t="shared" si="22"/>
        <v>-16710226</v>
      </c>
      <c r="J152" s="356">
        <v>-1379144</v>
      </c>
      <c r="K152" s="356"/>
      <c r="L152" s="357">
        <f t="shared" si="24"/>
        <v>-18089370</v>
      </c>
      <c r="M152" s="360">
        <f t="shared" si="25"/>
        <v>18148834.070000008</v>
      </c>
    </row>
    <row r="153" spans="1:13" x14ac:dyDescent="0.2">
      <c r="A153" s="149">
        <v>47</v>
      </c>
      <c r="B153" s="361">
        <v>1855</v>
      </c>
      <c r="C153" s="363" t="s">
        <v>291</v>
      </c>
      <c r="D153" s="356">
        <f t="shared" si="21"/>
        <v>13221494.449999999</v>
      </c>
      <c r="E153" s="356">
        <v>869824</v>
      </c>
      <c r="F153" s="356"/>
      <c r="G153" s="357">
        <f t="shared" si="23"/>
        <v>14091318.449999999</v>
      </c>
      <c r="H153" s="358"/>
      <c r="I153" s="359">
        <f t="shared" si="22"/>
        <v>-3527310</v>
      </c>
      <c r="J153" s="356">
        <v>-353105</v>
      </c>
      <c r="K153" s="356"/>
      <c r="L153" s="357">
        <f t="shared" si="24"/>
        <v>-3880415</v>
      </c>
      <c r="M153" s="360">
        <f t="shared" si="25"/>
        <v>10210903.449999999</v>
      </c>
    </row>
    <row r="154" spans="1:13" x14ac:dyDescent="0.2">
      <c r="A154" s="149">
        <v>47</v>
      </c>
      <c r="B154" s="361">
        <v>1860</v>
      </c>
      <c r="C154" s="363" t="s">
        <v>364</v>
      </c>
      <c r="D154" s="356">
        <f t="shared" si="21"/>
        <v>0</v>
      </c>
      <c r="E154" s="356"/>
      <c r="F154" s="356"/>
      <c r="G154" s="357">
        <f t="shared" si="23"/>
        <v>0</v>
      </c>
      <c r="H154" s="358"/>
      <c r="I154" s="359">
        <f t="shared" si="22"/>
        <v>0</v>
      </c>
      <c r="J154" s="356"/>
      <c r="K154" s="356"/>
      <c r="L154" s="357">
        <f t="shared" si="24"/>
        <v>0</v>
      </c>
      <c r="M154" s="360">
        <f t="shared" si="25"/>
        <v>0</v>
      </c>
    </row>
    <row r="155" spans="1:13" x14ac:dyDescent="0.2">
      <c r="A155" s="149">
        <v>47</v>
      </c>
      <c r="B155" s="361">
        <v>1860</v>
      </c>
      <c r="C155" s="362" t="s">
        <v>292</v>
      </c>
      <c r="D155" s="356">
        <f t="shared" si="21"/>
        <v>10398463.719999999</v>
      </c>
      <c r="E155" s="356">
        <v>891399</v>
      </c>
      <c r="F155" s="356"/>
      <c r="G155" s="357">
        <f t="shared" si="23"/>
        <v>11289862.719999999</v>
      </c>
      <c r="H155" s="358"/>
      <c r="I155" s="359">
        <f t="shared" si="22"/>
        <v>-4013698</v>
      </c>
      <c r="J155" s="356">
        <v>-656214</v>
      </c>
      <c r="K155" s="356"/>
      <c r="L155" s="357">
        <f t="shared" si="24"/>
        <v>-4669912</v>
      </c>
      <c r="M155" s="360">
        <f t="shared" si="25"/>
        <v>6619950.7199999988</v>
      </c>
    </row>
    <row r="156" spans="1:13" x14ac:dyDescent="0.2">
      <c r="A156" s="149" t="s">
        <v>357</v>
      </c>
      <c r="B156" s="361">
        <v>1905</v>
      </c>
      <c r="C156" s="362" t="s">
        <v>358</v>
      </c>
      <c r="D156" s="356">
        <f t="shared" si="21"/>
        <v>1142051.7649999999</v>
      </c>
      <c r="E156" s="356"/>
      <c r="F156" s="356"/>
      <c r="G156" s="357">
        <f t="shared" si="23"/>
        <v>1142051.7649999999</v>
      </c>
      <c r="H156" s="358"/>
      <c r="I156" s="359">
        <f t="shared" si="22"/>
        <v>0</v>
      </c>
      <c r="J156" s="356"/>
      <c r="K156" s="356"/>
      <c r="L156" s="357">
        <f t="shared" si="24"/>
        <v>0</v>
      </c>
      <c r="M156" s="360">
        <f t="shared" si="25"/>
        <v>1142051.7649999999</v>
      </c>
    </row>
    <row r="157" spans="1:13" x14ac:dyDescent="0.2">
      <c r="A157" s="149">
        <v>47</v>
      </c>
      <c r="B157" s="361">
        <v>1908</v>
      </c>
      <c r="C157" s="363" t="s">
        <v>366</v>
      </c>
      <c r="D157" s="356">
        <f t="shared" si="21"/>
        <v>0</v>
      </c>
      <c r="E157" s="356"/>
      <c r="F157" s="356"/>
      <c r="G157" s="357">
        <f t="shared" si="23"/>
        <v>0</v>
      </c>
      <c r="H157" s="358"/>
      <c r="I157" s="359">
        <f t="shared" si="22"/>
        <v>0</v>
      </c>
      <c r="J157" s="356"/>
      <c r="K157" s="356"/>
      <c r="L157" s="357">
        <f t="shared" si="24"/>
        <v>0</v>
      </c>
      <c r="M157" s="360">
        <f t="shared" si="25"/>
        <v>0</v>
      </c>
    </row>
    <row r="158" spans="1:13" x14ac:dyDescent="0.2">
      <c r="A158" s="149">
        <v>13</v>
      </c>
      <c r="B158" s="361">
        <v>1910</v>
      </c>
      <c r="C158" s="363" t="s">
        <v>392</v>
      </c>
      <c r="D158" s="356">
        <f t="shared" si="21"/>
        <v>377009</v>
      </c>
      <c r="E158" s="356"/>
      <c r="F158" s="356"/>
      <c r="G158" s="357">
        <f t="shared" si="23"/>
        <v>377009</v>
      </c>
      <c r="H158" s="358"/>
      <c r="I158" s="359">
        <f t="shared" si="22"/>
        <v>-284774</v>
      </c>
      <c r="J158" s="356">
        <v>-80211</v>
      </c>
      <c r="K158" s="356"/>
      <c r="L158" s="357">
        <f t="shared" si="24"/>
        <v>-364985</v>
      </c>
      <c r="M158" s="360">
        <f t="shared" si="25"/>
        <v>12024</v>
      </c>
    </row>
    <row r="159" spans="1:13" x14ac:dyDescent="0.2">
      <c r="A159" s="149">
        <v>8</v>
      </c>
      <c r="B159" s="361">
        <v>1915</v>
      </c>
      <c r="C159" s="363" t="s">
        <v>293</v>
      </c>
      <c r="D159" s="356">
        <f t="shared" si="21"/>
        <v>712089</v>
      </c>
      <c r="E159" s="356"/>
      <c r="F159" s="356"/>
      <c r="G159" s="357">
        <f t="shared" si="23"/>
        <v>712089</v>
      </c>
      <c r="H159" s="358"/>
      <c r="I159" s="359">
        <f t="shared" si="22"/>
        <v>-605347</v>
      </c>
      <c r="J159" s="356">
        <v>-16939</v>
      </c>
      <c r="K159" s="356"/>
      <c r="L159" s="357">
        <f t="shared" si="24"/>
        <v>-622286</v>
      </c>
      <c r="M159" s="360">
        <f t="shared" si="25"/>
        <v>89803</v>
      </c>
    </row>
    <row r="160" spans="1:13" x14ac:dyDescent="0.2">
      <c r="A160" s="149">
        <v>8</v>
      </c>
      <c r="B160" s="361">
        <v>1915</v>
      </c>
      <c r="C160" s="363" t="s">
        <v>294</v>
      </c>
      <c r="D160" s="356">
        <f t="shared" si="21"/>
        <v>0</v>
      </c>
      <c r="E160" s="356"/>
      <c r="F160" s="356"/>
      <c r="G160" s="357">
        <f t="shared" si="23"/>
        <v>0</v>
      </c>
      <c r="H160" s="358"/>
      <c r="I160" s="359">
        <f t="shared" si="22"/>
        <v>0</v>
      </c>
      <c r="J160" s="356"/>
      <c r="K160" s="356"/>
      <c r="L160" s="357">
        <f t="shared" si="24"/>
        <v>0</v>
      </c>
      <c r="M160" s="360">
        <f t="shared" si="25"/>
        <v>0</v>
      </c>
    </row>
    <row r="161" spans="1:13" x14ac:dyDescent="0.2">
      <c r="A161" s="149">
        <v>10</v>
      </c>
      <c r="B161" s="361">
        <v>1920</v>
      </c>
      <c r="C161" s="363" t="s">
        <v>295</v>
      </c>
      <c r="D161" s="356">
        <f t="shared" si="21"/>
        <v>1656712</v>
      </c>
      <c r="E161" s="356">
        <v>137423</v>
      </c>
      <c r="F161" s="356"/>
      <c r="G161" s="357">
        <f t="shared" si="23"/>
        <v>1794135</v>
      </c>
      <c r="H161" s="358"/>
      <c r="I161" s="359">
        <f t="shared" si="22"/>
        <v>-1487051</v>
      </c>
      <c r="J161" s="356">
        <v>-67940</v>
      </c>
      <c r="K161" s="356"/>
      <c r="L161" s="357">
        <f t="shared" si="24"/>
        <v>-1554991</v>
      </c>
      <c r="M161" s="360">
        <f t="shared" si="25"/>
        <v>239144</v>
      </c>
    </row>
    <row r="162" spans="1:13" ht="25.5" x14ac:dyDescent="0.2">
      <c r="A162" s="149">
        <v>45</v>
      </c>
      <c r="B162" s="364">
        <v>1920</v>
      </c>
      <c r="C162" s="355" t="s">
        <v>297</v>
      </c>
      <c r="D162" s="356">
        <f t="shared" si="21"/>
        <v>0</v>
      </c>
      <c r="E162" s="356"/>
      <c r="F162" s="356"/>
      <c r="G162" s="357">
        <f t="shared" si="23"/>
        <v>0</v>
      </c>
      <c r="H162" s="358"/>
      <c r="I162" s="359">
        <f t="shared" si="22"/>
        <v>0</v>
      </c>
      <c r="J162" s="356"/>
      <c r="K162" s="356"/>
      <c r="L162" s="357">
        <f t="shared" si="24"/>
        <v>0</v>
      </c>
      <c r="M162" s="360">
        <f t="shared" si="25"/>
        <v>0</v>
      </c>
    </row>
    <row r="163" spans="1:13" ht="25.5" x14ac:dyDescent="0.2">
      <c r="A163" s="149">
        <v>45.1</v>
      </c>
      <c r="B163" s="364">
        <v>1920</v>
      </c>
      <c r="C163" s="355" t="s">
        <v>296</v>
      </c>
      <c r="D163" s="356">
        <f t="shared" si="21"/>
        <v>0</v>
      </c>
      <c r="E163" s="356"/>
      <c r="F163" s="356"/>
      <c r="G163" s="357">
        <f t="shared" si="23"/>
        <v>0</v>
      </c>
      <c r="H163" s="358"/>
      <c r="I163" s="359">
        <f t="shared" si="22"/>
        <v>0</v>
      </c>
      <c r="J163" s="356"/>
      <c r="K163" s="356"/>
      <c r="L163" s="357">
        <f t="shared" si="24"/>
        <v>0</v>
      </c>
      <c r="M163" s="360">
        <f t="shared" si="25"/>
        <v>0</v>
      </c>
    </row>
    <row r="164" spans="1:13" x14ac:dyDescent="0.2">
      <c r="A164" s="149">
        <v>10</v>
      </c>
      <c r="B164" s="1525">
        <v>1930</v>
      </c>
      <c r="C164" s="363" t="s">
        <v>379</v>
      </c>
      <c r="D164" s="356">
        <f t="shared" si="21"/>
        <v>1954646.1700000002</v>
      </c>
      <c r="E164" s="356">
        <v>380175</v>
      </c>
      <c r="F164" s="356">
        <v>-182052</v>
      </c>
      <c r="G164" s="357">
        <f t="shared" si="23"/>
        <v>2152769.17</v>
      </c>
      <c r="H164" s="358"/>
      <c r="I164" s="359">
        <f t="shared" si="22"/>
        <v>-1504748</v>
      </c>
      <c r="J164" s="356">
        <v>-148853</v>
      </c>
      <c r="K164" s="356">
        <v>182052</v>
      </c>
      <c r="L164" s="357">
        <f t="shared" si="24"/>
        <v>-1471549</v>
      </c>
      <c r="M164" s="360">
        <f t="shared" si="25"/>
        <v>681220.16999999993</v>
      </c>
    </row>
    <row r="165" spans="1:13" x14ac:dyDescent="0.2">
      <c r="A165" s="149">
        <v>8</v>
      </c>
      <c r="B165" s="1525">
        <v>1935</v>
      </c>
      <c r="C165" s="363" t="s">
        <v>380</v>
      </c>
      <c r="D165" s="356">
        <f t="shared" si="21"/>
        <v>224974.32</v>
      </c>
      <c r="E165" s="356">
        <v>56545</v>
      </c>
      <c r="F165" s="356"/>
      <c r="G165" s="357">
        <f t="shared" si="23"/>
        <v>281519.32</v>
      </c>
      <c r="H165" s="358"/>
      <c r="I165" s="359">
        <f t="shared" si="22"/>
        <v>-171981</v>
      </c>
      <c r="J165" s="356">
        <v>-8795</v>
      </c>
      <c r="K165" s="356"/>
      <c r="L165" s="357">
        <f t="shared" si="24"/>
        <v>-180776</v>
      </c>
      <c r="M165" s="360">
        <f t="shared" si="25"/>
        <v>100743.32</v>
      </c>
    </row>
    <row r="166" spans="1:13" x14ac:dyDescent="0.2">
      <c r="A166" s="149">
        <v>8</v>
      </c>
      <c r="B166" s="1525">
        <v>1940</v>
      </c>
      <c r="C166" s="363" t="s">
        <v>381</v>
      </c>
      <c r="D166" s="356">
        <f t="shared" si="21"/>
        <v>399984.39999999997</v>
      </c>
      <c r="E166" s="356">
        <v>5382</v>
      </c>
      <c r="F166" s="356"/>
      <c r="G166" s="357">
        <f t="shared" si="23"/>
        <v>405366.39999999997</v>
      </c>
      <c r="H166" s="358"/>
      <c r="I166" s="359">
        <f t="shared" si="22"/>
        <v>-376598</v>
      </c>
      <c r="J166" s="356">
        <v>-17020</v>
      </c>
      <c r="K166" s="356"/>
      <c r="L166" s="357">
        <f t="shared" si="24"/>
        <v>-393618</v>
      </c>
      <c r="M166" s="360">
        <f t="shared" si="25"/>
        <v>11748.399999999965</v>
      </c>
    </row>
    <row r="167" spans="1:13" x14ac:dyDescent="0.2">
      <c r="A167" s="149">
        <v>8</v>
      </c>
      <c r="B167" s="1525">
        <v>1945</v>
      </c>
      <c r="C167" s="363" t="s">
        <v>382</v>
      </c>
      <c r="D167" s="356">
        <f t="shared" si="21"/>
        <v>124135.83</v>
      </c>
      <c r="E167" s="356">
        <v>2345</v>
      </c>
      <c r="F167" s="356"/>
      <c r="G167" s="357">
        <f t="shared" si="23"/>
        <v>126480.83</v>
      </c>
      <c r="H167" s="358"/>
      <c r="I167" s="359">
        <f t="shared" si="22"/>
        <v>-33683</v>
      </c>
      <c r="J167" s="356"/>
      <c r="K167" s="356"/>
      <c r="L167" s="357">
        <f t="shared" si="24"/>
        <v>-33683</v>
      </c>
      <c r="M167" s="360">
        <f t="shared" si="25"/>
        <v>92797.83</v>
      </c>
    </row>
    <row r="168" spans="1:13" x14ac:dyDescent="0.2">
      <c r="A168" s="149">
        <v>8</v>
      </c>
      <c r="B168" s="1525">
        <v>1950</v>
      </c>
      <c r="C168" s="363" t="s">
        <v>298</v>
      </c>
      <c r="D168" s="356">
        <f t="shared" si="21"/>
        <v>0</v>
      </c>
      <c r="E168" s="356"/>
      <c r="F168" s="356"/>
      <c r="G168" s="357">
        <f t="shared" si="23"/>
        <v>0</v>
      </c>
      <c r="H168" s="358"/>
      <c r="I168" s="359">
        <f t="shared" si="22"/>
        <v>0</v>
      </c>
      <c r="J168" s="356"/>
      <c r="K168" s="356"/>
      <c r="L168" s="357">
        <f t="shared" si="24"/>
        <v>0</v>
      </c>
      <c r="M168" s="360">
        <f t="shared" si="25"/>
        <v>0</v>
      </c>
    </row>
    <row r="169" spans="1:13" x14ac:dyDescent="0.2">
      <c r="A169" s="149">
        <v>8</v>
      </c>
      <c r="B169" s="1525">
        <v>1955</v>
      </c>
      <c r="C169" s="363" t="s">
        <v>383</v>
      </c>
      <c r="D169" s="356">
        <f t="shared" si="21"/>
        <v>236291.82</v>
      </c>
      <c r="E169" s="356">
        <v>3896</v>
      </c>
      <c r="F169" s="356"/>
      <c r="G169" s="357">
        <f t="shared" si="23"/>
        <v>240187.82</v>
      </c>
      <c r="H169" s="358"/>
      <c r="I169" s="359">
        <f t="shared" si="22"/>
        <v>-177028</v>
      </c>
      <c r="J169" s="356">
        <v>-10830</v>
      </c>
      <c r="K169" s="356"/>
      <c r="L169" s="357">
        <f t="shared" si="24"/>
        <v>-187858</v>
      </c>
      <c r="M169" s="360">
        <f t="shared" si="25"/>
        <v>52329.820000000007</v>
      </c>
    </row>
    <row r="170" spans="1:13" x14ac:dyDescent="0.2">
      <c r="A170" s="366">
        <v>8</v>
      </c>
      <c r="B170" s="364">
        <v>1955</v>
      </c>
      <c r="C170" s="367" t="s">
        <v>299</v>
      </c>
      <c r="D170" s="356">
        <f t="shared" si="21"/>
        <v>0</v>
      </c>
      <c r="E170" s="356"/>
      <c r="F170" s="356"/>
      <c r="G170" s="357">
        <f t="shared" si="23"/>
        <v>0</v>
      </c>
      <c r="H170" s="358"/>
      <c r="I170" s="359">
        <f t="shared" si="22"/>
        <v>0</v>
      </c>
      <c r="J170" s="356"/>
      <c r="K170" s="356"/>
      <c r="L170" s="357">
        <f t="shared" si="24"/>
        <v>0</v>
      </c>
      <c r="M170" s="360">
        <f t="shared" si="25"/>
        <v>0</v>
      </c>
    </row>
    <row r="171" spans="1:13" x14ac:dyDescent="0.2">
      <c r="A171" s="366">
        <v>8</v>
      </c>
      <c r="B171" s="368">
        <v>1960</v>
      </c>
      <c r="C171" s="355" t="s">
        <v>300</v>
      </c>
      <c r="D171" s="356">
        <f t="shared" si="21"/>
        <v>0</v>
      </c>
      <c r="E171" s="356"/>
      <c r="F171" s="356"/>
      <c r="G171" s="357">
        <f t="shared" si="23"/>
        <v>0</v>
      </c>
      <c r="H171" s="358"/>
      <c r="I171" s="359">
        <f t="shared" si="22"/>
        <v>0</v>
      </c>
      <c r="J171" s="356"/>
      <c r="K171" s="356"/>
      <c r="L171" s="357">
        <f t="shared" si="24"/>
        <v>0</v>
      </c>
      <c r="M171" s="360">
        <f t="shared" si="25"/>
        <v>0</v>
      </c>
    </row>
    <row r="172" spans="1:13" ht="25.5" x14ac:dyDescent="0.2">
      <c r="A172" s="369">
        <v>47</v>
      </c>
      <c r="B172" s="368">
        <v>1970</v>
      </c>
      <c r="C172" s="363" t="s">
        <v>649</v>
      </c>
      <c r="D172" s="356">
        <f t="shared" si="21"/>
        <v>0</v>
      </c>
      <c r="E172" s="356"/>
      <c r="F172" s="356"/>
      <c r="G172" s="357">
        <f t="shared" si="23"/>
        <v>0</v>
      </c>
      <c r="H172" s="358"/>
      <c r="I172" s="359">
        <f t="shared" si="22"/>
        <v>0</v>
      </c>
      <c r="J172" s="356"/>
      <c r="K172" s="356"/>
      <c r="L172" s="357">
        <f t="shared" si="24"/>
        <v>0</v>
      </c>
      <c r="M172" s="360">
        <f t="shared" si="25"/>
        <v>0</v>
      </c>
    </row>
    <row r="173" spans="1:13" ht="25.5" x14ac:dyDescent="0.2">
      <c r="A173" s="149">
        <v>47</v>
      </c>
      <c r="B173" s="1525">
        <v>1975</v>
      </c>
      <c r="C173" s="363" t="s">
        <v>384</v>
      </c>
      <c r="D173" s="356">
        <f t="shared" si="21"/>
        <v>0</v>
      </c>
      <c r="E173" s="356"/>
      <c r="F173" s="356"/>
      <c r="G173" s="357">
        <f t="shared" si="23"/>
        <v>0</v>
      </c>
      <c r="H173" s="358"/>
      <c r="I173" s="359">
        <f t="shared" si="22"/>
        <v>0</v>
      </c>
      <c r="J173" s="356"/>
      <c r="K173" s="356"/>
      <c r="L173" s="357">
        <f t="shared" si="24"/>
        <v>0</v>
      </c>
      <c r="M173" s="360">
        <f t="shared" si="25"/>
        <v>0</v>
      </c>
    </row>
    <row r="174" spans="1:13" x14ac:dyDescent="0.2">
      <c r="A174" s="149">
        <v>47</v>
      </c>
      <c r="B174" s="1525">
        <v>1980</v>
      </c>
      <c r="C174" s="363" t="s">
        <v>385</v>
      </c>
      <c r="D174" s="356">
        <f t="shared" si="21"/>
        <v>41545</v>
      </c>
      <c r="E174" s="356">
        <v>52654</v>
      </c>
      <c r="F174" s="356"/>
      <c r="G174" s="357">
        <f t="shared" si="23"/>
        <v>94199</v>
      </c>
      <c r="H174" s="358"/>
      <c r="I174" s="359">
        <f t="shared" si="22"/>
        <v>-41545</v>
      </c>
      <c r="J174" s="356">
        <v>-1755</v>
      </c>
      <c r="K174" s="356"/>
      <c r="L174" s="357">
        <f t="shared" si="24"/>
        <v>-43300</v>
      </c>
      <c r="M174" s="360">
        <f t="shared" si="25"/>
        <v>50899</v>
      </c>
    </row>
    <row r="175" spans="1:13" x14ac:dyDescent="0.2">
      <c r="A175" s="149">
        <v>47</v>
      </c>
      <c r="B175" s="1525">
        <v>1985</v>
      </c>
      <c r="C175" s="363" t="s">
        <v>386</v>
      </c>
      <c r="D175" s="356">
        <f t="shared" si="21"/>
        <v>0</v>
      </c>
      <c r="E175" s="356"/>
      <c r="F175" s="356"/>
      <c r="G175" s="357">
        <f t="shared" si="23"/>
        <v>0</v>
      </c>
      <c r="H175" s="358"/>
      <c r="I175" s="359">
        <f t="shared" si="22"/>
        <v>0</v>
      </c>
      <c r="J175" s="356"/>
      <c r="K175" s="356"/>
      <c r="L175" s="357">
        <f t="shared" si="24"/>
        <v>0</v>
      </c>
      <c r="M175" s="360">
        <f t="shared" si="25"/>
        <v>0</v>
      </c>
    </row>
    <row r="176" spans="1:13" x14ac:dyDescent="0.2">
      <c r="A176" s="369">
        <v>47</v>
      </c>
      <c r="B176" s="1525">
        <v>1990</v>
      </c>
      <c r="C176" s="1524" t="s">
        <v>650</v>
      </c>
      <c r="D176" s="356">
        <f t="shared" si="21"/>
        <v>133004.10999999999</v>
      </c>
      <c r="E176" s="356"/>
      <c r="F176" s="356"/>
      <c r="G176" s="357">
        <f t="shared" si="23"/>
        <v>133004.10999999999</v>
      </c>
      <c r="H176" s="358"/>
      <c r="I176" s="359">
        <f t="shared" si="22"/>
        <v>-20404</v>
      </c>
      <c r="J176" s="356">
        <v>-10089</v>
      </c>
      <c r="K176" s="356"/>
      <c r="L176" s="357">
        <f t="shared" si="24"/>
        <v>-30493</v>
      </c>
      <c r="M176" s="360">
        <f t="shared" si="25"/>
        <v>102511.10999999999</v>
      </c>
    </row>
    <row r="177" spans="1:13" x14ac:dyDescent="0.2">
      <c r="A177" s="149">
        <v>47</v>
      </c>
      <c r="B177" s="1525">
        <v>1995</v>
      </c>
      <c r="C177" s="363" t="s">
        <v>387</v>
      </c>
      <c r="D177" s="356">
        <f t="shared" si="21"/>
        <v>-43960303.840000004</v>
      </c>
      <c r="E177" s="356">
        <v>-3155364</v>
      </c>
      <c r="F177" s="356"/>
      <c r="G177" s="357">
        <f t="shared" si="23"/>
        <v>-47115667.840000004</v>
      </c>
      <c r="H177" s="358"/>
      <c r="I177" s="359">
        <f>+L115</f>
        <v>11347421</v>
      </c>
      <c r="J177" s="356">
        <v>1810413</v>
      </c>
      <c r="K177" s="356"/>
      <c r="L177" s="357">
        <f>I177+J177+K177+1</f>
        <v>13157835</v>
      </c>
      <c r="M177" s="360">
        <f>G177+L177-3</f>
        <v>-33957835.840000004</v>
      </c>
    </row>
    <row r="178" spans="1:13" ht="14.25" x14ac:dyDescent="0.2">
      <c r="A178" s="149">
        <v>47</v>
      </c>
      <c r="B178" s="1525">
        <v>2440</v>
      </c>
      <c r="C178" s="363" t="s">
        <v>1638</v>
      </c>
      <c r="D178" s="356"/>
      <c r="E178" s="356"/>
      <c r="F178" s="356"/>
      <c r="G178" s="357"/>
      <c r="I178" s="359"/>
      <c r="J178" s="356"/>
      <c r="K178" s="356"/>
      <c r="L178" s="357"/>
      <c r="M178" s="360"/>
    </row>
    <row r="179" spans="1:13" x14ac:dyDescent="0.2">
      <c r="A179" s="370"/>
      <c r="B179" s="370"/>
      <c r="C179" s="371"/>
      <c r="D179" s="372"/>
      <c r="E179" s="372"/>
      <c r="F179" s="372"/>
      <c r="G179" s="357">
        <f t="shared" ref="G179" si="26">D179+E179+F179</f>
        <v>0</v>
      </c>
      <c r="I179" s="372"/>
      <c r="J179" s="372"/>
      <c r="K179" s="372"/>
      <c r="L179" s="357">
        <f t="shared" ref="L179" si="27">I179+J179+K179</f>
        <v>0</v>
      </c>
      <c r="M179" s="360">
        <f t="shared" ref="M179" si="28">G179+L179</f>
        <v>0</v>
      </c>
    </row>
    <row r="180" spans="1:13" x14ac:dyDescent="0.2">
      <c r="A180" s="370"/>
      <c r="B180" s="370"/>
      <c r="C180" s="373" t="s">
        <v>268</v>
      </c>
      <c r="D180" s="374">
        <f>SUM(D139:D179)</f>
        <v>110589039.65499997</v>
      </c>
      <c r="E180" s="374">
        <f>SUM(E139:E179)</f>
        <v>6810752</v>
      </c>
      <c r="F180" s="374">
        <f t="shared" ref="F180:G180" si="29">SUM(F139:F179)</f>
        <v>-182052</v>
      </c>
      <c r="G180" s="374">
        <f t="shared" si="29"/>
        <v>117217739.65499997</v>
      </c>
      <c r="H180" s="374"/>
      <c r="I180" s="374">
        <f t="shared" ref="I180" si="30">SUM(I139:I179)</f>
        <v>-55342593</v>
      </c>
      <c r="J180" s="374">
        <f t="shared" ref="J180" si="31">SUM(J139:J179)</f>
        <v>-4261029</v>
      </c>
      <c r="K180" s="374">
        <f t="shared" ref="K180" si="32">SUM(K139:K179)</f>
        <v>182052</v>
      </c>
      <c r="L180" s="374">
        <f t="shared" ref="L180" si="33">SUM(L139:L179)</f>
        <v>-59421569</v>
      </c>
      <c r="M180" s="374">
        <f t="shared" ref="M180" si="34">SUM(M139:M179)</f>
        <v>57796167.654999986</v>
      </c>
    </row>
    <row r="181" spans="1:13" ht="37.5" x14ac:dyDescent="0.2">
      <c r="A181" s="370"/>
      <c r="B181" s="370"/>
      <c r="C181" s="375" t="s">
        <v>775</v>
      </c>
      <c r="D181" s="372"/>
      <c r="E181" s="372"/>
      <c r="F181" s="372"/>
      <c r="G181" s="357">
        <f t="shared" ref="G181:G182" si="35">D181+E181+F181</f>
        <v>0</v>
      </c>
      <c r="I181" s="372"/>
      <c r="J181" s="372"/>
      <c r="K181" s="372"/>
      <c r="L181" s="357">
        <f t="shared" ref="L181:L182" si="36">I181+J181+K181</f>
        <v>0</v>
      </c>
      <c r="M181" s="360">
        <f t="shared" ref="M181:M182" si="37">G181+L181</f>
        <v>0</v>
      </c>
    </row>
    <row r="182" spans="1:13" ht="25.5" x14ac:dyDescent="0.2">
      <c r="A182" s="370"/>
      <c r="B182" s="370"/>
      <c r="C182" s="376" t="s">
        <v>774</v>
      </c>
      <c r="D182" s="372"/>
      <c r="E182" s="372"/>
      <c r="F182" s="372"/>
      <c r="G182" s="357">
        <f t="shared" si="35"/>
        <v>0</v>
      </c>
      <c r="I182" s="372"/>
      <c r="J182" s="372"/>
      <c r="K182" s="372"/>
      <c r="L182" s="357">
        <f t="shared" si="36"/>
        <v>0</v>
      </c>
      <c r="M182" s="360">
        <f t="shared" si="37"/>
        <v>0</v>
      </c>
    </row>
    <row r="183" spans="1:13" x14ac:dyDescent="0.2">
      <c r="A183" s="370"/>
      <c r="B183" s="370"/>
      <c r="C183" s="373" t="s">
        <v>651</v>
      </c>
      <c r="D183" s="374">
        <f>SUM(D180:D182)</f>
        <v>110589039.65499997</v>
      </c>
      <c r="E183" s="374">
        <f t="shared" ref="E183:G183" si="38">SUM(E180:E182)</f>
        <v>6810752</v>
      </c>
      <c r="F183" s="374">
        <f t="shared" si="38"/>
        <v>-182052</v>
      </c>
      <c r="G183" s="374">
        <f t="shared" si="38"/>
        <v>117217739.65499997</v>
      </c>
      <c r="H183" s="374"/>
      <c r="I183" s="374">
        <f t="shared" ref="I183:M183" si="39">SUM(I180:I182)</f>
        <v>-55342593</v>
      </c>
      <c r="J183" s="374">
        <f t="shared" si="39"/>
        <v>-4261029</v>
      </c>
      <c r="K183" s="374">
        <f t="shared" si="39"/>
        <v>182052</v>
      </c>
      <c r="L183" s="374">
        <f t="shared" si="39"/>
        <v>-59421569</v>
      </c>
      <c r="M183" s="374">
        <f t="shared" si="39"/>
        <v>57796167.654999986</v>
      </c>
    </row>
    <row r="184" spans="1:13" ht="14.25" x14ac:dyDescent="0.2">
      <c r="A184" s="370"/>
      <c r="B184" s="370"/>
      <c r="C184" s="1994" t="s">
        <v>1568</v>
      </c>
      <c r="D184" s="1995"/>
      <c r="E184" s="1995"/>
      <c r="F184" s="1995"/>
      <c r="G184" s="1995"/>
      <c r="H184" s="1995"/>
      <c r="I184" s="1996"/>
      <c r="J184" s="372"/>
      <c r="K184" s="377"/>
      <c r="L184" s="378"/>
      <c r="M184" s="379"/>
    </row>
    <row r="185" spans="1:13" x14ac:dyDescent="0.2">
      <c r="A185" s="370"/>
      <c r="B185" s="370"/>
      <c r="C185" s="1994" t="s">
        <v>388</v>
      </c>
      <c r="D185" s="1995"/>
      <c r="E185" s="1995"/>
      <c r="F185" s="1995"/>
      <c r="G185" s="1995"/>
      <c r="H185" s="1995"/>
      <c r="I185" s="1996"/>
      <c r="J185" s="374">
        <f>J183+J184</f>
        <v>-4261029</v>
      </c>
      <c r="K185" s="377"/>
      <c r="L185" s="378"/>
      <c r="M185" s="379"/>
    </row>
    <row r="186" spans="1:13" x14ac:dyDescent="0.2">
      <c r="A186" s="1526"/>
      <c r="B186" s="1526"/>
    </row>
    <row r="187" spans="1:13" x14ac:dyDescent="0.2">
      <c r="A187" s="1526"/>
      <c r="B187" s="1526"/>
      <c r="I187" s="380" t="s">
        <v>522</v>
      </c>
      <c r="J187" s="1527"/>
    </row>
    <row r="188" spans="1:13" x14ac:dyDescent="0.2">
      <c r="A188" s="370">
        <v>10</v>
      </c>
      <c r="B188" s="370"/>
      <c r="C188" s="371" t="s">
        <v>389</v>
      </c>
      <c r="I188" s="1527" t="s">
        <v>389</v>
      </c>
      <c r="J188" s="1527"/>
      <c r="K188" s="381">
        <f>+J164</f>
        <v>-148853</v>
      </c>
    </row>
    <row r="189" spans="1:13" x14ac:dyDescent="0.2">
      <c r="A189" s="370">
        <v>8</v>
      </c>
      <c r="B189" s="370"/>
      <c r="C189" s="371" t="s">
        <v>380</v>
      </c>
      <c r="I189" s="1527" t="s">
        <v>380</v>
      </c>
      <c r="J189" s="1527"/>
      <c r="K189" s="381">
        <f>+J165</f>
        <v>-8795</v>
      </c>
    </row>
    <row r="190" spans="1:13" x14ac:dyDescent="0.2">
      <c r="A190" s="370">
        <v>8</v>
      </c>
      <c r="B190" s="1525"/>
      <c r="C190" s="363" t="s">
        <v>381</v>
      </c>
      <c r="I190" s="1527" t="s">
        <v>2162</v>
      </c>
      <c r="J190" s="1527"/>
      <c r="K190" s="381">
        <f>+J166</f>
        <v>-17020</v>
      </c>
    </row>
    <row r="191" spans="1:13" x14ac:dyDescent="0.2">
      <c r="A191" s="370">
        <v>8</v>
      </c>
      <c r="B191" s="1525"/>
      <c r="C191" s="363" t="s">
        <v>382</v>
      </c>
      <c r="I191" s="1527" t="s">
        <v>2163</v>
      </c>
      <c r="J191" s="1527"/>
      <c r="K191" s="381">
        <f>+J167</f>
        <v>0</v>
      </c>
    </row>
    <row r="192" spans="1:13" x14ac:dyDescent="0.2">
      <c r="A192" s="1526"/>
      <c r="B192" s="1526"/>
      <c r="I192" s="382" t="s">
        <v>390</v>
      </c>
      <c r="K192" s="383">
        <f>J185-K188-K189-K190-K191</f>
        <v>-4086361</v>
      </c>
    </row>
    <row r="193" spans="1:13" x14ac:dyDescent="0.2">
      <c r="A193" s="1526"/>
      <c r="B193" s="1526"/>
      <c r="I193" s="382"/>
      <c r="K193" s="1538"/>
    </row>
    <row r="194" spans="1:13" ht="21" x14ac:dyDescent="0.2">
      <c r="A194" s="1997" t="s">
        <v>1828</v>
      </c>
      <c r="B194" s="1997"/>
      <c r="C194" s="1997"/>
      <c r="D194" s="1997"/>
      <c r="E194" s="1997"/>
      <c r="F194" s="1997"/>
      <c r="G194" s="1997"/>
      <c r="H194" s="1997"/>
      <c r="I194" s="1997"/>
      <c r="J194" s="1997"/>
      <c r="K194" s="1997"/>
      <c r="L194" s="1997"/>
      <c r="M194" s="1997"/>
    </row>
    <row r="195" spans="1:13" x14ac:dyDescent="0.2">
      <c r="A195" s="1526"/>
      <c r="B195" s="1526"/>
      <c r="H195" s="140"/>
    </row>
    <row r="196" spans="1:13" x14ac:dyDescent="0.2">
      <c r="A196" s="1526"/>
      <c r="B196" s="1526"/>
      <c r="E196" s="303" t="s">
        <v>1520</v>
      </c>
      <c r="F196" s="128" t="s">
        <v>152</v>
      </c>
      <c r="H196" s="140"/>
    </row>
    <row r="197" spans="1:13" ht="15" x14ac:dyDescent="0.25">
      <c r="A197" s="1526"/>
      <c r="B197" s="1526"/>
      <c r="C197" s="158"/>
      <c r="E197" s="303" t="s">
        <v>149</v>
      </c>
      <c r="F197" s="343">
        <v>2013</v>
      </c>
      <c r="G197" s="344"/>
    </row>
    <row r="198" spans="1:13" x14ac:dyDescent="0.2">
      <c r="A198" s="1526"/>
      <c r="B198" s="1526"/>
    </row>
    <row r="199" spans="1:13" x14ac:dyDescent="0.2">
      <c r="A199" s="1526"/>
      <c r="B199" s="1526"/>
      <c r="D199" s="1998" t="s">
        <v>355</v>
      </c>
      <c r="E199" s="1999"/>
      <c r="F199" s="1999"/>
      <c r="G199" s="2000"/>
      <c r="I199" s="345"/>
      <c r="J199" s="346" t="s">
        <v>356</v>
      </c>
      <c r="K199" s="346"/>
      <c r="L199" s="347"/>
      <c r="M199" s="342"/>
    </row>
    <row r="200" spans="1:13" ht="25.5" customHeight="1" x14ac:dyDescent="0.2">
      <c r="A200" s="348" t="s">
        <v>1829</v>
      </c>
      <c r="B200" s="348" t="s">
        <v>1831</v>
      </c>
      <c r="C200" s="349" t="s">
        <v>1832</v>
      </c>
      <c r="D200" s="348" t="s">
        <v>325</v>
      </c>
      <c r="E200" s="350" t="s">
        <v>1830</v>
      </c>
      <c r="F200" s="350" t="s">
        <v>353</v>
      </c>
      <c r="G200" s="348" t="s">
        <v>354</v>
      </c>
      <c r="H200" s="351"/>
      <c r="I200" s="352" t="s">
        <v>325</v>
      </c>
      <c r="J200" s="353" t="s">
        <v>326</v>
      </c>
      <c r="K200" s="353" t="s">
        <v>353</v>
      </c>
      <c r="L200" s="354" t="s">
        <v>354</v>
      </c>
      <c r="M200" s="348" t="s">
        <v>393</v>
      </c>
    </row>
    <row r="201" spans="1:13" x14ac:dyDescent="0.2">
      <c r="A201" s="149">
        <v>47</v>
      </c>
      <c r="B201" s="1525">
        <v>1609</v>
      </c>
      <c r="C201" s="355" t="s">
        <v>2159</v>
      </c>
      <c r="D201" s="356"/>
      <c r="E201" s="356">
        <v>122349</v>
      </c>
      <c r="F201" s="356"/>
      <c r="G201" s="357">
        <f>D201+E201+F201</f>
        <v>122349</v>
      </c>
      <c r="H201" s="358"/>
      <c r="I201" s="359"/>
      <c r="J201" s="356">
        <v>-1524</v>
      </c>
      <c r="K201" s="356"/>
      <c r="L201" s="357">
        <f>I201+J201+K201</f>
        <v>-1524</v>
      </c>
      <c r="M201" s="360">
        <f>G201+L201</f>
        <v>120825</v>
      </c>
    </row>
    <row r="202" spans="1:13" ht="25.5" x14ac:dyDescent="0.2">
      <c r="A202" s="149">
        <v>12</v>
      </c>
      <c r="B202" s="1525">
        <v>1611</v>
      </c>
      <c r="C202" s="355" t="s">
        <v>475</v>
      </c>
      <c r="D202" s="356">
        <f>+G78</f>
        <v>697333</v>
      </c>
      <c r="E202" s="356">
        <v>183251</v>
      </c>
      <c r="F202" s="356"/>
      <c r="G202" s="357">
        <f>D202+E202+F202</f>
        <v>880584</v>
      </c>
      <c r="H202" s="358"/>
      <c r="I202" s="359">
        <f>+L78</f>
        <v>-462747</v>
      </c>
      <c r="J202" s="356">
        <f>-18326-48227</f>
        <v>-66553</v>
      </c>
      <c r="K202" s="356"/>
      <c r="L202" s="357">
        <f>I202+J202+K202</f>
        <v>-529300</v>
      </c>
      <c r="M202" s="360">
        <f>G202+L202</f>
        <v>351284</v>
      </c>
    </row>
    <row r="203" spans="1:13" ht="25.5" x14ac:dyDescent="0.2">
      <c r="A203" s="149" t="s">
        <v>365</v>
      </c>
      <c r="B203" s="1525">
        <v>1612</v>
      </c>
      <c r="C203" s="355" t="s">
        <v>563</v>
      </c>
      <c r="D203" s="356">
        <f t="shared" ref="D203:D239" si="40">+G79</f>
        <v>0</v>
      </c>
      <c r="E203" s="356"/>
      <c r="F203" s="356"/>
      <c r="G203" s="357">
        <f>D203+E203+F203</f>
        <v>0</v>
      </c>
      <c r="H203" s="358"/>
      <c r="I203" s="359">
        <f t="shared" ref="I203:I239" si="41">+L79</f>
        <v>0</v>
      </c>
      <c r="J203" s="356"/>
      <c r="K203" s="356"/>
      <c r="L203" s="357">
        <f>I203+J203+K203</f>
        <v>0</v>
      </c>
      <c r="M203" s="360">
        <f>G203+L203</f>
        <v>0</v>
      </c>
    </row>
    <row r="204" spans="1:13" x14ac:dyDescent="0.2">
      <c r="A204" s="149" t="s">
        <v>357</v>
      </c>
      <c r="B204" s="361">
        <v>1805</v>
      </c>
      <c r="C204" s="362" t="s">
        <v>358</v>
      </c>
      <c r="D204" s="356">
        <f t="shared" si="40"/>
        <v>69883.360000000001</v>
      </c>
      <c r="E204" s="356"/>
      <c r="F204" s="356"/>
      <c r="G204" s="357">
        <f>D204+E204+F204</f>
        <v>69883.360000000001</v>
      </c>
      <c r="H204" s="358"/>
      <c r="I204" s="359">
        <f t="shared" si="41"/>
        <v>0</v>
      </c>
      <c r="J204" s="356"/>
      <c r="K204" s="356"/>
      <c r="L204" s="357">
        <f>I204+J204+K204</f>
        <v>0</v>
      </c>
      <c r="M204" s="360">
        <f>G204+L204</f>
        <v>69883.360000000001</v>
      </c>
    </row>
    <row r="205" spans="1:13" x14ac:dyDescent="0.2">
      <c r="A205" s="149">
        <v>47</v>
      </c>
      <c r="B205" s="361">
        <v>1808</v>
      </c>
      <c r="C205" s="363" t="s">
        <v>359</v>
      </c>
      <c r="D205" s="356">
        <f t="shared" si="40"/>
        <v>0</v>
      </c>
      <c r="E205" s="356"/>
      <c r="F205" s="356"/>
      <c r="G205" s="357">
        <f t="shared" ref="G205:G239" si="42">D205+E205+F205</f>
        <v>0</v>
      </c>
      <c r="H205" s="358"/>
      <c r="I205" s="359">
        <f t="shared" si="41"/>
        <v>0</v>
      </c>
      <c r="J205" s="356"/>
      <c r="K205" s="356"/>
      <c r="L205" s="357">
        <f t="shared" ref="L205:L239" si="43">I205+J205+K205</f>
        <v>0</v>
      </c>
      <c r="M205" s="360">
        <f t="shared" ref="M205:M239" si="44">G205+L205</f>
        <v>0</v>
      </c>
    </row>
    <row r="206" spans="1:13" x14ac:dyDescent="0.2">
      <c r="A206" s="149">
        <v>13</v>
      </c>
      <c r="B206" s="361">
        <v>1810</v>
      </c>
      <c r="C206" s="363" t="s">
        <v>392</v>
      </c>
      <c r="D206" s="356">
        <f t="shared" si="40"/>
        <v>0</v>
      </c>
      <c r="E206" s="356"/>
      <c r="F206" s="356"/>
      <c r="G206" s="357">
        <f t="shared" si="42"/>
        <v>0</v>
      </c>
      <c r="H206" s="358"/>
      <c r="I206" s="359">
        <f t="shared" si="41"/>
        <v>0</v>
      </c>
      <c r="J206" s="356"/>
      <c r="K206" s="356"/>
      <c r="L206" s="357">
        <f t="shared" si="43"/>
        <v>0</v>
      </c>
      <c r="M206" s="360">
        <f t="shared" si="44"/>
        <v>0</v>
      </c>
    </row>
    <row r="207" spans="1:13" x14ac:dyDescent="0.2">
      <c r="A207" s="149">
        <v>47</v>
      </c>
      <c r="B207" s="361">
        <v>1815</v>
      </c>
      <c r="C207" s="363" t="s">
        <v>360</v>
      </c>
      <c r="D207" s="356">
        <f t="shared" si="40"/>
        <v>0</v>
      </c>
      <c r="E207" s="356"/>
      <c r="F207" s="356"/>
      <c r="G207" s="357">
        <f t="shared" si="42"/>
        <v>0</v>
      </c>
      <c r="H207" s="358"/>
      <c r="I207" s="359">
        <f t="shared" si="41"/>
        <v>0</v>
      </c>
      <c r="J207" s="356"/>
      <c r="K207" s="356"/>
      <c r="L207" s="357">
        <f t="shared" si="43"/>
        <v>0</v>
      </c>
      <c r="M207" s="360">
        <f t="shared" si="44"/>
        <v>0</v>
      </c>
    </row>
    <row r="208" spans="1:13" x14ac:dyDescent="0.2">
      <c r="A208" s="149">
        <v>47</v>
      </c>
      <c r="B208" s="361">
        <v>1820</v>
      </c>
      <c r="C208" s="355" t="s">
        <v>287</v>
      </c>
      <c r="D208" s="356">
        <f t="shared" si="40"/>
        <v>1516191.65</v>
      </c>
      <c r="E208" s="356"/>
      <c r="F208" s="356"/>
      <c r="G208" s="357">
        <f t="shared" si="42"/>
        <v>1516191.65</v>
      </c>
      <c r="H208" s="358"/>
      <c r="I208" s="359">
        <f t="shared" si="41"/>
        <v>-1403742</v>
      </c>
      <c r="J208" s="356">
        <v>-23011</v>
      </c>
      <c r="K208" s="356"/>
      <c r="L208" s="357">
        <f t="shared" si="43"/>
        <v>-1426753</v>
      </c>
      <c r="M208" s="360">
        <f t="shared" si="44"/>
        <v>89438.649999999907</v>
      </c>
    </row>
    <row r="209" spans="1:13" x14ac:dyDescent="0.2">
      <c r="A209" s="149">
        <v>47</v>
      </c>
      <c r="B209" s="361">
        <v>1825</v>
      </c>
      <c r="C209" s="363" t="s">
        <v>361</v>
      </c>
      <c r="D209" s="356">
        <f t="shared" si="40"/>
        <v>0</v>
      </c>
      <c r="E209" s="356"/>
      <c r="F209" s="356"/>
      <c r="G209" s="357">
        <f t="shared" si="42"/>
        <v>0</v>
      </c>
      <c r="H209" s="358"/>
      <c r="I209" s="359">
        <f t="shared" si="41"/>
        <v>0</v>
      </c>
      <c r="J209" s="356"/>
      <c r="K209" s="356"/>
      <c r="L209" s="357">
        <f t="shared" si="43"/>
        <v>0</v>
      </c>
      <c r="M209" s="360">
        <f t="shared" si="44"/>
        <v>0</v>
      </c>
    </row>
    <row r="210" spans="1:13" x14ac:dyDescent="0.2">
      <c r="A210" s="149">
        <v>47</v>
      </c>
      <c r="B210" s="361">
        <v>1830</v>
      </c>
      <c r="C210" s="363" t="s">
        <v>362</v>
      </c>
      <c r="D210" s="356">
        <f t="shared" si="40"/>
        <v>26746709.210000001</v>
      </c>
      <c r="E210" s="356">
        <v>1985156</v>
      </c>
      <c r="F210" s="356"/>
      <c r="G210" s="357">
        <f t="shared" si="42"/>
        <v>28731865.210000001</v>
      </c>
      <c r="H210" s="358"/>
      <c r="I210" s="359">
        <f t="shared" si="41"/>
        <v>-9666786</v>
      </c>
      <c r="J210" s="356">
        <f>-426394+2</f>
        <v>-426392</v>
      </c>
      <c r="K210" s="356"/>
      <c r="L210" s="357">
        <f>I210+J210+K210+1</f>
        <v>-10093177</v>
      </c>
      <c r="M210" s="360">
        <f>G210+L210-1</f>
        <v>18638687.210000001</v>
      </c>
    </row>
    <row r="211" spans="1:13" x14ac:dyDescent="0.2">
      <c r="A211" s="149">
        <v>47</v>
      </c>
      <c r="B211" s="361">
        <v>1835</v>
      </c>
      <c r="C211" s="363" t="s">
        <v>288</v>
      </c>
      <c r="D211" s="356">
        <f t="shared" si="40"/>
        <v>21079858.809999995</v>
      </c>
      <c r="E211" s="356">
        <v>776479</v>
      </c>
      <c r="F211" s="356"/>
      <c r="G211" s="357">
        <f t="shared" si="42"/>
        <v>21856337.809999995</v>
      </c>
      <c r="H211" s="358"/>
      <c r="I211" s="359">
        <f t="shared" si="41"/>
        <v>-12042386</v>
      </c>
      <c r="J211" s="356">
        <v>-276361</v>
      </c>
      <c r="K211" s="356"/>
      <c r="L211" s="357">
        <f t="shared" si="43"/>
        <v>-12318747</v>
      </c>
      <c r="M211" s="360">
        <f t="shared" si="44"/>
        <v>9537590.8099999949</v>
      </c>
    </row>
    <row r="212" spans="1:13" x14ac:dyDescent="0.2">
      <c r="A212" s="149">
        <v>47</v>
      </c>
      <c r="B212" s="361">
        <v>1840</v>
      </c>
      <c r="C212" s="363" t="s">
        <v>289</v>
      </c>
      <c r="D212" s="356">
        <f t="shared" si="40"/>
        <v>22291208.84</v>
      </c>
      <c r="E212" s="356">
        <v>1621551</v>
      </c>
      <c r="F212" s="356"/>
      <c r="G212" s="357">
        <f t="shared" si="42"/>
        <v>23912759.84</v>
      </c>
      <c r="H212" s="358"/>
      <c r="I212" s="359">
        <f t="shared" si="41"/>
        <v>-7353109</v>
      </c>
      <c r="J212" s="356">
        <v>-474315</v>
      </c>
      <c r="K212" s="356"/>
      <c r="L212" s="357">
        <f t="shared" si="43"/>
        <v>-7827424</v>
      </c>
      <c r="M212" s="360">
        <f t="shared" si="44"/>
        <v>16085335.84</v>
      </c>
    </row>
    <row r="213" spans="1:13" x14ac:dyDescent="0.2">
      <c r="A213" s="149">
        <v>47</v>
      </c>
      <c r="B213" s="361">
        <v>1845</v>
      </c>
      <c r="C213" s="363" t="s">
        <v>290</v>
      </c>
      <c r="D213" s="356">
        <f t="shared" si="40"/>
        <v>16497129.970000001</v>
      </c>
      <c r="E213" s="356">
        <v>792819</v>
      </c>
      <c r="F213" s="356"/>
      <c r="G213" s="357">
        <f t="shared" si="42"/>
        <v>17289948.969999999</v>
      </c>
      <c r="H213" s="358"/>
      <c r="I213" s="359">
        <f t="shared" si="41"/>
        <v>-6806851</v>
      </c>
      <c r="J213" s="356">
        <v>-334539</v>
      </c>
      <c r="K213" s="356"/>
      <c r="L213" s="357">
        <f t="shared" si="43"/>
        <v>-7141390</v>
      </c>
      <c r="M213" s="360">
        <f t="shared" si="44"/>
        <v>10148558.969999999</v>
      </c>
    </row>
    <row r="214" spans="1:13" x14ac:dyDescent="0.2">
      <c r="A214" s="149">
        <v>47</v>
      </c>
      <c r="B214" s="361">
        <v>1850</v>
      </c>
      <c r="C214" s="363" t="s">
        <v>363</v>
      </c>
      <c r="D214" s="356">
        <f t="shared" si="40"/>
        <v>35028627.070000008</v>
      </c>
      <c r="E214" s="356">
        <v>1034618</v>
      </c>
      <c r="F214" s="356"/>
      <c r="G214" s="357">
        <f t="shared" si="42"/>
        <v>36063245.070000008</v>
      </c>
      <c r="H214" s="358"/>
      <c r="I214" s="359">
        <f t="shared" si="41"/>
        <v>-16710226</v>
      </c>
      <c r="J214" s="356">
        <v>-647454</v>
      </c>
      <c r="K214" s="356"/>
      <c r="L214" s="357">
        <f t="shared" si="43"/>
        <v>-17357680</v>
      </c>
      <c r="M214" s="360">
        <f t="shared" si="44"/>
        <v>18705565.070000008</v>
      </c>
    </row>
    <row r="215" spans="1:13" x14ac:dyDescent="0.2">
      <c r="A215" s="149">
        <v>47</v>
      </c>
      <c r="B215" s="361">
        <v>1855</v>
      </c>
      <c r="C215" s="363" t="s">
        <v>291</v>
      </c>
      <c r="D215" s="356">
        <f t="shared" si="40"/>
        <v>13221494.449999999</v>
      </c>
      <c r="E215" s="356">
        <v>744008</v>
      </c>
      <c r="F215" s="356"/>
      <c r="G215" s="357">
        <f t="shared" si="42"/>
        <v>13965502.449999999</v>
      </c>
      <c r="H215" s="358"/>
      <c r="I215" s="359">
        <f t="shared" si="41"/>
        <v>-3527310</v>
      </c>
      <c r="J215" s="356">
        <v>-205736</v>
      </c>
      <c r="K215" s="356"/>
      <c r="L215" s="357">
        <f t="shared" si="43"/>
        <v>-3733046</v>
      </c>
      <c r="M215" s="360">
        <f t="shared" si="44"/>
        <v>10232456.449999999</v>
      </c>
    </row>
    <row r="216" spans="1:13" x14ac:dyDescent="0.2">
      <c r="A216" s="149">
        <v>47</v>
      </c>
      <c r="B216" s="361">
        <v>1860</v>
      </c>
      <c r="C216" s="363" t="s">
        <v>364</v>
      </c>
      <c r="D216" s="356">
        <f t="shared" si="40"/>
        <v>0</v>
      </c>
      <c r="E216" s="356"/>
      <c r="F216" s="356"/>
      <c r="G216" s="357">
        <f t="shared" si="42"/>
        <v>0</v>
      </c>
      <c r="H216" s="358"/>
      <c r="I216" s="359">
        <f t="shared" si="41"/>
        <v>0</v>
      </c>
      <c r="J216" s="356"/>
      <c r="K216" s="356"/>
      <c r="L216" s="357">
        <f t="shared" si="43"/>
        <v>0</v>
      </c>
      <c r="M216" s="360">
        <f t="shared" si="44"/>
        <v>0</v>
      </c>
    </row>
    <row r="217" spans="1:13" x14ac:dyDescent="0.2">
      <c r="A217" s="149">
        <v>47</v>
      </c>
      <c r="B217" s="361">
        <v>1860</v>
      </c>
      <c r="C217" s="362" t="s">
        <v>292</v>
      </c>
      <c r="D217" s="356">
        <f t="shared" si="40"/>
        <v>10398463.719999999</v>
      </c>
      <c r="E217" s="356">
        <v>794330</v>
      </c>
      <c r="F217" s="356"/>
      <c r="G217" s="357">
        <f t="shared" si="42"/>
        <v>11192793.719999999</v>
      </c>
      <c r="H217" s="358"/>
      <c r="I217" s="359">
        <f t="shared" si="41"/>
        <v>-4013698</v>
      </c>
      <c r="J217" s="356">
        <v>-745788</v>
      </c>
      <c r="K217" s="356"/>
      <c r="L217" s="357">
        <f t="shared" si="43"/>
        <v>-4759486</v>
      </c>
      <c r="M217" s="360">
        <f t="shared" si="44"/>
        <v>6433307.7199999988</v>
      </c>
    </row>
    <row r="218" spans="1:13" x14ac:dyDescent="0.2">
      <c r="A218" s="149" t="s">
        <v>357</v>
      </c>
      <c r="B218" s="361">
        <v>1905</v>
      </c>
      <c r="C218" s="362" t="s">
        <v>358</v>
      </c>
      <c r="D218" s="356">
        <f t="shared" si="40"/>
        <v>1142051.7649999999</v>
      </c>
      <c r="E218" s="356"/>
      <c r="F218" s="356"/>
      <c r="G218" s="357">
        <f t="shared" si="42"/>
        <v>1142051.7649999999</v>
      </c>
      <c r="H218" s="358"/>
      <c r="I218" s="359">
        <f t="shared" si="41"/>
        <v>0</v>
      </c>
      <c r="J218" s="356"/>
      <c r="K218" s="356"/>
      <c r="L218" s="357">
        <f t="shared" si="43"/>
        <v>0</v>
      </c>
      <c r="M218" s="360">
        <f t="shared" si="44"/>
        <v>1142051.7649999999</v>
      </c>
    </row>
    <row r="219" spans="1:13" x14ac:dyDescent="0.2">
      <c r="A219" s="149">
        <v>47</v>
      </c>
      <c r="B219" s="361">
        <v>1908</v>
      </c>
      <c r="C219" s="363" t="s">
        <v>366</v>
      </c>
      <c r="D219" s="356">
        <f t="shared" si="40"/>
        <v>0</v>
      </c>
      <c r="E219" s="356"/>
      <c r="F219" s="356"/>
      <c r="G219" s="357">
        <f t="shared" si="42"/>
        <v>0</v>
      </c>
      <c r="H219" s="358"/>
      <c r="I219" s="359">
        <f t="shared" si="41"/>
        <v>0</v>
      </c>
      <c r="J219" s="356"/>
      <c r="K219" s="356"/>
      <c r="L219" s="357">
        <f t="shared" si="43"/>
        <v>0</v>
      </c>
      <c r="M219" s="360">
        <f t="shared" si="44"/>
        <v>0</v>
      </c>
    </row>
    <row r="220" spans="1:13" x14ac:dyDescent="0.2">
      <c r="A220" s="149">
        <v>13</v>
      </c>
      <c r="B220" s="361">
        <v>1910</v>
      </c>
      <c r="C220" s="363" t="s">
        <v>392</v>
      </c>
      <c r="D220" s="356">
        <f t="shared" si="40"/>
        <v>377009</v>
      </c>
      <c r="E220" s="356"/>
      <c r="F220" s="356"/>
      <c r="G220" s="357">
        <f t="shared" si="42"/>
        <v>377009</v>
      </c>
      <c r="H220" s="358"/>
      <c r="I220" s="359">
        <f t="shared" si="41"/>
        <v>-284774</v>
      </c>
      <c r="J220" s="356">
        <v>-80211</v>
      </c>
      <c r="K220" s="356"/>
      <c r="L220" s="357">
        <f t="shared" si="43"/>
        <v>-364985</v>
      </c>
      <c r="M220" s="360">
        <f t="shared" si="44"/>
        <v>12024</v>
      </c>
    </row>
    <row r="221" spans="1:13" x14ac:dyDescent="0.2">
      <c r="A221" s="149">
        <v>8</v>
      </c>
      <c r="B221" s="361">
        <v>1915</v>
      </c>
      <c r="C221" s="363" t="s">
        <v>293</v>
      </c>
      <c r="D221" s="356">
        <f t="shared" si="40"/>
        <v>712089</v>
      </c>
      <c r="E221" s="356"/>
      <c r="F221" s="356"/>
      <c r="G221" s="357">
        <f t="shared" si="42"/>
        <v>712089</v>
      </c>
      <c r="H221" s="358"/>
      <c r="I221" s="359">
        <f t="shared" si="41"/>
        <v>-605347</v>
      </c>
      <c r="J221" s="356">
        <v>-16938</v>
      </c>
      <c r="K221" s="356"/>
      <c r="L221" s="357">
        <f t="shared" si="43"/>
        <v>-622285</v>
      </c>
      <c r="M221" s="360">
        <f t="shared" si="44"/>
        <v>89804</v>
      </c>
    </row>
    <row r="222" spans="1:13" x14ac:dyDescent="0.2">
      <c r="A222" s="149">
        <v>8</v>
      </c>
      <c r="B222" s="361">
        <v>1915</v>
      </c>
      <c r="C222" s="363" t="s">
        <v>294</v>
      </c>
      <c r="D222" s="356">
        <f t="shared" si="40"/>
        <v>0</v>
      </c>
      <c r="E222" s="356"/>
      <c r="F222" s="356"/>
      <c r="G222" s="357">
        <f t="shared" si="42"/>
        <v>0</v>
      </c>
      <c r="H222" s="358"/>
      <c r="I222" s="359">
        <f t="shared" si="41"/>
        <v>0</v>
      </c>
      <c r="J222" s="356"/>
      <c r="K222" s="356"/>
      <c r="L222" s="357">
        <f t="shared" si="43"/>
        <v>0</v>
      </c>
      <c r="M222" s="360">
        <f t="shared" si="44"/>
        <v>0</v>
      </c>
    </row>
    <row r="223" spans="1:13" x14ac:dyDescent="0.2">
      <c r="A223" s="149">
        <v>10</v>
      </c>
      <c r="B223" s="361">
        <v>1920</v>
      </c>
      <c r="C223" s="363" t="s">
        <v>295</v>
      </c>
      <c r="D223" s="356">
        <f t="shared" si="40"/>
        <v>1656712</v>
      </c>
      <c r="E223" s="356">
        <v>137423</v>
      </c>
      <c r="F223" s="356"/>
      <c r="G223" s="357">
        <f t="shared" si="42"/>
        <v>1794135</v>
      </c>
      <c r="H223" s="358"/>
      <c r="I223" s="359">
        <f t="shared" si="41"/>
        <v>-1487051</v>
      </c>
      <c r="J223" s="356">
        <v>-62527</v>
      </c>
      <c r="K223" s="356"/>
      <c r="L223" s="357">
        <f t="shared" si="43"/>
        <v>-1549578</v>
      </c>
      <c r="M223" s="360">
        <f t="shared" si="44"/>
        <v>244557</v>
      </c>
    </row>
    <row r="224" spans="1:13" ht="25.5" x14ac:dyDescent="0.2">
      <c r="A224" s="149">
        <v>45</v>
      </c>
      <c r="B224" s="364">
        <v>1920</v>
      </c>
      <c r="C224" s="355" t="s">
        <v>297</v>
      </c>
      <c r="D224" s="356">
        <f t="shared" si="40"/>
        <v>0</v>
      </c>
      <c r="E224" s="356"/>
      <c r="F224" s="356"/>
      <c r="G224" s="357">
        <f t="shared" si="42"/>
        <v>0</v>
      </c>
      <c r="H224" s="358"/>
      <c r="I224" s="359">
        <f t="shared" si="41"/>
        <v>0</v>
      </c>
      <c r="J224" s="356"/>
      <c r="K224" s="356"/>
      <c r="L224" s="357">
        <f t="shared" si="43"/>
        <v>0</v>
      </c>
      <c r="M224" s="360">
        <f t="shared" si="44"/>
        <v>0</v>
      </c>
    </row>
    <row r="225" spans="1:13" ht="25.5" x14ac:dyDescent="0.2">
      <c r="A225" s="149">
        <v>45.1</v>
      </c>
      <c r="B225" s="364">
        <v>1920</v>
      </c>
      <c r="C225" s="355" t="s">
        <v>296</v>
      </c>
      <c r="D225" s="356">
        <f t="shared" si="40"/>
        <v>0</v>
      </c>
      <c r="E225" s="356"/>
      <c r="F225" s="356"/>
      <c r="G225" s="357">
        <f t="shared" si="42"/>
        <v>0</v>
      </c>
      <c r="H225" s="358"/>
      <c r="I225" s="359">
        <f t="shared" si="41"/>
        <v>0</v>
      </c>
      <c r="J225" s="356"/>
      <c r="K225" s="356"/>
      <c r="L225" s="357">
        <f t="shared" si="43"/>
        <v>0</v>
      </c>
      <c r="M225" s="360">
        <f t="shared" si="44"/>
        <v>0</v>
      </c>
    </row>
    <row r="226" spans="1:13" x14ac:dyDescent="0.2">
      <c r="A226" s="149">
        <v>10</v>
      </c>
      <c r="B226" s="1525">
        <v>1930</v>
      </c>
      <c r="C226" s="363" t="s">
        <v>379</v>
      </c>
      <c r="D226" s="356">
        <f t="shared" si="40"/>
        <v>1954646.1700000002</v>
      </c>
      <c r="E226" s="356">
        <v>380175</v>
      </c>
      <c r="F226" s="356">
        <v>-182052</v>
      </c>
      <c r="G226" s="357">
        <f t="shared" si="42"/>
        <v>2152769.17</v>
      </c>
      <c r="H226" s="358"/>
      <c r="I226" s="359">
        <f t="shared" si="41"/>
        <v>-1504748</v>
      </c>
      <c r="J226" s="356">
        <v>-74427</v>
      </c>
      <c r="K226" s="356">
        <v>182052</v>
      </c>
      <c r="L226" s="357">
        <f t="shared" si="43"/>
        <v>-1397123</v>
      </c>
      <c r="M226" s="360">
        <f t="shared" si="44"/>
        <v>755646.16999999993</v>
      </c>
    </row>
    <row r="227" spans="1:13" x14ac:dyDescent="0.2">
      <c r="A227" s="149">
        <v>8</v>
      </c>
      <c r="B227" s="1525">
        <v>1935</v>
      </c>
      <c r="C227" s="363" t="s">
        <v>380</v>
      </c>
      <c r="D227" s="356">
        <f t="shared" si="40"/>
        <v>224974.32</v>
      </c>
      <c r="E227" s="356">
        <v>56545</v>
      </c>
      <c r="F227" s="356"/>
      <c r="G227" s="357">
        <f t="shared" si="42"/>
        <v>281519.32</v>
      </c>
      <c r="H227" s="358"/>
      <c r="I227" s="359">
        <f t="shared" si="41"/>
        <v>-171981</v>
      </c>
      <c r="J227" s="356">
        <v>-5012</v>
      </c>
      <c r="K227" s="356"/>
      <c r="L227" s="357">
        <f t="shared" si="43"/>
        <v>-176993</v>
      </c>
      <c r="M227" s="360">
        <f t="shared" si="44"/>
        <v>104526.32</v>
      </c>
    </row>
    <row r="228" spans="1:13" x14ac:dyDescent="0.2">
      <c r="A228" s="149">
        <v>8</v>
      </c>
      <c r="B228" s="1525">
        <v>1940</v>
      </c>
      <c r="C228" s="363" t="s">
        <v>381</v>
      </c>
      <c r="D228" s="356">
        <f t="shared" si="40"/>
        <v>399984.39999999997</v>
      </c>
      <c r="E228" s="356">
        <v>5382</v>
      </c>
      <c r="F228" s="356"/>
      <c r="G228" s="357">
        <f t="shared" si="42"/>
        <v>405366.39999999997</v>
      </c>
      <c r="H228" s="358"/>
      <c r="I228" s="359">
        <f t="shared" si="41"/>
        <v>-376598</v>
      </c>
      <c r="J228" s="356">
        <v>-7663</v>
      </c>
      <c r="K228" s="356"/>
      <c r="L228" s="357">
        <f t="shared" si="43"/>
        <v>-384261</v>
      </c>
      <c r="M228" s="360">
        <f t="shared" si="44"/>
        <v>21105.399999999965</v>
      </c>
    </row>
    <row r="229" spans="1:13" x14ac:dyDescent="0.2">
      <c r="A229" s="149">
        <v>8</v>
      </c>
      <c r="B229" s="1525">
        <v>1945</v>
      </c>
      <c r="C229" s="363" t="s">
        <v>382</v>
      </c>
      <c r="D229" s="356">
        <f t="shared" si="40"/>
        <v>124135.83</v>
      </c>
      <c r="E229" s="356">
        <v>2345</v>
      </c>
      <c r="F229" s="356"/>
      <c r="G229" s="357">
        <f t="shared" si="42"/>
        <v>126480.83</v>
      </c>
      <c r="H229" s="358"/>
      <c r="I229" s="359">
        <f t="shared" si="41"/>
        <v>-33683</v>
      </c>
      <c r="J229" s="356">
        <v>-9356</v>
      </c>
      <c r="K229" s="356"/>
      <c r="L229" s="357">
        <f t="shared" si="43"/>
        <v>-43039</v>
      </c>
      <c r="M229" s="360">
        <f t="shared" si="44"/>
        <v>83441.83</v>
      </c>
    </row>
    <row r="230" spans="1:13" x14ac:dyDescent="0.2">
      <c r="A230" s="149">
        <v>8</v>
      </c>
      <c r="B230" s="1525">
        <v>1950</v>
      </c>
      <c r="C230" s="363" t="s">
        <v>298</v>
      </c>
      <c r="D230" s="356">
        <f t="shared" si="40"/>
        <v>0</v>
      </c>
      <c r="E230" s="356"/>
      <c r="F230" s="356"/>
      <c r="G230" s="357">
        <f t="shared" si="42"/>
        <v>0</v>
      </c>
      <c r="H230" s="358"/>
      <c r="I230" s="359">
        <f t="shared" si="41"/>
        <v>0</v>
      </c>
      <c r="J230" s="356"/>
      <c r="K230" s="356"/>
      <c r="L230" s="357">
        <f t="shared" si="43"/>
        <v>0</v>
      </c>
      <c r="M230" s="360">
        <f t="shared" si="44"/>
        <v>0</v>
      </c>
    </row>
    <row r="231" spans="1:13" x14ac:dyDescent="0.2">
      <c r="A231" s="149">
        <v>8</v>
      </c>
      <c r="B231" s="1525">
        <v>1955</v>
      </c>
      <c r="C231" s="363" t="s">
        <v>383</v>
      </c>
      <c r="D231" s="356">
        <f t="shared" si="40"/>
        <v>236291.82</v>
      </c>
      <c r="E231" s="356">
        <v>3896</v>
      </c>
      <c r="F231" s="356"/>
      <c r="G231" s="357">
        <f t="shared" si="42"/>
        <v>240187.82</v>
      </c>
      <c r="H231" s="358"/>
      <c r="I231" s="359">
        <f t="shared" si="41"/>
        <v>-177028</v>
      </c>
      <c r="J231" s="356">
        <v>-10829</v>
      </c>
      <c r="K231" s="356"/>
      <c r="L231" s="357">
        <f t="shared" si="43"/>
        <v>-187857</v>
      </c>
      <c r="M231" s="360">
        <f t="shared" si="44"/>
        <v>52330.820000000007</v>
      </c>
    </row>
    <row r="232" spans="1:13" x14ac:dyDescent="0.2">
      <c r="A232" s="366">
        <v>8</v>
      </c>
      <c r="B232" s="364">
        <v>1955</v>
      </c>
      <c r="C232" s="367" t="s">
        <v>299</v>
      </c>
      <c r="D232" s="356">
        <f t="shared" si="40"/>
        <v>0</v>
      </c>
      <c r="E232" s="356"/>
      <c r="F232" s="356"/>
      <c r="G232" s="357">
        <f t="shared" si="42"/>
        <v>0</v>
      </c>
      <c r="H232" s="358"/>
      <c r="I232" s="359">
        <f t="shared" si="41"/>
        <v>0</v>
      </c>
      <c r="J232" s="356"/>
      <c r="K232" s="356"/>
      <c r="L232" s="357">
        <f t="shared" si="43"/>
        <v>0</v>
      </c>
      <c r="M232" s="360">
        <f t="shared" si="44"/>
        <v>0</v>
      </c>
    </row>
    <row r="233" spans="1:13" x14ac:dyDescent="0.2">
      <c r="A233" s="366">
        <v>8</v>
      </c>
      <c r="B233" s="368">
        <v>1960</v>
      </c>
      <c r="C233" s="355" t="s">
        <v>300</v>
      </c>
      <c r="D233" s="356">
        <f t="shared" si="40"/>
        <v>0</v>
      </c>
      <c r="E233" s="356"/>
      <c r="F233" s="356"/>
      <c r="G233" s="357">
        <f t="shared" si="42"/>
        <v>0</v>
      </c>
      <c r="H233" s="358"/>
      <c r="I233" s="359">
        <f t="shared" si="41"/>
        <v>0</v>
      </c>
      <c r="J233" s="356"/>
      <c r="K233" s="356"/>
      <c r="L233" s="357">
        <f t="shared" si="43"/>
        <v>0</v>
      </c>
      <c r="M233" s="360">
        <f t="shared" si="44"/>
        <v>0</v>
      </c>
    </row>
    <row r="234" spans="1:13" ht="25.5" x14ac:dyDescent="0.2">
      <c r="A234" s="369">
        <v>47</v>
      </c>
      <c r="B234" s="368">
        <v>1970</v>
      </c>
      <c r="C234" s="363" t="s">
        <v>649</v>
      </c>
      <c r="D234" s="356">
        <f t="shared" si="40"/>
        <v>0</v>
      </c>
      <c r="E234" s="356"/>
      <c r="F234" s="356"/>
      <c r="G234" s="357">
        <f t="shared" si="42"/>
        <v>0</v>
      </c>
      <c r="H234" s="358"/>
      <c r="I234" s="359">
        <f t="shared" si="41"/>
        <v>0</v>
      </c>
      <c r="J234" s="356"/>
      <c r="K234" s="356"/>
      <c r="L234" s="357">
        <f t="shared" si="43"/>
        <v>0</v>
      </c>
      <c r="M234" s="360">
        <f t="shared" si="44"/>
        <v>0</v>
      </c>
    </row>
    <row r="235" spans="1:13" ht="25.5" x14ac:dyDescent="0.2">
      <c r="A235" s="149">
        <v>47</v>
      </c>
      <c r="B235" s="1525">
        <v>1975</v>
      </c>
      <c r="C235" s="363" t="s">
        <v>384</v>
      </c>
      <c r="D235" s="356">
        <f t="shared" si="40"/>
        <v>0</v>
      </c>
      <c r="E235" s="356"/>
      <c r="F235" s="356"/>
      <c r="G235" s="357">
        <f t="shared" si="42"/>
        <v>0</v>
      </c>
      <c r="H235" s="358"/>
      <c r="I235" s="359">
        <f t="shared" si="41"/>
        <v>0</v>
      </c>
      <c r="J235" s="356"/>
      <c r="K235" s="356"/>
      <c r="L235" s="357">
        <f t="shared" si="43"/>
        <v>0</v>
      </c>
      <c r="M235" s="360">
        <f t="shared" si="44"/>
        <v>0</v>
      </c>
    </row>
    <row r="236" spans="1:13" x14ac:dyDescent="0.2">
      <c r="A236" s="149">
        <v>47</v>
      </c>
      <c r="B236" s="1525">
        <v>1980</v>
      </c>
      <c r="C236" s="363" t="s">
        <v>385</v>
      </c>
      <c r="D236" s="356">
        <f t="shared" si="40"/>
        <v>41545</v>
      </c>
      <c r="E236" s="356">
        <v>52654</v>
      </c>
      <c r="F236" s="356"/>
      <c r="G236" s="357">
        <f t="shared" si="42"/>
        <v>94199</v>
      </c>
      <c r="H236" s="358"/>
      <c r="I236" s="359">
        <f t="shared" si="41"/>
        <v>-41545</v>
      </c>
      <c r="J236" s="356">
        <v>-1757</v>
      </c>
      <c r="K236" s="356"/>
      <c r="L236" s="357">
        <f t="shared" si="43"/>
        <v>-43302</v>
      </c>
      <c r="M236" s="360">
        <f t="shared" si="44"/>
        <v>50897</v>
      </c>
    </row>
    <row r="237" spans="1:13" x14ac:dyDescent="0.2">
      <c r="A237" s="149">
        <v>47</v>
      </c>
      <c r="B237" s="1525">
        <v>1985</v>
      </c>
      <c r="C237" s="363" t="s">
        <v>386</v>
      </c>
      <c r="D237" s="356">
        <f t="shared" si="40"/>
        <v>0</v>
      </c>
      <c r="E237" s="356"/>
      <c r="F237" s="356"/>
      <c r="G237" s="357">
        <f t="shared" si="42"/>
        <v>0</v>
      </c>
      <c r="H237" s="358"/>
      <c r="I237" s="359">
        <f t="shared" si="41"/>
        <v>0</v>
      </c>
      <c r="J237" s="356"/>
      <c r="K237" s="356"/>
      <c r="L237" s="357">
        <f t="shared" si="43"/>
        <v>0</v>
      </c>
      <c r="M237" s="360">
        <f t="shared" si="44"/>
        <v>0</v>
      </c>
    </row>
    <row r="238" spans="1:13" x14ac:dyDescent="0.2">
      <c r="A238" s="369">
        <v>47</v>
      </c>
      <c r="B238" s="1525">
        <v>1990</v>
      </c>
      <c r="C238" s="1524" t="s">
        <v>650</v>
      </c>
      <c r="D238" s="356">
        <f t="shared" si="40"/>
        <v>133004.10999999999</v>
      </c>
      <c r="E238" s="356"/>
      <c r="F238" s="356"/>
      <c r="G238" s="357">
        <f t="shared" si="42"/>
        <v>133004.10999999999</v>
      </c>
      <c r="H238" s="358"/>
      <c r="I238" s="359">
        <f t="shared" si="41"/>
        <v>-20404</v>
      </c>
      <c r="J238" s="356">
        <v>-13301</v>
      </c>
      <c r="K238" s="356"/>
      <c r="L238" s="357">
        <f t="shared" si="43"/>
        <v>-33705</v>
      </c>
      <c r="M238" s="360">
        <f t="shared" si="44"/>
        <v>99299.109999999986</v>
      </c>
    </row>
    <row r="239" spans="1:13" x14ac:dyDescent="0.2">
      <c r="A239" s="149">
        <v>47</v>
      </c>
      <c r="B239" s="1525">
        <v>1995</v>
      </c>
      <c r="C239" s="363" t="s">
        <v>387</v>
      </c>
      <c r="D239" s="356">
        <f t="shared" si="40"/>
        <v>-43960303.840000004</v>
      </c>
      <c r="E239" s="356">
        <v>-3155364</v>
      </c>
      <c r="F239" s="356"/>
      <c r="G239" s="357">
        <f t="shared" si="42"/>
        <v>-47115667.840000004</v>
      </c>
      <c r="H239" s="358"/>
      <c r="I239" s="359">
        <f t="shared" si="41"/>
        <v>11347421</v>
      </c>
      <c r="J239" s="356">
        <v>929573</v>
      </c>
      <c r="K239" s="356"/>
      <c r="L239" s="357">
        <f t="shared" si="43"/>
        <v>12276994</v>
      </c>
      <c r="M239" s="360">
        <f t="shared" si="44"/>
        <v>-34838673.840000004</v>
      </c>
    </row>
    <row r="240" spans="1:13" ht="14.25" x14ac:dyDescent="0.2">
      <c r="A240" s="149">
        <v>47</v>
      </c>
      <c r="B240" s="1525">
        <v>2440</v>
      </c>
      <c r="C240" s="363" t="s">
        <v>1638</v>
      </c>
      <c r="D240" s="356"/>
      <c r="E240" s="356"/>
      <c r="F240" s="356"/>
      <c r="G240" s="357"/>
      <c r="I240" s="359"/>
      <c r="J240" s="356"/>
      <c r="K240" s="356"/>
      <c r="L240" s="357"/>
      <c r="M240" s="360"/>
    </row>
    <row r="241" spans="1:13" x14ac:dyDescent="0.2">
      <c r="A241" s="370"/>
      <c r="B241" s="370"/>
      <c r="C241" s="371"/>
      <c r="D241" s="372"/>
      <c r="E241" s="372"/>
      <c r="F241" s="372"/>
      <c r="G241" s="357">
        <f t="shared" ref="G241" si="45">D241+E241+F241</f>
        <v>0</v>
      </c>
      <c r="I241" s="372"/>
      <c r="J241" s="372"/>
      <c r="K241" s="372"/>
      <c r="L241" s="357">
        <f t="shared" ref="L241" si="46">I241+J241+K241</f>
        <v>0</v>
      </c>
      <c r="M241" s="360">
        <f t="shared" ref="M241" si="47">G241+L241</f>
        <v>0</v>
      </c>
    </row>
    <row r="242" spans="1:13" x14ac:dyDescent="0.2">
      <c r="A242" s="370"/>
      <c r="B242" s="370"/>
      <c r="C242" s="373" t="s">
        <v>268</v>
      </c>
      <c r="D242" s="374">
        <f>SUM(D201:D241)</f>
        <v>110589039.65499997</v>
      </c>
      <c r="E242" s="374">
        <f t="shared" ref="E242:G242" si="48">SUM(E201:E241)</f>
        <v>5537617</v>
      </c>
      <c r="F242" s="374">
        <f t="shared" si="48"/>
        <v>-182052</v>
      </c>
      <c r="G242" s="374">
        <f t="shared" si="48"/>
        <v>115944604.65499997</v>
      </c>
      <c r="H242" s="374"/>
      <c r="I242" s="374">
        <f t="shared" ref="I242" si="49">SUM(I201:I241)</f>
        <v>-55342593</v>
      </c>
      <c r="J242" s="374">
        <f t="shared" ref="J242" si="50">SUM(J201:J241)</f>
        <v>-2554121</v>
      </c>
      <c r="K242" s="374">
        <f t="shared" ref="K242" si="51">SUM(K201:K241)</f>
        <v>182052</v>
      </c>
      <c r="L242" s="374">
        <f t="shared" ref="L242" si="52">SUM(L201:L241)</f>
        <v>-57714661</v>
      </c>
      <c r="M242" s="374">
        <f t="shared" ref="M242" si="53">SUM(M201:M241)</f>
        <v>58229942.654999986</v>
      </c>
    </row>
    <row r="243" spans="1:13" ht="37.5" x14ac:dyDescent="0.2">
      <c r="A243" s="370"/>
      <c r="B243" s="370"/>
      <c r="C243" s="375" t="s">
        <v>775</v>
      </c>
      <c r="D243" s="372"/>
      <c r="E243" s="372"/>
      <c r="F243" s="372"/>
      <c r="G243" s="357">
        <f t="shared" ref="G243:G244" si="54">D243+E243+F243</f>
        <v>0</v>
      </c>
      <c r="I243" s="372"/>
      <c r="J243" s="372"/>
      <c r="K243" s="372"/>
      <c r="L243" s="357">
        <f t="shared" ref="L243:L244" si="55">I243+J243+K243</f>
        <v>0</v>
      </c>
      <c r="M243" s="360">
        <f t="shared" ref="M243:M244" si="56">G243+L243</f>
        <v>0</v>
      </c>
    </row>
    <row r="244" spans="1:13" ht="25.5" x14ac:dyDescent="0.2">
      <c r="A244" s="370"/>
      <c r="B244" s="370"/>
      <c r="C244" s="376" t="s">
        <v>774</v>
      </c>
      <c r="D244" s="372"/>
      <c r="E244" s="372"/>
      <c r="F244" s="372"/>
      <c r="G244" s="357">
        <f t="shared" si="54"/>
        <v>0</v>
      </c>
      <c r="I244" s="372"/>
      <c r="J244" s="372"/>
      <c r="K244" s="372"/>
      <c r="L244" s="357">
        <f t="shared" si="55"/>
        <v>0</v>
      </c>
      <c r="M244" s="360">
        <f t="shared" si="56"/>
        <v>0</v>
      </c>
    </row>
    <row r="245" spans="1:13" x14ac:dyDescent="0.2">
      <c r="A245" s="370"/>
      <c r="B245" s="370"/>
      <c r="C245" s="373" t="s">
        <v>651</v>
      </c>
      <c r="D245" s="374">
        <f>SUM(D242:D244)</f>
        <v>110589039.65499997</v>
      </c>
      <c r="E245" s="374">
        <f t="shared" ref="E245:G245" si="57">SUM(E242:E244)</f>
        <v>5537617</v>
      </c>
      <c r="F245" s="374">
        <f t="shared" si="57"/>
        <v>-182052</v>
      </c>
      <c r="G245" s="374">
        <f t="shared" si="57"/>
        <v>115944604.65499997</v>
      </c>
      <c r="H245" s="374"/>
      <c r="I245" s="374">
        <f t="shared" ref="I245:M245" si="58">SUM(I242:I244)</f>
        <v>-55342593</v>
      </c>
      <c r="J245" s="374">
        <f t="shared" si="58"/>
        <v>-2554121</v>
      </c>
      <c r="K245" s="374">
        <f t="shared" si="58"/>
        <v>182052</v>
      </c>
      <c r="L245" s="374">
        <f t="shared" si="58"/>
        <v>-57714661</v>
      </c>
      <c r="M245" s="374">
        <f t="shared" si="58"/>
        <v>58229942.654999986</v>
      </c>
    </row>
    <row r="246" spans="1:13" ht="14.25" x14ac:dyDescent="0.2">
      <c r="A246" s="370"/>
      <c r="B246" s="370"/>
      <c r="C246" s="1994" t="s">
        <v>1568</v>
      </c>
      <c r="D246" s="1995"/>
      <c r="E246" s="1995"/>
      <c r="F246" s="1995"/>
      <c r="G246" s="1995"/>
      <c r="H246" s="1995"/>
      <c r="I246" s="1996"/>
      <c r="J246" s="372"/>
      <c r="K246" s="377"/>
      <c r="L246" s="378"/>
      <c r="M246" s="379"/>
    </row>
    <row r="247" spans="1:13" x14ac:dyDescent="0.2">
      <c r="A247" s="370"/>
      <c r="B247" s="370"/>
      <c r="C247" s="1994" t="s">
        <v>388</v>
      </c>
      <c r="D247" s="1995"/>
      <c r="E247" s="1995"/>
      <c r="F247" s="1995"/>
      <c r="G247" s="1995"/>
      <c r="H247" s="1995"/>
      <c r="I247" s="1996"/>
      <c r="J247" s="374">
        <f>J245+J246</f>
        <v>-2554121</v>
      </c>
      <c r="K247" s="377"/>
      <c r="L247" s="378"/>
      <c r="M247" s="379"/>
    </row>
    <row r="248" spans="1:13" x14ac:dyDescent="0.2">
      <c r="A248" s="1526"/>
      <c r="B248" s="1526"/>
    </row>
    <row r="249" spans="1:13" x14ac:dyDescent="0.2">
      <c r="A249" s="1526"/>
      <c r="B249" s="1526"/>
      <c r="I249" s="380" t="s">
        <v>522</v>
      </c>
      <c r="J249" s="1527"/>
    </row>
    <row r="250" spans="1:13" x14ac:dyDescent="0.2">
      <c r="A250" s="370">
        <v>10</v>
      </c>
      <c r="B250" s="370"/>
      <c r="C250" s="371" t="s">
        <v>389</v>
      </c>
      <c r="I250" s="1527" t="s">
        <v>389</v>
      </c>
      <c r="J250" s="1527"/>
      <c r="K250" s="381">
        <f>+J226+89</f>
        <v>-74338</v>
      </c>
    </row>
    <row r="251" spans="1:13" x14ac:dyDescent="0.2">
      <c r="A251" s="370">
        <v>8</v>
      </c>
      <c r="B251" s="370"/>
      <c r="C251" s="371" t="s">
        <v>380</v>
      </c>
      <c r="I251" s="1527" t="s">
        <v>380</v>
      </c>
      <c r="J251" s="1527"/>
      <c r="K251" s="381"/>
    </row>
    <row r="252" spans="1:13" x14ac:dyDescent="0.2">
      <c r="A252" s="370">
        <v>8</v>
      </c>
      <c r="B252" s="1525"/>
      <c r="C252" s="363" t="s">
        <v>381</v>
      </c>
      <c r="I252" s="1527" t="s">
        <v>2162</v>
      </c>
      <c r="J252" s="1527"/>
      <c r="K252" s="381">
        <f>+J228</f>
        <v>-7663</v>
      </c>
    </row>
    <row r="253" spans="1:13" x14ac:dyDescent="0.2">
      <c r="A253" s="370">
        <v>8</v>
      </c>
      <c r="B253" s="1525"/>
      <c r="C253" s="363" t="s">
        <v>382</v>
      </c>
      <c r="I253" s="1527" t="s">
        <v>2163</v>
      </c>
      <c r="J253" s="1527"/>
      <c r="K253" s="381">
        <f>+J229</f>
        <v>-9356</v>
      </c>
    </row>
    <row r="254" spans="1:13" x14ac:dyDescent="0.2">
      <c r="A254" s="1526"/>
      <c r="B254" s="1526"/>
      <c r="I254" s="382" t="s">
        <v>390</v>
      </c>
      <c r="K254" s="383">
        <f>J247-K250-K251-K252-K253</f>
        <v>-2462764</v>
      </c>
    </row>
    <row r="255" spans="1:13" x14ac:dyDescent="0.2">
      <c r="A255" s="1526"/>
      <c r="B255" s="1526"/>
      <c r="I255" s="382"/>
      <c r="K255" s="1538"/>
    </row>
    <row r="256" spans="1:13" ht="21" x14ac:dyDescent="0.2">
      <c r="A256" s="1997" t="s">
        <v>1828</v>
      </c>
      <c r="B256" s="1997"/>
      <c r="C256" s="1997"/>
      <c r="D256" s="1997"/>
      <c r="E256" s="1997"/>
      <c r="F256" s="1997"/>
      <c r="G256" s="1997"/>
      <c r="H256" s="1997"/>
      <c r="I256" s="1997"/>
      <c r="J256" s="1997"/>
      <c r="K256" s="1997"/>
      <c r="L256" s="1997"/>
      <c r="M256" s="1997"/>
    </row>
    <row r="257" spans="1:13" x14ac:dyDescent="0.2">
      <c r="A257" s="1526"/>
      <c r="B257" s="1526"/>
      <c r="H257" s="140"/>
    </row>
    <row r="258" spans="1:13" x14ac:dyDescent="0.2">
      <c r="A258" s="1526"/>
      <c r="B258" s="1526"/>
      <c r="E258" s="303" t="s">
        <v>1520</v>
      </c>
      <c r="F258" s="128" t="s">
        <v>151</v>
      </c>
      <c r="H258" s="140"/>
    </row>
    <row r="259" spans="1:13" ht="15" x14ac:dyDescent="0.25">
      <c r="A259" s="1526"/>
      <c r="B259" s="1526"/>
      <c r="C259" s="158"/>
      <c r="E259" s="303" t="s">
        <v>149</v>
      </c>
      <c r="F259" s="343">
        <v>2014</v>
      </c>
      <c r="G259" s="344"/>
    </row>
    <row r="260" spans="1:13" x14ac:dyDescent="0.2">
      <c r="A260" s="1526"/>
      <c r="B260" s="1526"/>
    </row>
    <row r="261" spans="1:13" x14ac:dyDescent="0.2">
      <c r="A261" s="1526"/>
      <c r="B261" s="1526"/>
      <c r="D261" s="1998" t="s">
        <v>355</v>
      </c>
      <c r="E261" s="1999"/>
      <c r="F261" s="1999"/>
      <c r="G261" s="2000"/>
      <c r="I261" s="345"/>
      <c r="J261" s="346" t="s">
        <v>356</v>
      </c>
      <c r="K261" s="346"/>
      <c r="L261" s="347"/>
      <c r="M261" s="342"/>
    </row>
    <row r="262" spans="1:13" ht="25.5" customHeight="1" x14ac:dyDescent="0.2">
      <c r="A262" s="348" t="s">
        <v>1829</v>
      </c>
      <c r="B262" s="348" t="s">
        <v>1831</v>
      </c>
      <c r="C262" s="349" t="s">
        <v>1832</v>
      </c>
      <c r="D262" s="348" t="s">
        <v>325</v>
      </c>
      <c r="E262" s="350" t="s">
        <v>1830</v>
      </c>
      <c r="F262" s="350" t="s">
        <v>353</v>
      </c>
      <c r="G262" s="348" t="s">
        <v>354</v>
      </c>
      <c r="H262" s="351"/>
      <c r="I262" s="352" t="s">
        <v>325</v>
      </c>
      <c r="J262" s="353" t="s">
        <v>326</v>
      </c>
      <c r="K262" s="353" t="s">
        <v>353</v>
      </c>
      <c r="L262" s="354" t="s">
        <v>354</v>
      </c>
      <c r="M262" s="348" t="s">
        <v>393</v>
      </c>
    </row>
    <row r="263" spans="1:13" x14ac:dyDescent="0.2">
      <c r="A263" s="149">
        <v>47</v>
      </c>
      <c r="B263" s="1525">
        <v>1609</v>
      </c>
      <c r="C263" s="355" t="s">
        <v>2159</v>
      </c>
      <c r="D263" s="356">
        <f>+G139</f>
        <v>122349</v>
      </c>
      <c r="E263" s="356"/>
      <c r="F263" s="356"/>
      <c r="G263" s="357">
        <f>D263+E263+F263</f>
        <v>122349</v>
      </c>
      <c r="H263" s="358"/>
      <c r="I263" s="359">
        <f>+L139</f>
        <v>-2447</v>
      </c>
      <c r="J263" s="356">
        <v>-4894</v>
      </c>
      <c r="K263" s="356"/>
      <c r="L263" s="357">
        <f>I263+J263+K263</f>
        <v>-7341</v>
      </c>
      <c r="M263" s="360">
        <f>G263+L263</f>
        <v>115008</v>
      </c>
    </row>
    <row r="264" spans="1:13" ht="25.5" x14ac:dyDescent="0.2">
      <c r="A264" s="149">
        <v>12</v>
      </c>
      <c r="B264" s="1525">
        <v>1611</v>
      </c>
      <c r="C264" s="355" t="s">
        <v>475</v>
      </c>
      <c r="D264" s="356">
        <f t="shared" ref="D264:D301" si="59">+G140</f>
        <v>880584</v>
      </c>
      <c r="E264" s="356">
        <v>142392</v>
      </c>
      <c r="F264" s="356"/>
      <c r="G264" s="357">
        <f>D264+E264+F264</f>
        <v>1022976</v>
      </c>
      <c r="H264" s="358"/>
      <c r="I264" s="359">
        <f t="shared" ref="I264:I301" si="60">+L140</f>
        <v>-566025</v>
      </c>
      <c r="J264" s="356">
        <f>-47281-73352</f>
        <v>-120633</v>
      </c>
      <c r="K264" s="356"/>
      <c r="L264" s="357">
        <f>I264+J264+K264</f>
        <v>-686658</v>
      </c>
      <c r="M264" s="360">
        <f>G264+L264</f>
        <v>336318</v>
      </c>
    </row>
    <row r="265" spans="1:13" ht="25.5" x14ac:dyDescent="0.2">
      <c r="A265" s="149" t="s">
        <v>365</v>
      </c>
      <c r="B265" s="1525">
        <v>1612</v>
      </c>
      <c r="C265" s="355" t="s">
        <v>563</v>
      </c>
      <c r="D265" s="356">
        <f t="shared" si="59"/>
        <v>0</v>
      </c>
      <c r="E265" s="356"/>
      <c r="F265" s="356"/>
      <c r="G265" s="357">
        <f>D265+E265+F265</f>
        <v>0</v>
      </c>
      <c r="H265" s="358"/>
      <c r="I265" s="359">
        <f t="shared" si="60"/>
        <v>0</v>
      </c>
      <c r="J265" s="356"/>
      <c r="K265" s="356"/>
      <c r="L265" s="357">
        <f>I265+J265+K265</f>
        <v>0</v>
      </c>
      <c r="M265" s="360">
        <f>G265+L265</f>
        <v>0</v>
      </c>
    </row>
    <row r="266" spans="1:13" x14ac:dyDescent="0.2">
      <c r="A266" s="149" t="s">
        <v>357</v>
      </c>
      <c r="B266" s="361">
        <v>1805</v>
      </c>
      <c r="C266" s="362" t="s">
        <v>358</v>
      </c>
      <c r="D266" s="356">
        <f t="shared" si="59"/>
        <v>69883.360000000001</v>
      </c>
      <c r="E266" s="356"/>
      <c r="F266" s="356"/>
      <c r="G266" s="357">
        <f>D266+E266+F266</f>
        <v>69883.360000000001</v>
      </c>
      <c r="H266" s="358"/>
      <c r="I266" s="359">
        <f t="shared" si="60"/>
        <v>0</v>
      </c>
      <c r="J266" s="356"/>
      <c r="K266" s="356"/>
      <c r="L266" s="357">
        <f>I266+J266+K266</f>
        <v>0</v>
      </c>
      <c r="M266" s="360">
        <f>G266+L266</f>
        <v>69883.360000000001</v>
      </c>
    </row>
    <row r="267" spans="1:13" x14ac:dyDescent="0.2">
      <c r="A267" s="149">
        <v>47</v>
      </c>
      <c r="B267" s="361">
        <v>1808</v>
      </c>
      <c r="C267" s="363" t="s">
        <v>359</v>
      </c>
      <c r="D267" s="356">
        <f t="shared" si="59"/>
        <v>0</v>
      </c>
      <c r="E267" s="356"/>
      <c r="F267" s="356"/>
      <c r="G267" s="357">
        <f t="shared" ref="G267:G301" si="61">D267+E267+F267</f>
        <v>0</v>
      </c>
      <c r="H267" s="358"/>
      <c r="I267" s="359">
        <f t="shared" si="60"/>
        <v>0</v>
      </c>
      <c r="J267" s="356"/>
      <c r="K267" s="356"/>
      <c r="L267" s="357">
        <f t="shared" ref="L267:L301" si="62">I267+J267+K267</f>
        <v>0</v>
      </c>
      <c r="M267" s="360">
        <f t="shared" ref="M267:M301" si="63">G267+L267</f>
        <v>0</v>
      </c>
    </row>
    <row r="268" spans="1:13" x14ac:dyDescent="0.2">
      <c r="A268" s="149">
        <v>13</v>
      </c>
      <c r="B268" s="361">
        <v>1810</v>
      </c>
      <c r="C268" s="363" t="s">
        <v>392</v>
      </c>
      <c r="D268" s="356">
        <f t="shared" si="59"/>
        <v>0</v>
      </c>
      <c r="E268" s="356"/>
      <c r="F268" s="356"/>
      <c r="G268" s="357">
        <f t="shared" si="61"/>
        <v>0</v>
      </c>
      <c r="H268" s="358"/>
      <c r="I268" s="359">
        <f t="shared" si="60"/>
        <v>0</v>
      </c>
      <c r="J268" s="356"/>
      <c r="K268" s="356"/>
      <c r="L268" s="357">
        <f t="shared" si="62"/>
        <v>0</v>
      </c>
      <c r="M268" s="360">
        <f t="shared" si="63"/>
        <v>0</v>
      </c>
    </row>
    <row r="269" spans="1:13" x14ac:dyDescent="0.2">
      <c r="A269" s="149">
        <v>47</v>
      </c>
      <c r="B269" s="361">
        <v>1815</v>
      </c>
      <c r="C269" s="363" t="s">
        <v>360</v>
      </c>
      <c r="D269" s="356">
        <f t="shared" si="59"/>
        <v>0</v>
      </c>
      <c r="E269" s="356"/>
      <c r="F269" s="356"/>
      <c r="G269" s="357">
        <f t="shared" si="61"/>
        <v>0</v>
      </c>
      <c r="H269" s="358"/>
      <c r="I269" s="359">
        <f t="shared" si="60"/>
        <v>0</v>
      </c>
      <c r="J269" s="356"/>
      <c r="K269" s="356"/>
      <c r="L269" s="357">
        <f t="shared" si="62"/>
        <v>0</v>
      </c>
      <c r="M269" s="360">
        <f t="shared" si="63"/>
        <v>0</v>
      </c>
    </row>
    <row r="270" spans="1:13" x14ac:dyDescent="0.2">
      <c r="A270" s="149">
        <v>47</v>
      </c>
      <c r="B270" s="361">
        <v>1820</v>
      </c>
      <c r="C270" s="355" t="s">
        <v>287</v>
      </c>
      <c r="D270" s="356">
        <f t="shared" si="59"/>
        <v>1516191.65</v>
      </c>
      <c r="E270" s="356"/>
      <c r="F270" s="356"/>
      <c r="G270" s="357">
        <f t="shared" si="61"/>
        <v>1516191.65</v>
      </c>
      <c r="H270" s="358"/>
      <c r="I270" s="359">
        <f t="shared" si="60"/>
        <v>-1426753</v>
      </c>
      <c r="J270" s="356">
        <v>-23011</v>
      </c>
      <c r="K270" s="356"/>
      <c r="L270" s="357">
        <f t="shared" si="62"/>
        <v>-1449764</v>
      </c>
      <c r="M270" s="360">
        <f t="shared" si="63"/>
        <v>66427.649999999907</v>
      </c>
    </row>
    <row r="271" spans="1:13" x14ac:dyDescent="0.2">
      <c r="A271" s="149">
        <v>47</v>
      </c>
      <c r="B271" s="361">
        <v>1825</v>
      </c>
      <c r="C271" s="363" t="s">
        <v>361</v>
      </c>
      <c r="D271" s="356">
        <f t="shared" si="59"/>
        <v>0</v>
      </c>
      <c r="E271" s="356"/>
      <c r="F271" s="356"/>
      <c r="G271" s="357">
        <f t="shared" si="61"/>
        <v>0</v>
      </c>
      <c r="H271" s="358"/>
      <c r="I271" s="359">
        <f t="shared" si="60"/>
        <v>0</v>
      </c>
      <c r="J271" s="356"/>
      <c r="K271" s="356"/>
      <c r="L271" s="357">
        <f t="shared" si="62"/>
        <v>0</v>
      </c>
      <c r="M271" s="360">
        <f t="shared" si="63"/>
        <v>0</v>
      </c>
    </row>
    <row r="272" spans="1:13" x14ac:dyDescent="0.2">
      <c r="A272" s="149">
        <v>47</v>
      </c>
      <c r="B272" s="361">
        <v>1830</v>
      </c>
      <c r="C272" s="363" t="s">
        <v>362</v>
      </c>
      <c r="D272" s="356">
        <f t="shared" si="59"/>
        <v>29067566.210000001</v>
      </c>
      <c r="E272" s="356">
        <f>2749178-1</f>
        <v>2749177</v>
      </c>
      <c r="F272" s="356"/>
      <c r="G272" s="357">
        <f>D272+E272+F272-2</f>
        <v>31816741.210000001</v>
      </c>
      <c r="H272" s="358"/>
      <c r="I272" s="359">
        <f t="shared" si="60"/>
        <v>-10582423</v>
      </c>
      <c r="J272" s="356">
        <v>-971795</v>
      </c>
      <c r="K272" s="356"/>
      <c r="L272" s="357">
        <f t="shared" si="62"/>
        <v>-11554218</v>
      </c>
      <c r="M272" s="360">
        <f>G272+L272-1</f>
        <v>20262522.210000001</v>
      </c>
    </row>
    <row r="273" spans="1:13" x14ac:dyDescent="0.2">
      <c r="A273" s="149">
        <v>47</v>
      </c>
      <c r="B273" s="361">
        <v>1835</v>
      </c>
      <c r="C273" s="363" t="s">
        <v>288</v>
      </c>
      <c r="D273" s="356">
        <f t="shared" si="59"/>
        <v>21987644.809999995</v>
      </c>
      <c r="E273" s="356">
        <v>1293731</v>
      </c>
      <c r="F273" s="356"/>
      <c r="G273" s="357">
        <f t="shared" si="61"/>
        <v>23281375.809999995</v>
      </c>
      <c r="H273" s="358"/>
      <c r="I273" s="359">
        <f t="shared" si="60"/>
        <v>-12764824</v>
      </c>
      <c r="J273" s="356">
        <v>-766465</v>
      </c>
      <c r="K273" s="356"/>
      <c r="L273" s="357">
        <f t="shared" si="62"/>
        <v>-13531289</v>
      </c>
      <c r="M273" s="360">
        <f t="shared" si="63"/>
        <v>9750086.8099999949</v>
      </c>
    </row>
    <row r="274" spans="1:13" x14ac:dyDescent="0.2">
      <c r="A274" s="149">
        <v>47</v>
      </c>
      <c r="B274" s="361">
        <v>1840</v>
      </c>
      <c r="C274" s="363" t="s">
        <v>289</v>
      </c>
      <c r="D274" s="356">
        <f t="shared" si="59"/>
        <v>24186972.84</v>
      </c>
      <c r="E274" s="356">
        <v>2547557</v>
      </c>
      <c r="F274" s="356"/>
      <c r="G274" s="357">
        <f t="shared" si="61"/>
        <v>26734529.84</v>
      </c>
      <c r="H274" s="358"/>
      <c r="I274" s="359">
        <f t="shared" si="60"/>
        <v>-8245702</v>
      </c>
      <c r="J274" s="356">
        <v>-967793</v>
      </c>
      <c r="K274" s="356"/>
      <c r="L274" s="357">
        <f t="shared" si="62"/>
        <v>-9213495</v>
      </c>
      <c r="M274" s="360">
        <f t="shared" si="63"/>
        <v>17521034.84</v>
      </c>
    </row>
    <row r="275" spans="1:13" x14ac:dyDescent="0.2">
      <c r="A275" s="149">
        <v>47</v>
      </c>
      <c r="B275" s="361">
        <v>1845</v>
      </c>
      <c r="C275" s="363" t="s">
        <v>290</v>
      </c>
      <c r="D275" s="356">
        <f t="shared" si="59"/>
        <v>17424018.969999999</v>
      </c>
      <c r="E275" s="356">
        <v>1561406</v>
      </c>
      <c r="F275" s="356"/>
      <c r="G275" s="357">
        <f t="shared" si="61"/>
        <v>18985424.969999999</v>
      </c>
      <c r="H275" s="358"/>
      <c r="I275" s="359">
        <f t="shared" si="60"/>
        <v>-7467994</v>
      </c>
      <c r="J275" s="356">
        <v>-710918</v>
      </c>
      <c r="K275" s="356"/>
      <c r="L275" s="357">
        <f t="shared" si="62"/>
        <v>-8178912</v>
      </c>
      <c r="M275" s="360">
        <f t="shared" si="63"/>
        <v>10806512.969999999</v>
      </c>
    </row>
    <row r="276" spans="1:13" x14ac:dyDescent="0.2">
      <c r="A276" s="149">
        <v>47</v>
      </c>
      <c r="B276" s="361">
        <v>1850</v>
      </c>
      <c r="C276" s="363" t="s">
        <v>363</v>
      </c>
      <c r="D276" s="356">
        <f t="shared" si="59"/>
        <v>36238204.070000008</v>
      </c>
      <c r="E276" s="356">
        <v>2040479</v>
      </c>
      <c r="F276" s="356"/>
      <c r="G276" s="357">
        <f t="shared" si="61"/>
        <v>38278683.070000008</v>
      </c>
      <c r="H276" s="358"/>
      <c r="I276" s="359">
        <f t="shared" si="60"/>
        <v>-18089370</v>
      </c>
      <c r="J276" s="356">
        <v>-1410409</v>
      </c>
      <c r="K276" s="356"/>
      <c r="L276" s="357">
        <f t="shared" si="62"/>
        <v>-19499779</v>
      </c>
      <c r="M276" s="360">
        <f t="shared" si="63"/>
        <v>18778904.070000008</v>
      </c>
    </row>
    <row r="277" spans="1:13" x14ac:dyDescent="0.2">
      <c r="A277" s="149">
        <v>47</v>
      </c>
      <c r="B277" s="361">
        <v>1855</v>
      </c>
      <c r="C277" s="363" t="s">
        <v>291</v>
      </c>
      <c r="D277" s="356">
        <f t="shared" si="59"/>
        <v>14091318.449999999</v>
      </c>
      <c r="E277" s="356">
        <v>934630</v>
      </c>
      <c r="F277" s="356"/>
      <c r="G277" s="357">
        <f t="shared" si="61"/>
        <v>15025948.449999999</v>
      </c>
      <c r="H277" s="358"/>
      <c r="I277" s="359">
        <f t="shared" si="60"/>
        <v>-3880415</v>
      </c>
      <c r="J277" s="356">
        <v>-389210</v>
      </c>
      <c r="K277" s="356"/>
      <c r="L277" s="357">
        <f t="shared" si="62"/>
        <v>-4269625</v>
      </c>
      <c r="M277" s="360">
        <f t="shared" si="63"/>
        <v>10756323.449999999</v>
      </c>
    </row>
    <row r="278" spans="1:13" x14ac:dyDescent="0.2">
      <c r="A278" s="149">
        <v>47</v>
      </c>
      <c r="B278" s="361">
        <v>1860</v>
      </c>
      <c r="C278" s="363" t="s">
        <v>364</v>
      </c>
      <c r="D278" s="356">
        <f t="shared" si="59"/>
        <v>0</v>
      </c>
      <c r="E278" s="356"/>
      <c r="F278" s="356"/>
      <c r="G278" s="357">
        <f t="shared" si="61"/>
        <v>0</v>
      </c>
      <c r="H278" s="358"/>
      <c r="I278" s="359">
        <f t="shared" si="60"/>
        <v>0</v>
      </c>
      <c r="J278" s="356"/>
      <c r="K278" s="356"/>
      <c r="L278" s="357">
        <f t="shared" si="62"/>
        <v>0</v>
      </c>
      <c r="M278" s="360">
        <f t="shared" si="63"/>
        <v>0</v>
      </c>
    </row>
    <row r="279" spans="1:13" x14ac:dyDescent="0.2">
      <c r="A279" s="149">
        <v>47</v>
      </c>
      <c r="B279" s="361">
        <v>1860</v>
      </c>
      <c r="C279" s="362" t="s">
        <v>292</v>
      </c>
      <c r="D279" s="356">
        <f t="shared" si="59"/>
        <v>11289862.719999999</v>
      </c>
      <c r="E279" s="356">
        <v>484938</v>
      </c>
      <c r="F279" s="356"/>
      <c r="G279" s="357">
        <f t="shared" si="61"/>
        <v>11774800.719999999</v>
      </c>
      <c r="H279" s="358"/>
      <c r="I279" s="359">
        <f t="shared" si="60"/>
        <v>-4669912</v>
      </c>
      <c r="J279" s="356">
        <v>-673799</v>
      </c>
      <c r="K279" s="356"/>
      <c r="L279" s="357">
        <f t="shared" si="62"/>
        <v>-5343711</v>
      </c>
      <c r="M279" s="360">
        <f t="shared" si="63"/>
        <v>6431089.7199999988</v>
      </c>
    </row>
    <row r="280" spans="1:13" x14ac:dyDescent="0.2">
      <c r="A280" s="149" t="s">
        <v>357</v>
      </c>
      <c r="B280" s="361">
        <v>1905</v>
      </c>
      <c r="C280" s="362" t="s">
        <v>358</v>
      </c>
      <c r="D280" s="356">
        <f t="shared" si="59"/>
        <v>1142051.7649999999</v>
      </c>
      <c r="E280" s="356">
        <v>4040000</v>
      </c>
      <c r="F280" s="356"/>
      <c r="G280" s="357">
        <f t="shared" si="61"/>
        <v>5182051.7649999997</v>
      </c>
      <c r="H280" s="358"/>
      <c r="I280" s="359">
        <f t="shared" si="60"/>
        <v>0</v>
      </c>
      <c r="J280" s="356"/>
      <c r="K280" s="356"/>
      <c r="L280" s="357">
        <f t="shared" si="62"/>
        <v>0</v>
      </c>
      <c r="M280" s="360">
        <f t="shared" si="63"/>
        <v>5182051.7649999997</v>
      </c>
    </row>
    <row r="281" spans="1:13" x14ac:dyDescent="0.2">
      <c r="A281" s="149">
        <v>47</v>
      </c>
      <c r="B281" s="361">
        <v>1908</v>
      </c>
      <c r="C281" s="363" t="s">
        <v>366</v>
      </c>
      <c r="D281" s="356">
        <f t="shared" si="59"/>
        <v>0</v>
      </c>
      <c r="E281" s="356"/>
      <c r="F281" s="356"/>
      <c r="G281" s="357">
        <f t="shared" si="61"/>
        <v>0</v>
      </c>
      <c r="H281" s="358"/>
      <c r="I281" s="359">
        <f t="shared" si="60"/>
        <v>0</v>
      </c>
      <c r="J281" s="356"/>
      <c r="K281" s="356"/>
      <c r="L281" s="357">
        <f t="shared" si="62"/>
        <v>0</v>
      </c>
      <c r="M281" s="360">
        <f t="shared" si="63"/>
        <v>0</v>
      </c>
    </row>
    <row r="282" spans="1:13" x14ac:dyDescent="0.2">
      <c r="A282" s="149">
        <v>13</v>
      </c>
      <c r="B282" s="361">
        <v>1910</v>
      </c>
      <c r="C282" s="363" t="s">
        <v>392</v>
      </c>
      <c r="D282" s="356">
        <f t="shared" si="59"/>
        <v>377009</v>
      </c>
      <c r="E282" s="356"/>
      <c r="F282" s="356"/>
      <c r="G282" s="357">
        <f t="shared" si="61"/>
        <v>377009</v>
      </c>
      <c r="H282" s="358"/>
      <c r="I282" s="359">
        <f t="shared" si="60"/>
        <v>-364985</v>
      </c>
      <c r="J282" s="356">
        <v>-12024</v>
      </c>
      <c r="K282" s="356"/>
      <c r="L282" s="357">
        <f t="shared" si="62"/>
        <v>-377009</v>
      </c>
      <c r="M282" s="360">
        <f t="shared" si="63"/>
        <v>0</v>
      </c>
    </row>
    <row r="283" spans="1:13" x14ac:dyDescent="0.2">
      <c r="A283" s="149">
        <v>8</v>
      </c>
      <c r="B283" s="361">
        <v>1915</v>
      </c>
      <c r="C283" s="363" t="s">
        <v>293</v>
      </c>
      <c r="D283" s="356">
        <f t="shared" si="59"/>
        <v>712089</v>
      </c>
      <c r="E283" s="356">
        <v>2798</v>
      </c>
      <c r="F283" s="356"/>
      <c r="G283" s="357">
        <f t="shared" si="61"/>
        <v>714887</v>
      </c>
      <c r="H283" s="358"/>
      <c r="I283" s="359">
        <f t="shared" si="60"/>
        <v>-622286</v>
      </c>
      <c r="J283" s="356">
        <v>-16832</v>
      </c>
      <c r="K283" s="356"/>
      <c r="L283" s="357">
        <f t="shared" si="62"/>
        <v>-639118</v>
      </c>
      <c r="M283" s="360">
        <f t="shared" si="63"/>
        <v>75769</v>
      </c>
    </row>
    <row r="284" spans="1:13" x14ac:dyDescent="0.2">
      <c r="A284" s="149">
        <v>8</v>
      </c>
      <c r="B284" s="361">
        <v>1915</v>
      </c>
      <c r="C284" s="363" t="s">
        <v>294</v>
      </c>
      <c r="D284" s="356">
        <f t="shared" si="59"/>
        <v>0</v>
      </c>
      <c r="E284" s="356"/>
      <c r="F284" s="356"/>
      <c r="G284" s="357">
        <f t="shared" si="61"/>
        <v>0</v>
      </c>
      <c r="H284" s="358"/>
      <c r="I284" s="359">
        <f t="shared" si="60"/>
        <v>0</v>
      </c>
      <c r="J284" s="356"/>
      <c r="K284" s="356"/>
      <c r="L284" s="357">
        <f t="shared" si="62"/>
        <v>0</v>
      </c>
      <c r="M284" s="360">
        <f t="shared" si="63"/>
        <v>0</v>
      </c>
    </row>
    <row r="285" spans="1:13" x14ac:dyDescent="0.2">
      <c r="A285" s="149">
        <v>10</v>
      </c>
      <c r="B285" s="361">
        <v>1920</v>
      </c>
      <c r="C285" s="363" t="s">
        <v>295</v>
      </c>
      <c r="D285" s="356">
        <f t="shared" si="59"/>
        <v>1794135</v>
      </c>
      <c r="E285" s="356">
        <v>98237</v>
      </c>
      <c r="F285" s="356"/>
      <c r="G285" s="357">
        <f t="shared" si="61"/>
        <v>1892372</v>
      </c>
      <c r="H285" s="358"/>
      <c r="I285" s="359">
        <f t="shared" si="60"/>
        <v>-1554991</v>
      </c>
      <c r="J285" s="356">
        <v>-74948</v>
      </c>
      <c r="K285" s="356"/>
      <c r="L285" s="357">
        <f t="shared" si="62"/>
        <v>-1629939</v>
      </c>
      <c r="M285" s="360">
        <f t="shared" si="63"/>
        <v>262433</v>
      </c>
    </row>
    <row r="286" spans="1:13" ht="25.5" x14ac:dyDescent="0.2">
      <c r="A286" s="149">
        <v>45</v>
      </c>
      <c r="B286" s="364">
        <v>1920</v>
      </c>
      <c r="C286" s="355" t="s">
        <v>297</v>
      </c>
      <c r="D286" s="356">
        <f t="shared" si="59"/>
        <v>0</v>
      </c>
      <c r="E286" s="356"/>
      <c r="F286" s="356"/>
      <c r="G286" s="357">
        <f t="shared" si="61"/>
        <v>0</v>
      </c>
      <c r="H286" s="358"/>
      <c r="I286" s="359">
        <f t="shared" si="60"/>
        <v>0</v>
      </c>
      <c r="J286" s="356"/>
      <c r="K286" s="356"/>
      <c r="L286" s="357">
        <f t="shared" si="62"/>
        <v>0</v>
      </c>
      <c r="M286" s="360">
        <f t="shared" si="63"/>
        <v>0</v>
      </c>
    </row>
    <row r="287" spans="1:13" ht="25.5" x14ac:dyDescent="0.2">
      <c r="A287" s="149">
        <v>45.1</v>
      </c>
      <c r="B287" s="364">
        <v>1920</v>
      </c>
      <c r="C287" s="355" t="s">
        <v>296</v>
      </c>
      <c r="D287" s="356">
        <f t="shared" si="59"/>
        <v>0</v>
      </c>
      <c r="E287" s="356"/>
      <c r="F287" s="356"/>
      <c r="G287" s="357">
        <f t="shared" si="61"/>
        <v>0</v>
      </c>
      <c r="H287" s="358"/>
      <c r="I287" s="359">
        <f t="shared" si="60"/>
        <v>0</v>
      </c>
      <c r="J287" s="356"/>
      <c r="K287" s="356"/>
      <c r="L287" s="357">
        <f t="shared" si="62"/>
        <v>0</v>
      </c>
      <c r="M287" s="360">
        <f t="shared" si="63"/>
        <v>0</v>
      </c>
    </row>
    <row r="288" spans="1:13" x14ac:dyDescent="0.2">
      <c r="A288" s="149">
        <v>10</v>
      </c>
      <c r="B288" s="1525">
        <v>1930</v>
      </c>
      <c r="C288" s="363" t="s">
        <v>379</v>
      </c>
      <c r="D288" s="356">
        <f t="shared" si="59"/>
        <v>2152769.17</v>
      </c>
      <c r="E288" s="356">
        <v>540373</v>
      </c>
      <c r="F288" s="356">
        <v>-31962</v>
      </c>
      <c r="G288" s="357">
        <f t="shared" si="61"/>
        <v>2661180.17</v>
      </c>
      <c r="H288" s="358"/>
      <c r="I288" s="359">
        <f t="shared" si="60"/>
        <v>-1471549</v>
      </c>
      <c r="J288" s="356">
        <v>-198551</v>
      </c>
      <c r="K288" s="356">
        <v>31962</v>
      </c>
      <c r="L288" s="357">
        <f t="shared" si="62"/>
        <v>-1638138</v>
      </c>
      <c r="M288" s="360">
        <f t="shared" si="63"/>
        <v>1023042.1699999999</v>
      </c>
    </row>
    <row r="289" spans="1:13" x14ac:dyDescent="0.2">
      <c r="A289" s="149">
        <v>8</v>
      </c>
      <c r="B289" s="1525">
        <v>1935</v>
      </c>
      <c r="C289" s="363" t="s">
        <v>380</v>
      </c>
      <c r="D289" s="356">
        <f t="shared" si="59"/>
        <v>281519.32</v>
      </c>
      <c r="E289" s="356"/>
      <c r="F289" s="356"/>
      <c r="G289" s="357">
        <f t="shared" si="61"/>
        <v>281519.32</v>
      </c>
      <c r="H289" s="358"/>
      <c r="I289" s="359">
        <f t="shared" si="60"/>
        <v>-180776</v>
      </c>
      <c r="J289" s="356">
        <v>-11624</v>
      </c>
      <c r="K289" s="356"/>
      <c r="L289" s="357">
        <f t="shared" si="62"/>
        <v>-192400</v>
      </c>
      <c r="M289" s="360">
        <f t="shared" si="63"/>
        <v>89119.32</v>
      </c>
    </row>
    <row r="290" spans="1:13" x14ac:dyDescent="0.2">
      <c r="A290" s="149">
        <v>8</v>
      </c>
      <c r="B290" s="1525">
        <v>1940</v>
      </c>
      <c r="C290" s="363" t="s">
        <v>381</v>
      </c>
      <c r="D290" s="356">
        <f t="shared" si="59"/>
        <v>405366.39999999997</v>
      </c>
      <c r="E290" s="356">
        <v>15446</v>
      </c>
      <c r="F290" s="356"/>
      <c r="G290" s="357">
        <f t="shared" si="61"/>
        <v>420812.39999999997</v>
      </c>
      <c r="H290" s="358"/>
      <c r="I290" s="359">
        <f t="shared" si="60"/>
        <v>-393618</v>
      </c>
      <c r="J290" s="356">
        <v>-16391</v>
      </c>
      <c r="K290" s="356"/>
      <c r="L290" s="357">
        <f t="shared" si="62"/>
        <v>-410009</v>
      </c>
      <c r="M290" s="360">
        <f t="shared" si="63"/>
        <v>10803.399999999965</v>
      </c>
    </row>
    <row r="291" spans="1:13" x14ac:dyDescent="0.2">
      <c r="A291" s="149">
        <v>8</v>
      </c>
      <c r="B291" s="1525">
        <v>1945</v>
      </c>
      <c r="C291" s="363" t="s">
        <v>382</v>
      </c>
      <c r="D291" s="356">
        <f t="shared" si="59"/>
        <v>126480.83</v>
      </c>
      <c r="E291" s="356"/>
      <c r="F291" s="356"/>
      <c r="G291" s="357">
        <f t="shared" si="61"/>
        <v>126480.83</v>
      </c>
      <c r="H291" s="358"/>
      <c r="I291" s="359">
        <f t="shared" si="60"/>
        <v>-33683</v>
      </c>
      <c r="J291" s="356"/>
      <c r="K291" s="356"/>
      <c r="L291" s="357">
        <f t="shared" si="62"/>
        <v>-33683</v>
      </c>
      <c r="M291" s="360">
        <f t="shared" si="63"/>
        <v>92797.83</v>
      </c>
    </row>
    <row r="292" spans="1:13" x14ac:dyDescent="0.2">
      <c r="A292" s="149">
        <v>8</v>
      </c>
      <c r="B292" s="1525">
        <v>1950</v>
      </c>
      <c r="C292" s="363" t="s">
        <v>298</v>
      </c>
      <c r="D292" s="356">
        <f t="shared" si="59"/>
        <v>0</v>
      </c>
      <c r="E292" s="356"/>
      <c r="F292" s="356"/>
      <c r="G292" s="357">
        <f t="shared" si="61"/>
        <v>0</v>
      </c>
      <c r="H292" s="358"/>
      <c r="I292" s="359">
        <f t="shared" si="60"/>
        <v>0</v>
      </c>
      <c r="J292" s="356"/>
      <c r="K292" s="356"/>
      <c r="L292" s="357">
        <f t="shared" si="62"/>
        <v>0</v>
      </c>
      <c r="M292" s="360">
        <f t="shared" si="63"/>
        <v>0</v>
      </c>
    </row>
    <row r="293" spans="1:13" x14ac:dyDescent="0.2">
      <c r="A293" s="149">
        <v>8</v>
      </c>
      <c r="B293" s="1525">
        <v>1955</v>
      </c>
      <c r="C293" s="363" t="s">
        <v>383</v>
      </c>
      <c r="D293" s="356">
        <f t="shared" si="59"/>
        <v>240187.82</v>
      </c>
      <c r="E293" s="356">
        <v>28833</v>
      </c>
      <c r="F293" s="356"/>
      <c r="G293" s="357">
        <f t="shared" si="61"/>
        <v>269020.82</v>
      </c>
      <c r="H293" s="358"/>
      <c r="I293" s="359">
        <f t="shared" si="60"/>
        <v>-187858</v>
      </c>
      <c r="J293" s="356">
        <v>-10761</v>
      </c>
      <c r="K293" s="356"/>
      <c r="L293" s="357">
        <f t="shared" si="62"/>
        <v>-198619</v>
      </c>
      <c r="M293" s="360">
        <f t="shared" si="63"/>
        <v>70401.820000000007</v>
      </c>
    </row>
    <row r="294" spans="1:13" x14ac:dyDescent="0.2">
      <c r="A294" s="366">
        <v>8</v>
      </c>
      <c r="B294" s="364">
        <v>1955</v>
      </c>
      <c r="C294" s="367" t="s">
        <v>299</v>
      </c>
      <c r="D294" s="356">
        <f t="shared" si="59"/>
        <v>0</v>
      </c>
      <c r="E294" s="356"/>
      <c r="F294" s="356"/>
      <c r="G294" s="357">
        <f t="shared" si="61"/>
        <v>0</v>
      </c>
      <c r="H294" s="358"/>
      <c r="I294" s="359">
        <f t="shared" si="60"/>
        <v>0</v>
      </c>
      <c r="J294" s="356"/>
      <c r="K294" s="356"/>
      <c r="L294" s="357">
        <f t="shared" si="62"/>
        <v>0</v>
      </c>
      <c r="M294" s="360">
        <f t="shared" si="63"/>
        <v>0</v>
      </c>
    </row>
    <row r="295" spans="1:13" x14ac:dyDescent="0.2">
      <c r="A295" s="366">
        <v>8</v>
      </c>
      <c r="B295" s="368">
        <v>1960</v>
      </c>
      <c r="C295" s="355" t="s">
        <v>300</v>
      </c>
      <c r="D295" s="356">
        <f t="shared" si="59"/>
        <v>0</v>
      </c>
      <c r="E295" s="356"/>
      <c r="F295" s="356"/>
      <c r="G295" s="357">
        <f t="shared" si="61"/>
        <v>0</v>
      </c>
      <c r="H295" s="358"/>
      <c r="I295" s="359">
        <f t="shared" si="60"/>
        <v>0</v>
      </c>
      <c r="J295" s="356"/>
      <c r="K295" s="356"/>
      <c r="L295" s="357">
        <f t="shared" si="62"/>
        <v>0</v>
      </c>
      <c r="M295" s="360">
        <f t="shared" si="63"/>
        <v>0</v>
      </c>
    </row>
    <row r="296" spans="1:13" ht="25.5" x14ac:dyDescent="0.2">
      <c r="A296" s="369">
        <v>47</v>
      </c>
      <c r="B296" s="368">
        <v>1970</v>
      </c>
      <c r="C296" s="363" t="s">
        <v>649</v>
      </c>
      <c r="D296" s="356">
        <f t="shared" si="59"/>
        <v>0</v>
      </c>
      <c r="E296" s="356"/>
      <c r="F296" s="356"/>
      <c r="G296" s="357">
        <f t="shared" si="61"/>
        <v>0</v>
      </c>
      <c r="H296" s="358"/>
      <c r="I296" s="359">
        <f t="shared" si="60"/>
        <v>0</v>
      </c>
      <c r="J296" s="356"/>
      <c r="K296" s="356"/>
      <c r="L296" s="357">
        <f t="shared" si="62"/>
        <v>0</v>
      </c>
      <c r="M296" s="360">
        <f t="shared" si="63"/>
        <v>0</v>
      </c>
    </row>
    <row r="297" spans="1:13" ht="25.5" x14ac:dyDescent="0.2">
      <c r="A297" s="149">
        <v>47</v>
      </c>
      <c r="B297" s="1525">
        <v>1975</v>
      </c>
      <c r="C297" s="363" t="s">
        <v>384</v>
      </c>
      <c r="D297" s="356">
        <f t="shared" si="59"/>
        <v>0</v>
      </c>
      <c r="E297" s="356"/>
      <c r="F297" s="356"/>
      <c r="G297" s="357">
        <f t="shared" si="61"/>
        <v>0</v>
      </c>
      <c r="H297" s="358"/>
      <c r="I297" s="359">
        <f t="shared" si="60"/>
        <v>0</v>
      </c>
      <c r="J297" s="356"/>
      <c r="K297" s="356"/>
      <c r="L297" s="357">
        <f t="shared" si="62"/>
        <v>0</v>
      </c>
      <c r="M297" s="360">
        <f t="shared" si="63"/>
        <v>0</v>
      </c>
    </row>
    <row r="298" spans="1:13" x14ac:dyDescent="0.2">
      <c r="A298" s="149">
        <v>47</v>
      </c>
      <c r="B298" s="1525">
        <v>1980</v>
      </c>
      <c r="C298" s="363" t="s">
        <v>385</v>
      </c>
      <c r="D298" s="356">
        <f t="shared" si="59"/>
        <v>94199</v>
      </c>
      <c r="E298" s="356">
        <v>27973</v>
      </c>
      <c r="F298" s="356"/>
      <c r="G298" s="357">
        <f t="shared" si="61"/>
        <v>122172</v>
      </c>
      <c r="H298" s="358"/>
      <c r="I298" s="359">
        <f t="shared" si="60"/>
        <v>-43300</v>
      </c>
      <c r="J298" s="356">
        <v>-4441</v>
      </c>
      <c r="K298" s="356"/>
      <c r="L298" s="357">
        <f t="shared" si="62"/>
        <v>-47741</v>
      </c>
      <c r="M298" s="360">
        <f t="shared" si="63"/>
        <v>74431</v>
      </c>
    </row>
    <row r="299" spans="1:13" x14ac:dyDescent="0.2">
      <c r="A299" s="149">
        <v>47</v>
      </c>
      <c r="B299" s="1525">
        <v>1985</v>
      </c>
      <c r="C299" s="363" t="s">
        <v>386</v>
      </c>
      <c r="D299" s="356">
        <f t="shared" si="59"/>
        <v>0</v>
      </c>
      <c r="E299" s="356"/>
      <c r="F299" s="356"/>
      <c r="G299" s="357">
        <f t="shared" si="61"/>
        <v>0</v>
      </c>
      <c r="H299" s="358"/>
      <c r="I299" s="359">
        <f t="shared" si="60"/>
        <v>0</v>
      </c>
      <c r="J299" s="356"/>
      <c r="K299" s="356"/>
      <c r="L299" s="357">
        <f t="shared" si="62"/>
        <v>0</v>
      </c>
      <c r="M299" s="360">
        <f t="shared" si="63"/>
        <v>0</v>
      </c>
    </row>
    <row r="300" spans="1:13" x14ac:dyDescent="0.2">
      <c r="A300" s="369">
        <v>47</v>
      </c>
      <c r="B300" s="1525">
        <v>1990</v>
      </c>
      <c r="C300" s="1524" t="s">
        <v>650</v>
      </c>
      <c r="D300" s="356">
        <f t="shared" si="59"/>
        <v>133004.10999999999</v>
      </c>
      <c r="E300" s="356"/>
      <c r="F300" s="356"/>
      <c r="G300" s="357">
        <f t="shared" si="61"/>
        <v>133004.10999999999</v>
      </c>
      <c r="H300" s="358"/>
      <c r="I300" s="359">
        <f t="shared" si="60"/>
        <v>-30493</v>
      </c>
      <c r="J300" s="356">
        <v>-13301</v>
      </c>
      <c r="K300" s="356"/>
      <c r="L300" s="357">
        <f t="shared" si="62"/>
        <v>-43794</v>
      </c>
      <c r="M300" s="360">
        <f t="shared" si="63"/>
        <v>89210.109999999986</v>
      </c>
    </row>
    <row r="301" spans="1:13" x14ac:dyDescent="0.2">
      <c r="A301" s="149">
        <v>47</v>
      </c>
      <c r="B301" s="1525">
        <v>1995</v>
      </c>
      <c r="C301" s="363" t="s">
        <v>387</v>
      </c>
      <c r="D301" s="356">
        <f t="shared" si="59"/>
        <v>-47115667.840000004</v>
      </c>
      <c r="E301" s="356">
        <v>-4855575</v>
      </c>
      <c r="F301" s="356"/>
      <c r="G301" s="357">
        <f t="shared" si="61"/>
        <v>-51971242.840000004</v>
      </c>
      <c r="H301" s="358"/>
      <c r="I301" s="359">
        <f t="shared" si="60"/>
        <v>13157835</v>
      </c>
      <c r="J301" s="356">
        <v>1973582</v>
      </c>
      <c r="K301" s="356"/>
      <c r="L301" s="357">
        <f t="shared" si="62"/>
        <v>15131417</v>
      </c>
      <c r="M301" s="360">
        <f t="shared" si="63"/>
        <v>-36839825.840000004</v>
      </c>
    </row>
    <row r="302" spans="1:13" ht="14.25" x14ac:dyDescent="0.2">
      <c r="A302" s="149">
        <v>47</v>
      </c>
      <c r="B302" s="1525">
        <v>2440</v>
      </c>
      <c r="C302" s="363" t="s">
        <v>1638</v>
      </c>
      <c r="D302" s="356"/>
      <c r="E302" s="356"/>
      <c r="F302" s="356"/>
      <c r="G302" s="357"/>
      <c r="I302" s="359"/>
      <c r="J302" s="356"/>
      <c r="K302" s="356"/>
      <c r="L302" s="357"/>
      <c r="M302" s="360"/>
    </row>
    <row r="303" spans="1:13" x14ac:dyDescent="0.2">
      <c r="A303" s="370"/>
      <c r="B303" s="370"/>
      <c r="C303" s="371"/>
      <c r="D303" s="372"/>
      <c r="E303" s="372"/>
      <c r="F303" s="372"/>
      <c r="G303" s="357">
        <f t="shared" ref="G303" si="64">D303+E303+F303</f>
        <v>0</v>
      </c>
      <c r="I303" s="372"/>
      <c r="J303" s="372"/>
      <c r="K303" s="372"/>
      <c r="L303" s="357">
        <f t="shared" ref="L303" si="65">I303+J303+K303</f>
        <v>0</v>
      </c>
      <c r="M303" s="360">
        <f t="shared" ref="M303" si="66">G303+L303</f>
        <v>0</v>
      </c>
    </row>
    <row r="304" spans="1:13" x14ac:dyDescent="0.2">
      <c r="A304" s="370"/>
      <c r="B304" s="370"/>
      <c r="C304" s="373" t="s">
        <v>268</v>
      </c>
      <c r="D304" s="374">
        <f>SUM(D263:D303)</f>
        <v>117217739.65499997</v>
      </c>
      <c r="E304" s="374">
        <f t="shared" ref="E304:G304" si="67">SUM(E263:E303)</f>
        <v>11652395</v>
      </c>
      <c r="F304" s="374">
        <f t="shared" si="67"/>
        <v>-31962</v>
      </c>
      <c r="G304" s="374">
        <f t="shared" si="67"/>
        <v>128838170.65499997</v>
      </c>
      <c r="H304" s="374"/>
      <c r="I304" s="374">
        <f t="shared" ref="I304" si="68">SUM(I263:I303)</f>
        <v>-59421569</v>
      </c>
      <c r="J304" s="374">
        <f t="shared" ref="J304" si="69">SUM(J263:J303)</f>
        <v>-4424218</v>
      </c>
      <c r="K304" s="374">
        <f t="shared" ref="K304" si="70">SUM(K263:K303)</f>
        <v>31962</v>
      </c>
      <c r="L304" s="374">
        <f t="shared" ref="L304" si="71">SUM(L263:L303)</f>
        <v>-63813825</v>
      </c>
      <c r="M304" s="374">
        <f t="shared" ref="M304" si="72">SUM(M263:M303)</f>
        <v>65024344.654999986</v>
      </c>
    </row>
    <row r="305" spans="1:13" ht="37.5" x14ac:dyDescent="0.2">
      <c r="A305" s="370"/>
      <c r="B305" s="370"/>
      <c r="C305" s="375" t="s">
        <v>775</v>
      </c>
      <c r="D305" s="372"/>
      <c r="E305" s="372"/>
      <c r="F305" s="372"/>
      <c r="G305" s="357">
        <f t="shared" ref="G305:G306" si="73">D305+E305+F305</f>
        <v>0</v>
      </c>
      <c r="I305" s="372"/>
      <c r="J305" s="372"/>
      <c r="K305" s="372"/>
      <c r="L305" s="357">
        <f t="shared" ref="L305:L306" si="74">I305+J305+K305</f>
        <v>0</v>
      </c>
      <c r="M305" s="360">
        <f t="shared" ref="M305:M306" si="75">G305+L305</f>
        <v>0</v>
      </c>
    </row>
    <row r="306" spans="1:13" ht="25.5" x14ac:dyDescent="0.2">
      <c r="A306" s="370"/>
      <c r="B306" s="370"/>
      <c r="C306" s="376" t="s">
        <v>774</v>
      </c>
      <c r="D306" s="372"/>
      <c r="E306" s="372"/>
      <c r="F306" s="372"/>
      <c r="G306" s="357">
        <f t="shared" si="73"/>
        <v>0</v>
      </c>
      <c r="I306" s="372"/>
      <c r="J306" s="372"/>
      <c r="K306" s="372"/>
      <c r="L306" s="357">
        <f t="shared" si="74"/>
        <v>0</v>
      </c>
      <c r="M306" s="360">
        <f t="shared" si="75"/>
        <v>0</v>
      </c>
    </row>
    <row r="307" spans="1:13" x14ac:dyDescent="0.2">
      <c r="A307" s="370"/>
      <c r="B307" s="370"/>
      <c r="C307" s="373" t="s">
        <v>651</v>
      </c>
      <c r="D307" s="374">
        <f>SUM(D304:D306)</f>
        <v>117217739.65499997</v>
      </c>
      <c r="E307" s="374">
        <f t="shared" ref="E307:G307" si="76">SUM(E304:E306)</f>
        <v>11652395</v>
      </c>
      <c r="F307" s="374">
        <f t="shared" si="76"/>
        <v>-31962</v>
      </c>
      <c r="G307" s="374">
        <f t="shared" si="76"/>
        <v>128838170.65499997</v>
      </c>
      <c r="H307" s="374"/>
      <c r="I307" s="374">
        <f t="shared" ref="I307:M307" si="77">SUM(I304:I306)</f>
        <v>-59421569</v>
      </c>
      <c r="J307" s="374">
        <f t="shared" si="77"/>
        <v>-4424218</v>
      </c>
      <c r="K307" s="374">
        <f t="shared" si="77"/>
        <v>31962</v>
      </c>
      <c r="L307" s="374">
        <f t="shared" si="77"/>
        <v>-63813825</v>
      </c>
      <c r="M307" s="374">
        <f t="shared" si="77"/>
        <v>65024344.654999986</v>
      </c>
    </row>
    <row r="308" spans="1:13" ht="14.25" x14ac:dyDescent="0.2">
      <c r="A308" s="370"/>
      <c r="B308" s="370"/>
      <c r="C308" s="1994" t="s">
        <v>1568</v>
      </c>
      <c r="D308" s="1995"/>
      <c r="E308" s="1995"/>
      <c r="F308" s="1995"/>
      <c r="G308" s="1995"/>
      <c r="H308" s="1995"/>
      <c r="I308" s="1996"/>
      <c r="J308" s="372"/>
      <c r="K308" s="377"/>
      <c r="L308" s="378"/>
      <c r="M308" s="379"/>
    </row>
    <row r="309" spans="1:13" x14ac:dyDescent="0.2">
      <c r="A309" s="370"/>
      <c r="B309" s="370"/>
      <c r="C309" s="1994" t="s">
        <v>388</v>
      </c>
      <c r="D309" s="1995"/>
      <c r="E309" s="1995"/>
      <c r="F309" s="1995"/>
      <c r="G309" s="1995"/>
      <c r="H309" s="1995"/>
      <c r="I309" s="1996"/>
      <c r="J309" s="374">
        <f>J307+J308</f>
        <v>-4424218</v>
      </c>
      <c r="K309" s="377"/>
      <c r="L309" s="378"/>
      <c r="M309" s="379"/>
    </row>
    <row r="310" spans="1:13" x14ac:dyDescent="0.2">
      <c r="A310" s="1526"/>
      <c r="B310" s="1526"/>
    </row>
    <row r="311" spans="1:13" x14ac:dyDescent="0.2">
      <c r="A311" s="1526"/>
      <c r="B311" s="1526"/>
      <c r="I311" s="380" t="s">
        <v>522</v>
      </c>
      <c r="J311" s="1527"/>
    </row>
    <row r="312" spans="1:13" x14ac:dyDescent="0.2">
      <c r="A312" s="370">
        <v>10</v>
      </c>
      <c r="B312" s="370"/>
      <c r="C312" s="371" t="s">
        <v>389</v>
      </c>
      <c r="I312" s="1527" t="s">
        <v>389</v>
      </c>
      <c r="J312" s="1527"/>
      <c r="K312" s="381">
        <f>+J288</f>
        <v>-198551</v>
      </c>
    </row>
    <row r="313" spans="1:13" x14ac:dyDescent="0.2">
      <c r="A313" s="370">
        <v>8</v>
      </c>
      <c r="B313" s="370"/>
      <c r="C313" s="371" t="s">
        <v>380</v>
      </c>
      <c r="I313" s="1527" t="s">
        <v>380</v>
      </c>
      <c r="J313" s="1527"/>
      <c r="K313" s="381">
        <f>+J289</f>
        <v>-11624</v>
      </c>
    </row>
    <row r="314" spans="1:13" x14ac:dyDescent="0.2">
      <c r="A314" s="370">
        <v>8</v>
      </c>
      <c r="B314" s="1525"/>
      <c r="C314" s="363" t="s">
        <v>381</v>
      </c>
      <c r="I314" s="1527" t="s">
        <v>2162</v>
      </c>
      <c r="J314" s="1527"/>
      <c r="K314" s="381">
        <f>+J290</f>
        <v>-16391</v>
      </c>
    </row>
    <row r="315" spans="1:13" x14ac:dyDescent="0.2">
      <c r="A315" s="370">
        <v>8</v>
      </c>
      <c r="B315" s="1525"/>
      <c r="C315" s="363" t="s">
        <v>382</v>
      </c>
      <c r="I315" s="1527" t="s">
        <v>2163</v>
      </c>
      <c r="J315" s="1527"/>
      <c r="K315" s="381">
        <f>+J291</f>
        <v>0</v>
      </c>
    </row>
    <row r="316" spans="1:13" x14ac:dyDescent="0.2">
      <c r="A316" s="1526"/>
      <c r="B316" s="1526"/>
      <c r="I316" s="382" t="s">
        <v>390</v>
      </c>
      <c r="K316" s="383">
        <f>J309-K312-K313-K314-K315</f>
        <v>-4197652</v>
      </c>
    </row>
    <row r="317" spans="1:13" x14ac:dyDescent="0.2">
      <c r="A317" s="1526"/>
      <c r="B317" s="1526"/>
      <c r="I317" s="382"/>
      <c r="K317" s="1538"/>
    </row>
    <row r="318" spans="1:13" ht="21" x14ac:dyDescent="0.2">
      <c r="A318" s="1997" t="s">
        <v>1828</v>
      </c>
      <c r="B318" s="1997"/>
      <c r="C318" s="1997"/>
      <c r="D318" s="1997"/>
      <c r="E318" s="1997"/>
      <c r="F318" s="1997"/>
      <c r="G318" s="1997"/>
      <c r="H318" s="1997"/>
      <c r="I318" s="1997"/>
      <c r="J318" s="1997"/>
      <c r="K318" s="1997"/>
      <c r="L318" s="1997"/>
      <c r="M318" s="1997"/>
    </row>
    <row r="319" spans="1:13" x14ac:dyDescent="0.2">
      <c r="A319" s="1526"/>
      <c r="B319" s="1526"/>
      <c r="H319" s="140"/>
    </row>
    <row r="320" spans="1:13" x14ac:dyDescent="0.2">
      <c r="A320" s="1526"/>
      <c r="B320" s="1526"/>
      <c r="E320" s="303" t="s">
        <v>1520</v>
      </c>
      <c r="F320" s="128" t="s">
        <v>152</v>
      </c>
      <c r="H320" s="140"/>
    </row>
    <row r="321" spans="1:13" ht="15" x14ac:dyDescent="0.25">
      <c r="A321" s="1526"/>
      <c r="B321" s="1526"/>
      <c r="C321" s="158"/>
      <c r="E321" s="303" t="s">
        <v>149</v>
      </c>
      <c r="F321" s="343">
        <v>2014</v>
      </c>
      <c r="G321" s="344"/>
    </row>
    <row r="322" spans="1:13" x14ac:dyDescent="0.2">
      <c r="A322" s="1526"/>
      <c r="B322" s="1526"/>
    </row>
    <row r="323" spans="1:13" x14ac:dyDescent="0.2">
      <c r="A323" s="1526"/>
      <c r="B323" s="1526"/>
      <c r="D323" s="1998" t="s">
        <v>355</v>
      </c>
      <c r="E323" s="1999"/>
      <c r="F323" s="1999"/>
      <c r="G323" s="2000"/>
      <c r="I323" s="345"/>
      <c r="J323" s="346" t="s">
        <v>356</v>
      </c>
      <c r="K323" s="346"/>
      <c r="L323" s="347"/>
      <c r="M323" s="342"/>
    </row>
    <row r="324" spans="1:13" ht="25.5" customHeight="1" x14ac:dyDescent="0.2">
      <c r="A324" s="348" t="s">
        <v>1829</v>
      </c>
      <c r="B324" s="348" t="s">
        <v>1831</v>
      </c>
      <c r="C324" s="349" t="s">
        <v>1832</v>
      </c>
      <c r="D324" s="348" t="s">
        <v>325</v>
      </c>
      <c r="E324" s="350" t="s">
        <v>1830</v>
      </c>
      <c r="F324" s="350" t="s">
        <v>353</v>
      </c>
      <c r="G324" s="348" t="s">
        <v>354</v>
      </c>
      <c r="H324" s="351"/>
      <c r="I324" s="352" t="s">
        <v>325</v>
      </c>
      <c r="J324" s="353" t="s">
        <v>326</v>
      </c>
      <c r="K324" s="353" t="s">
        <v>353</v>
      </c>
      <c r="L324" s="354" t="s">
        <v>354</v>
      </c>
      <c r="M324" s="348" t="s">
        <v>393</v>
      </c>
    </row>
    <row r="325" spans="1:13" x14ac:dyDescent="0.2">
      <c r="A325" s="149">
        <v>47</v>
      </c>
      <c r="B325" s="1525">
        <v>1609</v>
      </c>
      <c r="C325" s="355" t="s">
        <v>2159</v>
      </c>
      <c r="D325" s="356">
        <f>+G201</f>
        <v>122349</v>
      </c>
      <c r="E325" s="356"/>
      <c r="F325" s="356"/>
      <c r="G325" s="357">
        <f>D325+E325+F325</f>
        <v>122349</v>
      </c>
      <c r="H325" s="358"/>
      <c r="I325" s="359">
        <f>+L201</f>
        <v>-1524</v>
      </c>
      <c r="J325" s="356">
        <v>-3059</v>
      </c>
      <c r="K325" s="356"/>
      <c r="L325" s="357">
        <f>I325+J325+K325</f>
        <v>-4583</v>
      </c>
      <c r="M325" s="360">
        <f>G325+L325</f>
        <v>117766</v>
      </c>
    </row>
    <row r="326" spans="1:13" ht="25.5" x14ac:dyDescent="0.2">
      <c r="A326" s="149">
        <v>12</v>
      </c>
      <c r="B326" s="1525">
        <v>1611</v>
      </c>
      <c r="C326" s="355" t="s">
        <v>475</v>
      </c>
      <c r="D326" s="356">
        <f t="shared" ref="D326:D363" si="78">+G202</f>
        <v>880584</v>
      </c>
      <c r="E326" s="356">
        <v>142392</v>
      </c>
      <c r="F326" s="356"/>
      <c r="G326" s="357">
        <f>D326+E326+F326</f>
        <v>1022976</v>
      </c>
      <c r="H326" s="358"/>
      <c r="I326" s="359">
        <f t="shared" ref="I326:I363" si="79">+L202</f>
        <v>-529300</v>
      </c>
      <c r="J326" s="356">
        <f>-50888-58580</f>
        <v>-109468</v>
      </c>
      <c r="K326" s="356"/>
      <c r="L326" s="357">
        <f>I326+J326+K326</f>
        <v>-638768</v>
      </c>
      <c r="M326" s="360">
        <f>G326+L326</f>
        <v>384208</v>
      </c>
    </row>
    <row r="327" spans="1:13" ht="25.5" x14ac:dyDescent="0.2">
      <c r="A327" s="149" t="s">
        <v>365</v>
      </c>
      <c r="B327" s="1525">
        <v>1612</v>
      </c>
      <c r="C327" s="355" t="s">
        <v>563</v>
      </c>
      <c r="D327" s="356">
        <f t="shared" si="78"/>
        <v>0</v>
      </c>
      <c r="E327" s="356"/>
      <c r="F327" s="356"/>
      <c r="G327" s="357">
        <f>D327+E327+F327</f>
        <v>0</v>
      </c>
      <c r="H327" s="358"/>
      <c r="I327" s="359">
        <f t="shared" si="79"/>
        <v>0</v>
      </c>
      <c r="J327" s="356"/>
      <c r="K327" s="356"/>
      <c r="L327" s="357">
        <f>I327+J327+K327</f>
        <v>0</v>
      </c>
      <c r="M327" s="360">
        <f>G327+L327</f>
        <v>0</v>
      </c>
    </row>
    <row r="328" spans="1:13" x14ac:dyDescent="0.2">
      <c r="A328" s="149" t="s">
        <v>357</v>
      </c>
      <c r="B328" s="361">
        <v>1805</v>
      </c>
      <c r="C328" s="362" t="s">
        <v>358</v>
      </c>
      <c r="D328" s="356">
        <f t="shared" si="78"/>
        <v>69883.360000000001</v>
      </c>
      <c r="E328" s="356"/>
      <c r="F328" s="356"/>
      <c r="G328" s="357">
        <f>D328+E328+F328</f>
        <v>69883.360000000001</v>
      </c>
      <c r="H328" s="358"/>
      <c r="I328" s="359">
        <f t="shared" si="79"/>
        <v>0</v>
      </c>
      <c r="J328" s="356"/>
      <c r="K328" s="356"/>
      <c r="L328" s="357">
        <f>I328+J328+K328</f>
        <v>0</v>
      </c>
      <c r="M328" s="360">
        <f>G328+L328</f>
        <v>69883.360000000001</v>
      </c>
    </row>
    <row r="329" spans="1:13" x14ac:dyDescent="0.2">
      <c r="A329" s="149">
        <v>47</v>
      </c>
      <c r="B329" s="361">
        <v>1808</v>
      </c>
      <c r="C329" s="363" t="s">
        <v>359</v>
      </c>
      <c r="D329" s="356">
        <f t="shared" si="78"/>
        <v>0</v>
      </c>
      <c r="E329" s="356"/>
      <c r="F329" s="356"/>
      <c r="G329" s="357">
        <f t="shared" ref="G329:G363" si="80">D329+E329+F329</f>
        <v>0</v>
      </c>
      <c r="H329" s="358"/>
      <c r="I329" s="359">
        <f t="shared" si="79"/>
        <v>0</v>
      </c>
      <c r="J329" s="356"/>
      <c r="K329" s="356"/>
      <c r="L329" s="357">
        <f t="shared" ref="L329:L363" si="81">I329+J329+K329</f>
        <v>0</v>
      </c>
      <c r="M329" s="360">
        <f t="shared" ref="M329:M363" si="82">G329+L329</f>
        <v>0</v>
      </c>
    </row>
    <row r="330" spans="1:13" x14ac:dyDescent="0.2">
      <c r="A330" s="149">
        <v>13</v>
      </c>
      <c r="B330" s="361">
        <v>1810</v>
      </c>
      <c r="C330" s="363" t="s">
        <v>392</v>
      </c>
      <c r="D330" s="356">
        <f t="shared" si="78"/>
        <v>0</v>
      </c>
      <c r="E330" s="356"/>
      <c r="F330" s="356"/>
      <c r="G330" s="357">
        <f t="shared" si="80"/>
        <v>0</v>
      </c>
      <c r="H330" s="358"/>
      <c r="I330" s="359">
        <f t="shared" si="79"/>
        <v>0</v>
      </c>
      <c r="J330" s="356"/>
      <c r="K330" s="356"/>
      <c r="L330" s="357">
        <f t="shared" si="81"/>
        <v>0</v>
      </c>
      <c r="M330" s="360">
        <f t="shared" si="82"/>
        <v>0</v>
      </c>
    </row>
    <row r="331" spans="1:13" x14ac:dyDescent="0.2">
      <c r="A331" s="149">
        <v>47</v>
      </c>
      <c r="B331" s="361">
        <v>1815</v>
      </c>
      <c r="C331" s="363" t="s">
        <v>360</v>
      </c>
      <c r="D331" s="356">
        <f t="shared" si="78"/>
        <v>0</v>
      </c>
      <c r="E331" s="356"/>
      <c r="F331" s="356"/>
      <c r="G331" s="357">
        <f t="shared" si="80"/>
        <v>0</v>
      </c>
      <c r="H331" s="358"/>
      <c r="I331" s="359">
        <f t="shared" si="79"/>
        <v>0</v>
      </c>
      <c r="J331" s="356"/>
      <c r="K331" s="356"/>
      <c r="L331" s="357">
        <f t="shared" si="81"/>
        <v>0</v>
      </c>
      <c r="M331" s="360">
        <f t="shared" si="82"/>
        <v>0</v>
      </c>
    </row>
    <row r="332" spans="1:13" x14ac:dyDescent="0.2">
      <c r="A332" s="149">
        <v>47</v>
      </c>
      <c r="B332" s="361">
        <v>1820</v>
      </c>
      <c r="C332" s="355" t="s">
        <v>287</v>
      </c>
      <c r="D332" s="356">
        <f t="shared" si="78"/>
        <v>1516191.65</v>
      </c>
      <c r="E332" s="356"/>
      <c r="F332" s="356"/>
      <c r="G332" s="357">
        <f t="shared" si="80"/>
        <v>1516191.65</v>
      </c>
      <c r="H332" s="358"/>
      <c r="I332" s="359">
        <f t="shared" si="79"/>
        <v>-1426753</v>
      </c>
      <c r="J332" s="356">
        <v>-23011</v>
      </c>
      <c r="K332" s="356"/>
      <c r="L332" s="357">
        <f t="shared" si="81"/>
        <v>-1449764</v>
      </c>
      <c r="M332" s="360">
        <f t="shared" si="82"/>
        <v>66427.649999999907</v>
      </c>
    </row>
    <row r="333" spans="1:13" x14ac:dyDescent="0.2">
      <c r="A333" s="149">
        <v>47</v>
      </c>
      <c r="B333" s="361">
        <v>1825</v>
      </c>
      <c r="C333" s="363" t="s">
        <v>361</v>
      </c>
      <c r="D333" s="356">
        <f t="shared" si="78"/>
        <v>0</v>
      </c>
      <c r="E333" s="356"/>
      <c r="F333" s="356"/>
      <c r="G333" s="357">
        <f t="shared" si="80"/>
        <v>0</v>
      </c>
      <c r="H333" s="358"/>
      <c r="I333" s="359">
        <f t="shared" si="79"/>
        <v>0</v>
      </c>
      <c r="J333" s="356"/>
      <c r="K333" s="356"/>
      <c r="L333" s="357">
        <f t="shared" si="81"/>
        <v>0</v>
      </c>
      <c r="M333" s="360">
        <f t="shared" si="82"/>
        <v>0</v>
      </c>
    </row>
    <row r="334" spans="1:13" x14ac:dyDescent="0.2">
      <c r="A334" s="149">
        <v>47</v>
      </c>
      <c r="B334" s="361">
        <v>1830</v>
      </c>
      <c r="C334" s="363" t="s">
        <v>362</v>
      </c>
      <c r="D334" s="356">
        <f t="shared" si="78"/>
        <v>28731865.210000001</v>
      </c>
      <c r="E334" s="356">
        <v>2468003</v>
      </c>
      <c r="F334" s="356"/>
      <c r="G334" s="357">
        <f t="shared" si="80"/>
        <v>31199868.210000001</v>
      </c>
      <c r="H334" s="358"/>
      <c r="I334" s="359">
        <f t="shared" si="79"/>
        <v>-10093177</v>
      </c>
      <c r="J334" s="356">
        <f>-475786-2</f>
        <v>-475788</v>
      </c>
      <c r="K334" s="356"/>
      <c r="L334" s="357">
        <f>I334+J334+K334-1</f>
        <v>-10568966</v>
      </c>
      <c r="M334" s="360">
        <f>G334+L334+1</f>
        <v>20630903.210000001</v>
      </c>
    </row>
    <row r="335" spans="1:13" x14ac:dyDescent="0.2">
      <c r="A335" s="149">
        <v>47</v>
      </c>
      <c r="B335" s="361">
        <v>1835</v>
      </c>
      <c r="C335" s="363" t="s">
        <v>288</v>
      </c>
      <c r="D335" s="356">
        <f t="shared" si="78"/>
        <v>21856337.809999995</v>
      </c>
      <c r="E335" s="356">
        <v>1142413</v>
      </c>
      <c r="F335" s="356"/>
      <c r="G335" s="357">
        <f t="shared" si="80"/>
        <v>22998750.809999995</v>
      </c>
      <c r="H335" s="358"/>
      <c r="I335" s="359">
        <f t="shared" si="79"/>
        <v>-12318747</v>
      </c>
      <c r="J335" s="356">
        <v>-297679</v>
      </c>
      <c r="K335" s="356"/>
      <c r="L335" s="357">
        <f t="shared" si="81"/>
        <v>-12616426</v>
      </c>
      <c r="M335" s="360">
        <f t="shared" si="82"/>
        <v>10382324.809999995</v>
      </c>
    </row>
    <row r="336" spans="1:13" x14ac:dyDescent="0.2">
      <c r="A336" s="149">
        <v>47</v>
      </c>
      <c r="B336" s="361">
        <v>1840</v>
      </c>
      <c r="C336" s="363" t="s">
        <v>289</v>
      </c>
      <c r="D336" s="356">
        <f t="shared" si="78"/>
        <v>23912759.84</v>
      </c>
      <c r="E336" s="356">
        <v>2249779</v>
      </c>
      <c r="F336" s="356"/>
      <c r="G336" s="357">
        <f t="shared" si="80"/>
        <v>26162538.84</v>
      </c>
      <c r="H336" s="358"/>
      <c r="I336" s="359">
        <f t="shared" si="79"/>
        <v>-7827424</v>
      </c>
      <c r="J336" s="356">
        <v>-512029</v>
      </c>
      <c r="K336" s="356"/>
      <c r="L336" s="357">
        <f t="shared" si="81"/>
        <v>-8339453</v>
      </c>
      <c r="M336" s="360">
        <f t="shared" si="82"/>
        <v>17823085.84</v>
      </c>
    </row>
    <row r="337" spans="1:13" x14ac:dyDescent="0.2">
      <c r="A337" s="149">
        <v>47</v>
      </c>
      <c r="B337" s="361">
        <v>1845</v>
      </c>
      <c r="C337" s="363" t="s">
        <v>290</v>
      </c>
      <c r="D337" s="356">
        <f t="shared" si="78"/>
        <v>17289948.969999999</v>
      </c>
      <c r="E337" s="356">
        <v>1410870</v>
      </c>
      <c r="F337" s="356"/>
      <c r="G337" s="357">
        <f t="shared" si="80"/>
        <v>18700818.969999999</v>
      </c>
      <c r="H337" s="358"/>
      <c r="I337" s="359">
        <f t="shared" si="79"/>
        <v>-7141390</v>
      </c>
      <c r="J337" s="356">
        <v>-353320</v>
      </c>
      <c r="K337" s="356"/>
      <c r="L337" s="357">
        <f t="shared" si="81"/>
        <v>-7494710</v>
      </c>
      <c r="M337" s="360">
        <f t="shared" si="82"/>
        <v>11206108.969999999</v>
      </c>
    </row>
    <row r="338" spans="1:13" x14ac:dyDescent="0.2">
      <c r="A338" s="149">
        <v>47</v>
      </c>
      <c r="B338" s="361">
        <v>1850</v>
      </c>
      <c r="C338" s="363" t="s">
        <v>363</v>
      </c>
      <c r="D338" s="356">
        <f t="shared" si="78"/>
        <v>36063245.070000008</v>
      </c>
      <c r="E338" s="356">
        <v>1814539</v>
      </c>
      <c r="F338" s="356"/>
      <c r="G338" s="357">
        <f t="shared" si="80"/>
        <v>37877784.070000008</v>
      </c>
      <c r="H338" s="358"/>
      <c r="I338" s="359">
        <f t="shared" si="79"/>
        <v>-17357680</v>
      </c>
      <c r="J338" s="356">
        <v>-683051</v>
      </c>
      <c r="K338" s="356"/>
      <c r="L338" s="357">
        <f t="shared" si="81"/>
        <v>-18040731</v>
      </c>
      <c r="M338" s="360">
        <f t="shared" si="82"/>
        <v>19837053.070000008</v>
      </c>
    </row>
    <row r="339" spans="1:13" x14ac:dyDescent="0.2">
      <c r="A339" s="149">
        <v>47</v>
      </c>
      <c r="B339" s="361">
        <v>1855</v>
      </c>
      <c r="C339" s="363" t="s">
        <v>291</v>
      </c>
      <c r="D339" s="356">
        <f t="shared" si="78"/>
        <v>13965502.449999999</v>
      </c>
      <c r="E339" s="356">
        <v>831748</v>
      </c>
      <c r="F339" s="356"/>
      <c r="G339" s="357">
        <f t="shared" si="80"/>
        <v>14797250.449999999</v>
      </c>
      <c r="H339" s="358"/>
      <c r="I339" s="359">
        <f t="shared" si="79"/>
        <v>-3733046</v>
      </c>
      <c r="J339" s="356">
        <v>-225427</v>
      </c>
      <c r="K339" s="356"/>
      <c r="L339" s="357">
        <f t="shared" si="81"/>
        <v>-3958473</v>
      </c>
      <c r="M339" s="360">
        <f t="shared" si="82"/>
        <v>10838777.449999999</v>
      </c>
    </row>
    <row r="340" spans="1:13" x14ac:dyDescent="0.2">
      <c r="A340" s="149">
        <v>47</v>
      </c>
      <c r="B340" s="361">
        <v>1860</v>
      </c>
      <c r="C340" s="363" t="s">
        <v>364</v>
      </c>
      <c r="D340" s="356">
        <f t="shared" si="78"/>
        <v>0</v>
      </c>
      <c r="E340" s="356"/>
      <c r="F340" s="356"/>
      <c r="G340" s="357">
        <f t="shared" si="80"/>
        <v>0</v>
      </c>
      <c r="H340" s="358"/>
      <c r="I340" s="359">
        <f t="shared" si="79"/>
        <v>0</v>
      </c>
      <c r="J340" s="356"/>
      <c r="K340" s="356"/>
      <c r="L340" s="357">
        <f t="shared" si="81"/>
        <v>0</v>
      </c>
      <c r="M340" s="360">
        <f t="shared" si="82"/>
        <v>0</v>
      </c>
    </row>
    <row r="341" spans="1:13" x14ac:dyDescent="0.2">
      <c r="A341" s="149">
        <v>47</v>
      </c>
      <c r="B341" s="361">
        <v>1860</v>
      </c>
      <c r="C341" s="362" t="s">
        <v>292</v>
      </c>
      <c r="D341" s="356">
        <f t="shared" si="78"/>
        <v>11192793.719999999</v>
      </c>
      <c r="E341" s="356">
        <v>433062</v>
      </c>
      <c r="F341" s="356"/>
      <c r="G341" s="357">
        <f t="shared" si="80"/>
        <v>11625855.719999999</v>
      </c>
      <c r="H341" s="358"/>
      <c r="I341" s="359">
        <f t="shared" si="79"/>
        <v>-4759486</v>
      </c>
      <c r="J341" s="356">
        <v>-701423</v>
      </c>
      <c r="K341" s="356"/>
      <c r="L341" s="357">
        <f t="shared" si="81"/>
        <v>-5460909</v>
      </c>
      <c r="M341" s="360">
        <f t="shared" si="82"/>
        <v>6164946.7199999988</v>
      </c>
    </row>
    <row r="342" spans="1:13" x14ac:dyDescent="0.2">
      <c r="A342" s="149" t="s">
        <v>357</v>
      </c>
      <c r="B342" s="361">
        <v>1905</v>
      </c>
      <c r="C342" s="362" t="s">
        <v>358</v>
      </c>
      <c r="D342" s="356">
        <f t="shared" si="78"/>
        <v>1142051.7649999999</v>
      </c>
      <c r="E342" s="356">
        <v>4040000</v>
      </c>
      <c r="F342" s="356"/>
      <c r="G342" s="357">
        <f t="shared" si="80"/>
        <v>5182051.7649999997</v>
      </c>
      <c r="H342" s="358"/>
      <c r="I342" s="359">
        <f t="shared" si="79"/>
        <v>0</v>
      </c>
      <c r="J342" s="356"/>
      <c r="K342" s="356"/>
      <c r="L342" s="357">
        <f t="shared" si="81"/>
        <v>0</v>
      </c>
      <c r="M342" s="360">
        <f t="shared" si="82"/>
        <v>5182051.7649999997</v>
      </c>
    </row>
    <row r="343" spans="1:13" x14ac:dyDescent="0.2">
      <c r="A343" s="149">
        <v>47</v>
      </c>
      <c r="B343" s="361">
        <v>1908</v>
      </c>
      <c r="C343" s="363" t="s">
        <v>366</v>
      </c>
      <c r="D343" s="356">
        <f t="shared" si="78"/>
        <v>0</v>
      </c>
      <c r="E343" s="356"/>
      <c r="F343" s="356"/>
      <c r="G343" s="357">
        <f t="shared" si="80"/>
        <v>0</v>
      </c>
      <c r="H343" s="358"/>
      <c r="I343" s="359">
        <f t="shared" si="79"/>
        <v>0</v>
      </c>
      <c r="J343" s="356"/>
      <c r="K343" s="356"/>
      <c r="L343" s="357">
        <f t="shared" si="81"/>
        <v>0</v>
      </c>
      <c r="M343" s="360">
        <f t="shared" si="82"/>
        <v>0</v>
      </c>
    </row>
    <row r="344" spans="1:13" x14ac:dyDescent="0.2">
      <c r="A344" s="149">
        <v>13</v>
      </c>
      <c r="B344" s="361">
        <v>1910</v>
      </c>
      <c r="C344" s="363" t="s">
        <v>392</v>
      </c>
      <c r="D344" s="356">
        <f t="shared" si="78"/>
        <v>377009</v>
      </c>
      <c r="E344" s="356"/>
      <c r="F344" s="356"/>
      <c r="G344" s="357">
        <f t="shared" si="80"/>
        <v>377009</v>
      </c>
      <c r="H344" s="358"/>
      <c r="I344" s="359">
        <f t="shared" si="79"/>
        <v>-364985</v>
      </c>
      <c r="J344" s="356">
        <v>-12024</v>
      </c>
      <c r="K344" s="356"/>
      <c r="L344" s="357">
        <f t="shared" si="81"/>
        <v>-377009</v>
      </c>
      <c r="M344" s="360">
        <f t="shared" si="82"/>
        <v>0</v>
      </c>
    </row>
    <row r="345" spans="1:13" x14ac:dyDescent="0.2">
      <c r="A345" s="149">
        <v>8</v>
      </c>
      <c r="B345" s="361">
        <v>1915</v>
      </c>
      <c r="C345" s="363" t="s">
        <v>293</v>
      </c>
      <c r="D345" s="356">
        <f t="shared" si="78"/>
        <v>712089</v>
      </c>
      <c r="E345" s="356">
        <v>2798</v>
      </c>
      <c r="F345" s="356"/>
      <c r="G345" s="357">
        <f t="shared" si="80"/>
        <v>714887</v>
      </c>
      <c r="H345" s="358"/>
      <c r="I345" s="359">
        <f t="shared" si="79"/>
        <v>-622285</v>
      </c>
      <c r="J345" s="356">
        <v>-15390</v>
      </c>
      <c r="K345" s="356"/>
      <c r="L345" s="357">
        <f t="shared" si="81"/>
        <v>-637675</v>
      </c>
      <c r="M345" s="360">
        <f t="shared" si="82"/>
        <v>77212</v>
      </c>
    </row>
    <row r="346" spans="1:13" x14ac:dyDescent="0.2">
      <c r="A346" s="149">
        <v>8</v>
      </c>
      <c r="B346" s="361">
        <v>1915</v>
      </c>
      <c r="C346" s="363" t="s">
        <v>294</v>
      </c>
      <c r="D346" s="356">
        <f t="shared" si="78"/>
        <v>0</v>
      </c>
      <c r="E346" s="356"/>
      <c r="F346" s="356"/>
      <c r="G346" s="357">
        <f t="shared" si="80"/>
        <v>0</v>
      </c>
      <c r="H346" s="358"/>
      <c r="I346" s="359">
        <f t="shared" si="79"/>
        <v>0</v>
      </c>
      <c r="J346" s="356"/>
      <c r="K346" s="356"/>
      <c r="L346" s="357">
        <f t="shared" si="81"/>
        <v>0</v>
      </c>
      <c r="M346" s="360">
        <f t="shared" si="82"/>
        <v>0</v>
      </c>
    </row>
    <row r="347" spans="1:13" x14ac:dyDescent="0.2">
      <c r="A347" s="149">
        <v>10</v>
      </c>
      <c r="B347" s="361">
        <v>1920</v>
      </c>
      <c r="C347" s="363" t="s">
        <v>295</v>
      </c>
      <c r="D347" s="356">
        <f t="shared" si="78"/>
        <v>1794135</v>
      </c>
      <c r="E347" s="356">
        <v>98237</v>
      </c>
      <c r="F347" s="356"/>
      <c r="G347" s="357">
        <f t="shared" si="80"/>
        <v>1892372</v>
      </c>
      <c r="H347" s="358"/>
      <c r="I347" s="359">
        <f t="shared" si="79"/>
        <v>-1549578</v>
      </c>
      <c r="J347" s="356">
        <v>-74948</v>
      </c>
      <c r="K347" s="356"/>
      <c r="L347" s="357">
        <f t="shared" si="81"/>
        <v>-1624526</v>
      </c>
      <c r="M347" s="360">
        <f t="shared" si="82"/>
        <v>267846</v>
      </c>
    </row>
    <row r="348" spans="1:13" ht="25.5" x14ac:dyDescent="0.2">
      <c r="A348" s="149">
        <v>45</v>
      </c>
      <c r="B348" s="364">
        <v>1920</v>
      </c>
      <c r="C348" s="355" t="s">
        <v>297</v>
      </c>
      <c r="D348" s="356">
        <f t="shared" si="78"/>
        <v>0</v>
      </c>
      <c r="E348" s="356"/>
      <c r="F348" s="356"/>
      <c r="G348" s="357">
        <f t="shared" si="80"/>
        <v>0</v>
      </c>
      <c r="H348" s="358"/>
      <c r="I348" s="359">
        <f t="shared" si="79"/>
        <v>0</v>
      </c>
      <c r="J348" s="356"/>
      <c r="K348" s="356"/>
      <c r="L348" s="357">
        <f t="shared" si="81"/>
        <v>0</v>
      </c>
      <c r="M348" s="360">
        <f t="shared" si="82"/>
        <v>0</v>
      </c>
    </row>
    <row r="349" spans="1:13" ht="25.5" x14ac:dyDescent="0.2">
      <c r="A349" s="149">
        <v>45.1</v>
      </c>
      <c r="B349" s="364">
        <v>1920</v>
      </c>
      <c r="C349" s="355" t="s">
        <v>296</v>
      </c>
      <c r="D349" s="356">
        <f t="shared" si="78"/>
        <v>0</v>
      </c>
      <c r="E349" s="356"/>
      <c r="F349" s="356"/>
      <c r="G349" s="357">
        <f t="shared" si="80"/>
        <v>0</v>
      </c>
      <c r="H349" s="358"/>
      <c r="I349" s="359">
        <f t="shared" si="79"/>
        <v>0</v>
      </c>
      <c r="J349" s="356"/>
      <c r="K349" s="356"/>
      <c r="L349" s="357">
        <f t="shared" si="81"/>
        <v>0</v>
      </c>
      <c r="M349" s="360">
        <f t="shared" si="82"/>
        <v>0</v>
      </c>
    </row>
    <row r="350" spans="1:13" x14ac:dyDescent="0.2">
      <c r="A350" s="149">
        <v>10</v>
      </c>
      <c r="B350" s="1525">
        <v>1930</v>
      </c>
      <c r="C350" s="363" t="s">
        <v>379</v>
      </c>
      <c r="D350" s="356">
        <f t="shared" si="78"/>
        <v>2152769.17</v>
      </c>
      <c r="E350" s="356">
        <v>540373</v>
      </c>
      <c r="F350" s="356">
        <v>-31962</v>
      </c>
      <c r="G350" s="357">
        <f t="shared" si="80"/>
        <v>2661180.17</v>
      </c>
      <c r="H350" s="358"/>
      <c r="I350" s="359">
        <f t="shared" si="79"/>
        <v>-1397123</v>
      </c>
      <c r="J350" s="356">
        <v>-114437</v>
      </c>
      <c r="K350" s="356">
        <v>31962</v>
      </c>
      <c r="L350" s="357">
        <f t="shared" si="81"/>
        <v>-1479598</v>
      </c>
      <c r="M350" s="360">
        <f t="shared" si="82"/>
        <v>1181582.17</v>
      </c>
    </row>
    <row r="351" spans="1:13" x14ac:dyDescent="0.2">
      <c r="A351" s="149">
        <v>8</v>
      </c>
      <c r="B351" s="1525">
        <v>1935</v>
      </c>
      <c r="C351" s="363" t="s">
        <v>380</v>
      </c>
      <c r="D351" s="356">
        <f t="shared" si="78"/>
        <v>281519.32</v>
      </c>
      <c r="E351" s="356"/>
      <c r="F351" s="356"/>
      <c r="G351" s="357">
        <f t="shared" si="80"/>
        <v>281519.32</v>
      </c>
      <c r="H351" s="358"/>
      <c r="I351" s="359">
        <f t="shared" si="79"/>
        <v>-176993</v>
      </c>
      <c r="J351" s="356">
        <v>-7370</v>
      </c>
      <c r="K351" s="356"/>
      <c r="L351" s="357">
        <f t="shared" si="81"/>
        <v>-184363</v>
      </c>
      <c r="M351" s="360">
        <f t="shared" si="82"/>
        <v>97156.32</v>
      </c>
    </row>
    <row r="352" spans="1:13" x14ac:dyDescent="0.2">
      <c r="A352" s="149">
        <v>8</v>
      </c>
      <c r="B352" s="1525">
        <v>1940</v>
      </c>
      <c r="C352" s="363" t="s">
        <v>381</v>
      </c>
      <c r="D352" s="356">
        <f t="shared" si="78"/>
        <v>405366.39999999997</v>
      </c>
      <c r="E352" s="356">
        <v>15446</v>
      </c>
      <c r="F352" s="356"/>
      <c r="G352" s="357">
        <f t="shared" si="80"/>
        <v>420812.39999999997</v>
      </c>
      <c r="H352" s="358"/>
      <c r="I352" s="359">
        <f t="shared" si="79"/>
        <v>-384261</v>
      </c>
      <c r="J352" s="356">
        <v>-6916</v>
      </c>
      <c r="K352" s="356"/>
      <c r="L352" s="357">
        <f t="shared" si="81"/>
        <v>-391177</v>
      </c>
      <c r="M352" s="360">
        <f t="shared" si="82"/>
        <v>29635.399999999965</v>
      </c>
    </row>
    <row r="353" spans="1:13" x14ac:dyDescent="0.2">
      <c r="A353" s="149">
        <v>8</v>
      </c>
      <c r="B353" s="1525">
        <v>1945</v>
      </c>
      <c r="C353" s="363" t="s">
        <v>382</v>
      </c>
      <c r="D353" s="356">
        <f t="shared" si="78"/>
        <v>126480.83</v>
      </c>
      <c r="E353" s="356"/>
      <c r="F353" s="356"/>
      <c r="G353" s="357">
        <f t="shared" si="80"/>
        <v>126480.83</v>
      </c>
      <c r="H353" s="358"/>
      <c r="I353" s="359">
        <f t="shared" si="79"/>
        <v>-43039</v>
      </c>
      <c r="J353" s="356">
        <v>-9476</v>
      </c>
      <c r="K353" s="356"/>
      <c r="L353" s="357">
        <f t="shared" si="81"/>
        <v>-52515</v>
      </c>
      <c r="M353" s="360">
        <f t="shared" si="82"/>
        <v>73965.83</v>
      </c>
    </row>
    <row r="354" spans="1:13" x14ac:dyDescent="0.2">
      <c r="A354" s="149">
        <v>8</v>
      </c>
      <c r="B354" s="1525">
        <v>1950</v>
      </c>
      <c r="C354" s="363" t="s">
        <v>298</v>
      </c>
      <c r="D354" s="356">
        <f t="shared" si="78"/>
        <v>0</v>
      </c>
      <c r="E354" s="356"/>
      <c r="F354" s="356"/>
      <c r="G354" s="357">
        <f t="shared" si="80"/>
        <v>0</v>
      </c>
      <c r="H354" s="358"/>
      <c r="I354" s="359">
        <f t="shared" si="79"/>
        <v>0</v>
      </c>
      <c r="J354" s="356"/>
      <c r="K354" s="356"/>
      <c r="L354" s="357">
        <f t="shared" si="81"/>
        <v>0</v>
      </c>
      <c r="M354" s="360">
        <f t="shared" si="82"/>
        <v>0</v>
      </c>
    </row>
    <row r="355" spans="1:13" x14ac:dyDescent="0.2">
      <c r="A355" s="149">
        <v>8</v>
      </c>
      <c r="B355" s="1525">
        <v>1955</v>
      </c>
      <c r="C355" s="363" t="s">
        <v>383</v>
      </c>
      <c r="D355" s="356">
        <f t="shared" si="78"/>
        <v>240187.82</v>
      </c>
      <c r="E355" s="356">
        <v>28833</v>
      </c>
      <c r="F355" s="356"/>
      <c r="G355" s="357">
        <f t="shared" si="80"/>
        <v>269020.82</v>
      </c>
      <c r="H355" s="358"/>
      <c r="I355" s="359">
        <f t="shared" si="79"/>
        <v>-187857</v>
      </c>
      <c r="J355" s="356">
        <v>-12203</v>
      </c>
      <c r="K355" s="356"/>
      <c r="L355" s="357">
        <f t="shared" si="81"/>
        <v>-200060</v>
      </c>
      <c r="M355" s="360">
        <f t="shared" si="82"/>
        <v>68960.820000000007</v>
      </c>
    </row>
    <row r="356" spans="1:13" x14ac:dyDescent="0.2">
      <c r="A356" s="366">
        <v>8</v>
      </c>
      <c r="B356" s="364">
        <v>1955</v>
      </c>
      <c r="C356" s="367" t="s">
        <v>299</v>
      </c>
      <c r="D356" s="356">
        <f t="shared" si="78"/>
        <v>0</v>
      </c>
      <c r="E356" s="356"/>
      <c r="F356" s="356"/>
      <c r="G356" s="357">
        <f t="shared" si="80"/>
        <v>0</v>
      </c>
      <c r="H356" s="358"/>
      <c r="I356" s="359">
        <f t="shared" si="79"/>
        <v>0</v>
      </c>
      <c r="J356" s="356"/>
      <c r="K356" s="356"/>
      <c r="L356" s="357">
        <f t="shared" si="81"/>
        <v>0</v>
      </c>
      <c r="M356" s="360">
        <f t="shared" si="82"/>
        <v>0</v>
      </c>
    </row>
    <row r="357" spans="1:13" x14ac:dyDescent="0.2">
      <c r="A357" s="366">
        <v>8</v>
      </c>
      <c r="B357" s="368">
        <v>1960</v>
      </c>
      <c r="C357" s="355" t="s">
        <v>300</v>
      </c>
      <c r="D357" s="356">
        <f t="shared" si="78"/>
        <v>0</v>
      </c>
      <c r="E357" s="356"/>
      <c r="F357" s="356"/>
      <c r="G357" s="357">
        <f t="shared" si="80"/>
        <v>0</v>
      </c>
      <c r="H357" s="358"/>
      <c r="I357" s="359">
        <f t="shared" si="79"/>
        <v>0</v>
      </c>
      <c r="J357" s="356"/>
      <c r="K357" s="356"/>
      <c r="L357" s="357">
        <f t="shared" si="81"/>
        <v>0</v>
      </c>
      <c r="M357" s="360">
        <f t="shared" si="82"/>
        <v>0</v>
      </c>
    </row>
    <row r="358" spans="1:13" ht="25.5" x14ac:dyDescent="0.2">
      <c r="A358" s="369">
        <v>47</v>
      </c>
      <c r="B358" s="368">
        <v>1970</v>
      </c>
      <c r="C358" s="363" t="s">
        <v>649</v>
      </c>
      <c r="D358" s="356">
        <f t="shared" si="78"/>
        <v>0</v>
      </c>
      <c r="E358" s="356"/>
      <c r="F358" s="356"/>
      <c r="G358" s="357">
        <f t="shared" si="80"/>
        <v>0</v>
      </c>
      <c r="H358" s="358"/>
      <c r="I358" s="359">
        <f t="shared" si="79"/>
        <v>0</v>
      </c>
      <c r="J358" s="356"/>
      <c r="K358" s="356"/>
      <c r="L358" s="357">
        <f t="shared" si="81"/>
        <v>0</v>
      </c>
      <c r="M358" s="360">
        <f t="shared" si="82"/>
        <v>0</v>
      </c>
    </row>
    <row r="359" spans="1:13" ht="25.5" x14ac:dyDescent="0.2">
      <c r="A359" s="149">
        <v>47</v>
      </c>
      <c r="B359" s="1525">
        <v>1975</v>
      </c>
      <c r="C359" s="363" t="s">
        <v>384</v>
      </c>
      <c r="D359" s="356">
        <f t="shared" si="78"/>
        <v>0</v>
      </c>
      <c r="E359" s="356"/>
      <c r="F359" s="356"/>
      <c r="G359" s="357">
        <f t="shared" si="80"/>
        <v>0</v>
      </c>
      <c r="H359" s="358"/>
      <c r="I359" s="359">
        <f t="shared" si="79"/>
        <v>0</v>
      </c>
      <c r="J359" s="356"/>
      <c r="K359" s="356"/>
      <c r="L359" s="357">
        <f t="shared" si="81"/>
        <v>0</v>
      </c>
      <c r="M359" s="360">
        <f t="shared" si="82"/>
        <v>0</v>
      </c>
    </row>
    <row r="360" spans="1:13" x14ac:dyDescent="0.2">
      <c r="A360" s="149">
        <v>47</v>
      </c>
      <c r="B360" s="1525">
        <v>1980</v>
      </c>
      <c r="C360" s="363" t="s">
        <v>385</v>
      </c>
      <c r="D360" s="356">
        <f t="shared" si="78"/>
        <v>94199</v>
      </c>
      <c r="E360" s="356">
        <v>27973</v>
      </c>
      <c r="F360" s="356"/>
      <c r="G360" s="357">
        <f t="shared" si="80"/>
        <v>122172</v>
      </c>
      <c r="H360" s="358"/>
      <c r="I360" s="359">
        <f t="shared" si="79"/>
        <v>-43302</v>
      </c>
      <c r="J360" s="356">
        <v>-4441</v>
      </c>
      <c r="K360" s="356"/>
      <c r="L360" s="357">
        <f t="shared" si="81"/>
        <v>-47743</v>
      </c>
      <c r="M360" s="360">
        <f t="shared" si="82"/>
        <v>74429</v>
      </c>
    </row>
    <row r="361" spans="1:13" x14ac:dyDescent="0.2">
      <c r="A361" s="149">
        <v>47</v>
      </c>
      <c r="B361" s="1525">
        <v>1985</v>
      </c>
      <c r="C361" s="363" t="s">
        <v>386</v>
      </c>
      <c r="D361" s="356">
        <f t="shared" si="78"/>
        <v>0</v>
      </c>
      <c r="E361" s="356"/>
      <c r="F361" s="356"/>
      <c r="G361" s="357">
        <f t="shared" si="80"/>
        <v>0</v>
      </c>
      <c r="H361" s="358"/>
      <c r="I361" s="359">
        <f t="shared" si="79"/>
        <v>0</v>
      </c>
      <c r="J361" s="356"/>
      <c r="K361" s="356"/>
      <c r="L361" s="357">
        <f t="shared" si="81"/>
        <v>0</v>
      </c>
      <c r="M361" s="360">
        <f t="shared" si="82"/>
        <v>0</v>
      </c>
    </row>
    <row r="362" spans="1:13" x14ac:dyDescent="0.2">
      <c r="A362" s="369">
        <v>47</v>
      </c>
      <c r="B362" s="1525">
        <v>1990</v>
      </c>
      <c r="C362" s="1524" t="s">
        <v>650</v>
      </c>
      <c r="D362" s="356">
        <f t="shared" si="78"/>
        <v>133004.10999999999</v>
      </c>
      <c r="E362" s="356"/>
      <c r="F362" s="356"/>
      <c r="G362" s="357">
        <f t="shared" si="80"/>
        <v>133004.10999999999</v>
      </c>
      <c r="H362" s="358"/>
      <c r="I362" s="359">
        <f t="shared" si="79"/>
        <v>-33705</v>
      </c>
      <c r="J362" s="356">
        <v>-13301</v>
      </c>
      <c r="K362" s="356"/>
      <c r="L362" s="357">
        <f t="shared" si="81"/>
        <v>-47006</v>
      </c>
      <c r="M362" s="360">
        <f t="shared" si="82"/>
        <v>85998.109999999986</v>
      </c>
    </row>
    <row r="363" spans="1:13" x14ac:dyDescent="0.2">
      <c r="A363" s="149">
        <v>47</v>
      </c>
      <c r="B363" s="1525">
        <v>1995</v>
      </c>
      <c r="C363" s="363" t="s">
        <v>387</v>
      </c>
      <c r="D363" s="356">
        <f t="shared" si="78"/>
        <v>-47115667.840000004</v>
      </c>
      <c r="E363" s="356">
        <v>-4855575</v>
      </c>
      <c r="F363" s="356"/>
      <c r="G363" s="357">
        <f t="shared" si="80"/>
        <v>-51971242.840000004</v>
      </c>
      <c r="H363" s="358"/>
      <c r="I363" s="359">
        <f t="shared" si="79"/>
        <v>12276994</v>
      </c>
      <c r="J363" s="356">
        <v>1028778</v>
      </c>
      <c r="K363" s="356"/>
      <c r="L363" s="357">
        <f t="shared" si="81"/>
        <v>13305772</v>
      </c>
      <c r="M363" s="360">
        <f t="shared" si="82"/>
        <v>-38665470.840000004</v>
      </c>
    </row>
    <row r="364" spans="1:13" ht="14.25" x14ac:dyDescent="0.2">
      <c r="A364" s="149">
        <v>47</v>
      </c>
      <c r="B364" s="1525">
        <v>2440</v>
      </c>
      <c r="C364" s="363" t="s">
        <v>1638</v>
      </c>
      <c r="D364" s="356"/>
      <c r="E364" s="356"/>
      <c r="F364" s="356"/>
      <c r="G364" s="357"/>
      <c r="I364" s="359"/>
      <c r="J364" s="356"/>
      <c r="K364" s="356"/>
      <c r="L364" s="357"/>
      <c r="M364" s="360"/>
    </row>
    <row r="365" spans="1:13" x14ac:dyDescent="0.2">
      <c r="A365" s="370"/>
      <c r="B365" s="370"/>
      <c r="C365" s="371"/>
      <c r="D365" s="372"/>
      <c r="E365" s="372"/>
      <c r="F365" s="372"/>
      <c r="G365" s="357">
        <f t="shared" ref="G365" si="83">D365+E365+F365</f>
        <v>0</v>
      </c>
      <c r="I365" s="372"/>
      <c r="J365" s="372"/>
      <c r="K365" s="372"/>
      <c r="L365" s="357">
        <f t="shared" ref="L365" si="84">I365+J365+K365</f>
        <v>0</v>
      </c>
      <c r="M365" s="360">
        <f t="shared" ref="M365" si="85">G365+L365</f>
        <v>0</v>
      </c>
    </row>
    <row r="366" spans="1:13" x14ac:dyDescent="0.2">
      <c r="A366" s="370"/>
      <c r="B366" s="370"/>
      <c r="C366" s="373" t="s">
        <v>268</v>
      </c>
      <c r="D366" s="374">
        <f>SUM(D325:D365)</f>
        <v>115944604.65499997</v>
      </c>
      <c r="E366" s="374">
        <f t="shared" ref="E366:F366" si="86">SUM(E325:E365)</f>
        <v>10390891</v>
      </c>
      <c r="F366" s="374">
        <f t="shared" si="86"/>
        <v>-31962</v>
      </c>
      <c r="G366" s="374">
        <f t="shared" ref="G366" si="87">SUM(G325:G365)</f>
        <v>126303533.65499997</v>
      </c>
      <c r="H366" s="374"/>
      <c r="I366" s="374">
        <f t="shared" ref="I366" si="88">SUM(I325:I365)</f>
        <v>-57714661</v>
      </c>
      <c r="J366" s="374">
        <f t="shared" ref="J366" si="89">SUM(J325:J365)</f>
        <v>-2625983</v>
      </c>
      <c r="K366" s="374">
        <f t="shared" ref="K366" si="90">SUM(K325:K365)</f>
        <v>31962</v>
      </c>
      <c r="L366" s="374">
        <f t="shared" ref="L366" si="91">SUM(L325:L365)</f>
        <v>-60308683</v>
      </c>
      <c r="M366" s="374">
        <f t="shared" ref="M366" si="92">SUM(M325:M365)</f>
        <v>65994851.654999986</v>
      </c>
    </row>
    <row r="367" spans="1:13" ht="37.5" x14ac:dyDescent="0.2">
      <c r="A367" s="370"/>
      <c r="B367" s="370"/>
      <c r="C367" s="375" t="s">
        <v>775</v>
      </c>
      <c r="D367" s="372"/>
      <c r="E367" s="372"/>
      <c r="F367" s="372"/>
      <c r="G367" s="357">
        <f t="shared" ref="G367:G368" si="93">D367+E367+F367</f>
        <v>0</v>
      </c>
      <c r="I367" s="372"/>
      <c r="J367" s="372"/>
      <c r="K367" s="372"/>
      <c r="L367" s="357">
        <f t="shared" ref="L367:L368" si="94">I367+J367+K367</f>
        <v>0</v>
      </c>
      <c r="M367" s="360">
        <f t="shared" ref="M367:M368" si="95">G367+L367</f>
        <v>0</v>
      </c>
    </row>
    <row r="368" spans="1:13" ht="25.5" x14ac:dyDescent="0.2">
      <c r="A368" s="370"/>
      <c r="B368" s="370"/>
      <c r="C368" s="376" t="s">
        <v>774</v>
      </c>
      <c r="D368" s="372"/>
      <c r="E368" s="372"/>
      <c r="F368" s="372"/>
      <c r="G368" s="357">
        <f t="shared" si="93"/>
        <v>0</v>
      </c>
      <c r="I368" s="372"/>
      <c r="J368" s="372"/>
      <c r="K368" s="372"/>
      <c r="L368" s="357">
        <f t="shared" si="94"/>
        <v>0</v>
      </c>
      <c r="M368" s="360">
        <f t="shared" si="95"/>
        <v>0</v>
      </c>
    </row>
    <row r="369" spans="1:13" x14ac:dyDescent="0.2">
      <c r="A369" s="370"/>
      <c r="B369" s="370"/>
      <c r="C369" s="373" t="s">
        <v>651</v>
      </c>
      <c r="D369" s="374">
        <f>SUM(D366:D368)</f>
        <v>115944604.65499997</v>
      </c>
      <c r="E369" s="374">
        <f t="shared" ref="E369:G369" si="96">SUM(E366:E368)</f>
        <v>10390891</v>
      </c>
      <c r="F369" s="374">
        <f t="shared" si="96"/>
        <v>-31962</v>
      </c>
      <c r="G369" s="374">
        <f t="shared" si="96"/>
        <v>126303533.65499997</v>
      </c>
      <c r="H369" s="374"/>
      <c r="I369" s="374">
        <f t="shared" ref="I369:M369" si="97">SUM(I366:I368)</f>
        <v>-57714661</v>
      </c>
      <c r="J369" s="374">
        <f t="shared" si="97"/>
        <v>-2625983</v>
      </c>
      <c r="K369" s="374">
        <f t="shared" si="97"/>
        <v>31962</v>
      </c>
      <c r="L369" s="374">
        <f t="shared" si="97"/>
        <v>-60308683</v>
      </c>
      <c r="M369" s="374">
        <f t="shared" si="97"/>
        <v>65994851.654999986</v>
      </c>
    </row>
    <row r="370" spans="1:13" ht="14.25" x14ac:dyDescent="0.2">
      <c r="A370" s="370"/>
      <c r="B370" s="370"/>
      <c r="C370" s="1994" t="s">
        <v>1568</v>
      </c>
      <c r="D370" s="1995"/>
      <c r="E370" s="1995"/>
      <c r="F370" s="1995"/>
      <c r="G370" s="1995"/>
      <c r="H370" s="1995"/>
      <c r="I370" s="1996"/>
      <c r="J370" s="372"/>
      <c r="K370" s="377"/>
      <c r="L370" s="378"/>
      <c r="M370" s="379"/>
    </row>
    <row r="371" spans="1:13" x14ac:dyDescent="0.2">
      <c r="A371" s="370"/>
      <c r="B371" s="370"/>
      <c r="C371" s="1994" t="s">
        <v>388</v>
      </c>
      <c r="D371" s="1995"/>
      <c r="E371" s="1995"/>
      <c r="F371" s="1995"/>
      <c r="G371" s="1995"/>
      <c r="H371" s="1995"/>
      <c r="I371" s="1996"/>
      <c r="J371" s="374">
        <f>J369+J370</f>
        <v>-2625983</v>
      </c>
      <c r="K371" s="377"/>
      <c r="L371" s="378"/>
      <c r="M371" s="379"/>
    </row>
    <row r="372" spans="1:13" x14ac:dyDescent="0.2">
      <c r="A372" s="1526"/>
      <c r="B372" s="1526"/>
    </row>
    <row r="373" spans="1:13" x14ac:dyDescent="0.2">
      <c r="A373" s="1526"/>
      <c r="B373" s="1526"/>
      <c r="I373" s="380" t="s">
        <v>522</v>
      </c>
      <c r="J373" s="1527"/>
    </row>
    <row r="374" spans="1:13" x14ac:dyDescent="0.2">
      <c r="A374" s="370">
        <v>10</v>
      </c>
      <c r="B374" s="370"/>
      <c r="C374" s="371" t="s">
        <v>389</v>
      </c>
      <c r="I374" s="1527" t="s">
        <v>389</v>
      </c>
      <c r="J374" s="1527"/>
      <c r="K374" s="381">
        <f>+J350</f>
        <v>-114437</v>
      </c>
    </row>
    <row r="375" spans="1:13" x14ac:dyDescent="0.2">
      <c r="A375" s="370">
        <v>8</v>
      </c>
      <c r="B375" s="370"/>
      <c r="C375" s="371" t="s">
        <v>380</v>
      </c>
      <c r="I375" s="1527" t="s">
        <v>380</v>
      </c>
      <c r="J375" s="1527"/>
      <c r="K375" s="381"/>
    </row>
    <row r="376" spans="1:13" x14ac:dyDescent="0.2">
      <c r="A376" s="370">
        <v>8</v>
      </c>
      <c r="B376" s="1551"/>
      <c r="C376" s="363" t="s">
        <v>381</v>
      </c>
      <c r="I376" s="1557" t="s">
        <v>2162</v>
      </c>
      <c r="J376" s="1557"/>
      <c r="K376" s="381">
        <f>+J352</f>
        <v>-6916</v>
      </c>
    </row>
    <row r="377" spans="1:13" x14ac:dyDescent="0.2">
      <c r="A377" s="370">
        <v>8</v>
      </c>
      <c r="B377" s="1551"/>
      <c r="C377" s="363" t="s">
        <v>382</v>
      </c>
      <c r="I377" s="1557" t="s">
        <v>2163</v>
      </c>
      <c r="J377" s="1557"/>
      <c r="K377" s="381">
        <f>+J353</f>
        <v>-9476</v>
      </c>
    </row>
    <row r="378" spans="1:13" x14ac:dyDescent="0.2">
      <c r="A378" s="1526"/>
      <c r="B378" s="1526"/>
      <c r="I378" s="382" t="s">
        <v>390</v>
      </c>
      <c r="K378" s="383">
        <f>J371-K374-K375-K376-K377</f>
        <v>-2495154</v>
      </c>
    </row>
    <row r="379" spans="1:13" x14ac:dyDescent="0.2">
      <c r="A379" s="1526"/>
      <c r="B379" s="1526"/>
      <c r="I379" s="382"/>
      <c r="K379" s="1538"/>
    </row>
    <row r="380" spans="1:13" ht="21" x14ac:dyDescent="0.2">
      <c r="A380" s="1997" t="s">
        <v>1828</v>
      </c>
      <c r="B380" s="1997"/>
      <c r="C380" s="1997"/>
      <c r="D380" s="1997"/>
      <c r="E380" s="1997"/>
      <c r="F380" s="1997"/>
      <c r="G380" s="1997"/>
      <c r="H380" s="1997"/>
      <c r="I380" s="1997"/>
      <c r="J380" s="1997"/>
      <c r="K380" s="1997"/>
      <c r="L380" s="1997"/>
      <c r="M380" s="1997"/>
    </row>
    <row r="381" spans="1:13" x14ac:dyDescent="0.2">
      <c r="A381" s="1526"/>
      <c r="B381" s="1526"/>
      <c r="H381" s="140"/>
    </row>
    <row r="382" spans="1:13" x14ac:dyDescent="0.2">
      <c r="A382" s="1526"/>
      <c r="B382" s="1526"/>
      <c r="E382" s="303" t="s">
        <v>1520</v>
      </c>
      <c r="F382" s="128" t="s">
        <v>151</v>
      </c>
      <c r="H382" s="140"/>
    </row>
    <row r="383" spans="1:13" ht="15" x14ac:dyDescent="0.25">
      <c r="A383" s="1526"/>
      <c r="B383" s="1526"/>
      <c r="C383" s="158"/>
      <c r="E383" s="303" t="s">
        <v>149</v>
      </c>
      <c r="F383" s="343">
        <v>2015</v>
      </c>
      <c r="G383" s="344" t="s">
        <v>2463</v>
      </c>
    </row>
    <row r="384" spans="1:13" x14ac:dyDescent="0.2">
      <c r="A384" s="1526"/>
      <c r="B384" s="1526"/>
    </row>
    <row r="385" spans="1:15" x14ac:dyDescent="0.2">
      <c r="A385" s="1526"/>
      <c r="B385" s="1526"/>
      <c r="D385" s="1998" t="s">
        <v>355</v>
      </c>
      <c r="E385" s="1999"/>
      <c r="F385" s="1999"/>
      <c r="G385" s="2000"/>
      <c r="I385" s="345"/>
      <c r="J385" s="346" t="s">
        <v>356</v>
      </c>
      <c r="K385" s="346"/>
      <c r="L385" s="347"/>
      <c r="M385" s="342"/>
    </row>
    <row r="386" spans="1:15" ht="25.5" customHeight="1" x14ac:dyDescent="0.2">
      <c r="A386" s="348" t="s">
        <v>1829</v>
      </c>
      <c r="B386" s="348" t="s">
        <v>1831</v>
      </c>
      <c r="C386" s="349" t="s">
        <v>1832</v>
      </c>
      <c r="D386" s="348" t="s">
        <v>325</v>
      </c>
      <c r="E386" s="350" t="s">
        <v>1830</v>
      </c>
      <c r="F386" s="350" t="s">
        <v>353</v>
      </c>
      <c r="G386" s="348" t="s">
        <v>354</v>
      </c>
      <c r="H386" s="351"/>
      <c r="I386" s="352" t="s">
        <v>325</v>
      </c>
      <c r="J386" s="353" t="s">
        <v>326</v>
      </c>
      <c r="K386" s="353" t="s">
        <v>353</v>
      </c>
      <c r="L386" s="354" t="s">
        <v>354</v>
      </c>
      <c r="M386" s="348" t="s">
        <v>393</v>
      </c>
    </row>
    <row r="387" spans="1:15" x14ac:dyDescent="0.2">
      <c r="A387" s="149">
        <v>47</v>
      </c>
      <c r="B387" s="1551">
        <v>1609</v>
      </c>
      <c r="C387" s="355" t="s">
        <v>2159</v>
      </c>
      <c r="D387" s="356">
        <f>+G263</f>
        <v>122349</v>
      </c>
      <c r="E387" s="356"/>
      <c r="F387" s="356"/>
      <c r="G387" s="357">
        <f>D387+E387+F387</f>
        <v>122349</v>
      </c>
      <c r="H387" s="358"/>
      <c r="I387" s="359">
        <f>+L263</f>
        <v>-7341</v>
      </c>
      <c r="J387" s="356">
        <v>-4894</v>
      </c>
      <c r="K387" s="356"/>
      <c r="L387" s="357">
        <f>I387+J387+K387</f>
        <v>-12235</v>
      </c>
      <c r="M387" s="360">
        <f>G387+L387</f>
        <v>110114</v>
      </c>
    </row>
    <row r="388" spans="1:15" ht="25.5" x14ac:dyDescent="0.2">
      <c r="A388" s="149">
        <v>12</v>
      </c>
      <c r="B388" s="1525">
        <v>1611</v>
      </c>
      <c r="C388" s="355" t="s">
        <v>475</v>
      </c>
      <c r="D388" s="356">
        <f t="shared" ref="D388:D425" si="98">+G264</f>
        <v>1022976</v>
      </c>
      <c r="E388" s="356">
        <v>291170</v>
      </c>
      <c r="F388" s="356"/>
      <c r="G388" s="357">
        <f>D388+E388+F388</f>
        <v>1314146</v>
      </c>
      <c r="H388" s="358"/>
      <c r="I388" s="359">
        <f t="shared" ref="I388:I425" si="99">+L264</f>
        <v>-686658</v>
      </c>
      <c r="J388" s="356">
        <f>-94246-31685</f>
        <v>-125931</v>
      </c>
      <c r="K388" s="356"/>
      <c r="L388" s="357">
        <f>I388+J388+K388</f>
        <v>-812589</v>
      </c>
      <c r="M388" s="360">
        <f>G388+L388</f>
        <v>501557</v>
      </c>
    </row>
    <row r="389" spans="1:15" ht="25.5" x14ac:dyDescent="0.2">
      <c r="A389" s="149" t="s">
        <v>365</v>
      </c>
      <c r="B389" s="1525">
        <v>1612</v>
      </c>
      <c r="C389" s="355" t="s">
        <v>563</v>
      </c>
      <c r="D389" s="356">
        <f t="shared" si="98"/>
        <v>0</v>
      </c>
      <c r="E389" s="356"/>
      <c r="F389" s="356"/>
      <c r="G389" s="357">
        <f>D389+E389+F389</f>
        <v>0</v>
      </c>
      <c r="H389" s="358"/>
      <c r="I389" s="359">
        <f t="shared" si="99"/>
        <v>0</v>
      </c>
      <c r="J389" s="356"/>
      <c r="K389" s="356"/>
      <c r="L389" s="357">
        <f>I389+J389+K389</f>
        <v>0</v>
      </c>
      <c r="M389" s="360">
        <f>G389+L389</f>
        <v>0</v>
      </c>
    </row>
    <row r="390" spans="1:15" x14ac:dyDescent="0.2">
      <c r="A390" s="149" t="s">
        <v>357</v>
      </c>
      <c r="B390" s="361">
        <v>1805</v>
      </c>
      <c r="C390" s="362" t="s">
        <v>358</v>
      </c>
      <c r="D390" s="356">
        <f t="shared" si="98"/>
        <v>69883.360000000001</v>
      </c>
      <c r="E390" s="356"/>
      <c r="F390" s="356"/>
      <c r="G390" s="357">
        <f>D390+E390+F390</f>
        <v>69883.360000000001</v>
      </c>
      <c r="H390" s="358"/>
      <c r="I390" s="359">
        <f t="shared" si="99"/>
        <v>0</v>
      </c>
      <c r="J390" s="356"/>
      <c r="K390" s="356"/>
      <c r="L390" s="357">
        <f>I390+J390+K390</f>
        <v>0</v>
      </c>
      <c r="M390" s="360">
        <f>G390+L390</f>
        <v>69883.360000000001</v>
      </c>
    </row>
    <row r="391" spans="1:15" x14ac:dyDescent="0.2">
      <c r="A391" s="149">
        <v>47</v>
      </c>
      <c r="B391" s="361">
        <v>1808</v>
      </c>
      <c r="C391" s="363" t="s">
        <v>359</v>
      </c>
      <c r="D391" s="356">
        <f t="shared" si="98"/>
        <v>0</v>
      </c>
      <c r="E391" s="356"/>
      <c r="F391" s="356"/>
      <c r="G391" s="357">
        <f t="shared" ref="G391:G426" si="100">D391+E391+F391</f>
        <v>0</v>
      </c>
      <c r="H391" s="358"/>
      <c r="I391" s="359">
        <f t="shared" si="99"/>
        <v>0</v>
      </c>
      <c r="J391" s="356"/>
      <c r="K391" s="356"/>
      <c r="L391" s="357">
        <f t="shared" ref="L391:L425" si="101">I391+J391+K391</f>
        <v>0</v>
      </c>
      <c r="M391" s="360">
        <f t="shared" ref="M391:M425" si="102">G391+L391</f>
        <v>0</v>
      </c>
    </row>
    <row r="392" spans="1:15" x14ac:dyDescent="0.2">
      <c r="A392" s="149">
        <v>13</v>
      </c>
      <c r="B392" s="361">
        <v>1810</v>
      </c>
      <c r="C392" s="363" t="s">
        <v>392</v>
      </c>
      <c r="D392" s="356">
        <f t="shared" si="98"/>
        <v>0</v>
      </c>
      <c r="E392" s="356"/>
      <c r="F392" s="356"/>
      <c r="G392" s="357">
        <f t="shared" si="100"/>
        <v>0</v>
      </c>
      <c r="H392" s="358"/>
      <c r="I392" s="359">
        <f t="shared" si="99"/>
        <v>0</v>
      </c>
      <c r="J392" s="356"/>
      <c r="K392" s="356"/>
      <c r="L392" s="357">
        <f t="shared" si="101"/>
        <v>0</v>
      </c>
      <c r="M392" s="360">
        <f t="shared" si="102"/>
        <v>0</v>
      </c>
    </row>
    <row r="393" spans="1:15" x14ac:dyDescent="0.2">
      <c r="A393" s="149">
        <v>47</v>
      </c>
      <c r="B393" s="361">
        <v>1815</v>
      </c>
      <c r="C393" s="363" t="s">
        <v>360</v>
      </c>
      <c r="D393" s="356">
        <f t="shared" si="98"/>
        <v>0</v>
      </c>
      <c r="E393" s="356"/>
      <c r="F393" s="356"/>
      <c r="G393" s="357">
        <f t="shared" si="100"/>
        <v>0</v>
      </c>
      <c r="H393" s="358"/>
      <c r="I393" s="359">
        <f t="shared" si="99"/>
        <v>0</v>
      </c>
      <c r="J393" s="356"/>
      <c r="K393" s="356"/>
      <c r="L393" s="357">
        <f t="shared" si="101"/>
        <v>0</v>
      </c>
      <c r="M393" s="360">
        <f t="shared" si="102"/>
        <v>0</v>
      </c>
    </row>
    <row r="394" spans="1:15" x14ac:dyDescent="0.2">
      <c r="A394" s="149">
        <v>47</v>
      </c>
      <c r="B394" s="361">
        <v>1820</v>
      </c>
      <c r="C394" s="355" t="s">
        <v>287</v>
      </c>
      <c r="D394" s="356">
        <f t="shared" si="98"/>
        <v>1516191.65</v>
      </c>
      <c r="E394" s="356"/>
      <c r="F394" s="356"/>
      <c r="G394" s="357">
        <f t="shared" si="100"/>
        <v>1516191.65</v>
      </c>
      <c r="H394" s="358"/>
      <c r="I394" s="359">
        <f t="shared" si="99"/>
        <v>-1449764</v>
      </c>
      <c r="J394" s="356">
        <v>-23011</v>
      </c>
      <c r="K394" s="356"/>
      <c r="L394" s="357">
        <f t="shared" si="101"/>
        <v>-1472775</v>
      </c>
      <c r="M394" s="360">
        <f t="shared" si="102"/>
        <v>43416.649999999907</v>
      </c>
    </row>
    <row r="395" spans="1:15" x14ac:dyDescent="0.2">
      <c r="A395" s="149">
        <v>47</v>
      </c>
      <c r="B395" s="361">
        <v>1825</v>
      </c>
      <c r="C395" s="363" t="s">
        <v>361</v>
      </c>
      <c r="D395" s="356">
        <f t="shared" si="98"/>
        <v>0</v>
      </c>
      <c r="E395" s="356"/>
      <c r="F395" s="356"/>
      <c r="G395" s="357">
        <f t="shared" si="100"/>
        <v>0</v>
      </c>
      <c r="H395" s="358"/>
      <c r="I395" s="359">
        <f t="shared" si="99"/>
        <v>0</v>
      </c>
      <c r="J395" s="356"/>
      <c r="K395" s="356"/>
      <c r="L395" s="357">
        <f t="shared" si="101"/>
        <v>0</v>
      </c>
      <c r="M395" s="360">
        <f t="shared" si="102"/>
        <v>0</v>
      </c>
    </row>
    <row r="396" spans="1:15" x14ac:dyDescent="0.2">
      <c r="A396" s="149">
        <v>47</v>
      </c>
      <c r="B396" s="361">
        <v>1830</v>
      </c>
      <c r="C396" s="363" t="s">
        <v>362</v>
      </c>
      <c r="D396" s="356">
        <f t="shared" si="98"/>
        <v>31816741.210000001</v>
      </c>
      <c r="E396" s="356">
        <f>2423748*0.54</f>
        <v>1308823.9200000002</v>
      </c>
      <c r="F396" s="356"/>
      <c r="G396" s="357">
        <f t="shared" si="100"/>
        <v>33125565.130000003</v>
      </c>
      <c r="H396" s="358"/>
      <c r="I396" s="359">
        <f t="shared" si="99"/>
        <v>-11554218</v>
      </c>
      <c r="J396" s="356">
        <f>-1823005*0.54</f>
        <v>-984422.70000000007</v>
      </c>
      <c r="K396" s="356"/>
      <c r="L396" s="357">
        <f t="shared" si="101"/>
        <v>-12538640.699999999</v>
      </c>
      <c r="M396" s="360">
        <f t="shared" si="102"/>
        <v>20586924.430000003</v>
      </c>
      <c r="O396" s="1320"/>
    </row>
    <row r="397" spans="1:15" x14ac:dyDescent="0.2">
      <c r="A397" s="149">
        <v>47</v>
      </c>
      <c r="B397" s="361">
        <v>1835</v>
      </c>
      <c r="C397" s="363" t="s">
        <v>288</v>
      </c>
      <c r="D397" s="356">
        <f t="shared" si="98"/>
        <v>23281375.809999995</v>
      </c>
      <c r="E397" s="356">
        <f>2423748*0.46</f>
        <v>1114924.08</v>
      </c>
      <c r="F397" s="356"/>
      <c r="G397" s="357">
        <f t="shared" si="100"/>
        <v>24396299.889999993</v>
      </c>
      <c r="H397" s="358"/>
      <c r="I397" s="359">
        <f t="shared" si="99"/>
        <v>-13531289</v>
      </c>
      <c r="J397" s="356">
        <f>-1823005*0.46</f>
        <v>-838582.3</v>
      </c>
      <c r="K397" s="356"/>
      <c r="L397" s="357">
        <f t="shared" si="101"/>
        <v>-14369871.300000001</v>
      </c>
      <c r="M397" s="360">
        <f t="shared" si="102"/>
        <v>10026428.589999992</v>
      </c>
    </row>
    <row r="398" spans="1:15" x14ac:dyDescent="0.2">
      <c r="A398" s="149">
        <v>47</v>
      </c>
      <c r="B398" s="361">
        <v>1840</v>
      </c>
      <c r="C398" s="363" t="s">
        <v>289</v>
      </c>
      <c r="D398" s="356">
        <f t="shared" si="98"/>
        <v>26734529.84</v>
      </c>
      <c r="E398" s="356">
        <f>2485380*0.61</f>
        <v>1516081.8</v>
      </c>
      <c r="F398" s="356"/>
      <c r="G398" s="357">
        <f t="shared" si="100"/>
        <v>28250611.640000001</v>
      </c>
      <c r="H398" s="358"/>
      <c r="I398" s="359">
        <f t="shared" si="99"/>
        <v>-9213495</v>
      </c>
      <c r="J398" s="356">
        <f>-1730049*0.61</f>
        <v>-1055329.8899999999</v>
      </c>
      <c r="K398" s="356"/>
      <c r="L398" s="357">
        <f t="shared" si="101"/>
        <v>-10268824.890000001</v>
      </c>
      <c r="M398" s="360">
        <f t="shared" si="102"/>
        <v>17981786.75</v>
      </c>
      <c r="O398" s="1320">
        <f>+E398/(+E398+E399)</f>
        <v>0.61</v>
      </c>
    </row>
    <row r="399" spans="1:15" x14ac:dyDescent="0.2">
      <c r="A399" s="149">
        <v>47</v>
      </c>
      <c r="B399" s="361">
        <v>1845</v>
      </c>
      <c r="C399" s="363" t="s">
        <v>290</v>
      </c>
      <c r="D399" s="356">
        <f t="shared" si="98"/>
        <v>18985424.969999999</v>
      </c>
      <c r="E399" s="356">
        <f>2485380*0.39</f>
        <v>969298.20000000007</v>
      </c>
      <c r="F399" s="356"/>
      <c r="G399" s="357">
        <f t="shared" si="100"/>
        <v>19954723.169999998</v>
      </c>
      <c r="H399" s="358"/>
      <c r="I399" s="359">
        <f t="shared" si="99"/>
        <v>-8178912</v>
      </c>
      <c r="J399" s="356">
        <f>-1730049*0.39</f>
        <v>-674719.11</v>
      </c>
      <c r="K399" s="356"/>
      <c r="L399" s="357">
        <f t="shared" si="101"/>
        <v>-8853631.1099999994</v>
      </c>
      <c r="M399" s="360">
        <f t="shared" si="102"/>
        <v>11101092.059999999</v>
      </c>
    </row>
    <row r="400" spans="1:15" x14ac:dyDescent="0.2">
      <c r="A400" s="149">
        <v>47</v>
      </c>
      <c r="B400" s="361">
        <v>1850</v>
      </c>
      <c r="C400" s="363" t="s">
        <v>363</v>
      </c>
      <c r="D400" s="356">
        <f t="shared" si="98"/>
        <v>38278683.070000008</v>
      </c>
      <c r="E400" s="356">
        <f>99405+976879</f>
        <v>1076284</v>
      </c>
      <c r="F400" s="356"/>
      <c r="G400" s="357">
        <f t="shared" si="100"/>
        <v>39354967.070000008</v>
      </c>
      <c r="H400" s="358"/>
      <c r="I400" s="359">
        <f t="shared" si="99"/>
        <v>-19499779</v>
      </c>
      <c r="J400" s="356">
        <f>-370783-1062580</f>
        <v>-1433363</v>
      </c>
      <c r="K400" s="356"/>
      <c r="L400" s="357">
        <f t="shared" si="101"/>
        <v>-20933142</v>
      </c>
      <c r="M400" s="360">
        <f t="shared" si="102"/>
        <v>18421825.070000008</v>
      </c>
    </row>
    <row r="401" spans="1:16" x14ac:dyDescent="0.2">
      <c r="A401" s="149">
        <v>47</v>
      </c>
      <c r="B401" s="361">
        <v>1855</v>
      </c>
      <c r="C401" s="363" t="s">
        <v>291</v>
      </c>
      <c r="D401" s="356">
        <f t="shared" si="98"/>
        <v>15025948.449999999</v>
      </c>
      <c r="E401" s="356">
        <v>759261</v>
      </c>
      <c r="F401" s="356"/>
      <c r="G401" s="357">
        <f t="shared" si="100"/>
        <v>15785209.449999999</v>
      </c>
      <c r="H401" s="358"/>
      <c r="I401" s="359">
        <f t="shared" si="99"/>
        <v>-4269625</v>
      </c>
      <c r="J401" s="356">
        <v>-404937</v>
      </c>
      <c r="K401" s="356"/>
      <c r="L401" s="357">
        <f t="shared" si="101"/>
        <v>-4674562</v>
      </c>
      <c r="M401" s="360">
        <f t="shared" si="102"/>
        <v>11110647.449999999</v>
      </c>
    </row>
    <row r="402" spans="1:16" x14ac:dyDescent="0.2">
      <c r="A402" s="149">
        <v>47</v>
      </c>
      <c r="B402" s="361">
        <v>1860</v>
      </c>
      <c r="C402" s="363" t="s">
        <v>364</v>
      </c>
      <c r="D402" s="356">
        <f t="shared" si="98"/>
        <v>0</v>
      </c>
      <c r="E402" s="356"/>
      <c r="F402" s="356"/>
      <c r="G402" s="357">
        <f t="shared" si="100"/>
        <v>0</v>
      </c>
      <c r="H402" s="358"/>
      <c r="I402" s="359">
        <f t="shared" si="99"/>
        <v>0</v>
      </c>
      <c r="J402" s="356"/>
      <c r="K402" s="356"/>
      <c r="L402" s="357">
        <f t="shared" si="101"/>
        <v>0</v>
      </c>
      <c r="M402" s="360">
        <f t="shared" si="102"/>
        <v>0</v>
      </c>
    </row>
    <row r="403" spans="1:16" x14ac:dyDescent="0.2">
      <c r="A403" s="149">
        <v>47</v>
      </c>
      <c r="B403" s="361">
        <v>1860</v>
      </c>
      <c r="C403" s="362" t="s">
        <v>292</v>
      </c>
      <c r="D403" s="356">
        <f t="shared" si="98"/>
        <v>11774800.719999999</v>
      </c>
      <c r="E403" s="356">
        <v>344766</v>
      </c>
      <c r="F403" s="356"/>
      <c r="G403" s="357">
        <f t="shared" si="100"/>
        <v>12119566.719999999</v>
      </c>
      <c r="H403" s="358"/>
      <c r="I403" s="359">
        <f t="shared" si="99"/>
        <v>-5343711</v>
      </c>
      <c r="J403" s="356">
        <v>-685291</v>
      </c>
      <c r="K403" s="356"/>
      <c r="L403" s="357">
        <f t="shared" si="101"/>
        <v>-6029002</v>
      </c>
      <c r="M403" s="360">
        <f t="shared" si="102"/>
        <v>6090564.7199999988</v>
      </c>
    </row>
    <row r="404" spans="1:16" x14ac:dyDescent="0.2">
      <c r="A404" s="149" t="s">
        <v>357</v>
      </c>
      <c r="B404" s="361">
        <v>1905</v>
      </c>
      <c r="C404" s="362" t="s">
        <v>358</v>
      </c>
      <c r="D404" s="356">
        <f t="shared" si="98"/>
        <v>5182051.7649999997</v>
      </c>
      <c r="E404" s="356"/>
      <c r="F404" s="356">
        <v>-1109265</v>
      </c>
      <c r="G404" s="357">
        <f t="shared" si="100"/>
        <v>4072786.7649999997</v>
      </c>
      <c r="H404" s="358"/>
      <c r="I404" s="359">
        <f t="shared" si="99"/>
        <v>0</v>
      </c>
      <c r="J404" s="356"/>
      <c r="K404" s="356"/>
      <c r="L404" s="357">
        <f t="shared" si="101"/>
        <v>0</v>
      </c>
      <c r="M404" s="360">
        <f t="shared" si="102"/>
        <v>4072786.7649999997</v>
      </c>
    </row>
    <row r="405" spans="1:16" x14ac:dyDescent="0.2">
      <c r="A405" s="149">
        <v>47</v>
      </c>
      <c r="B405" s="361">
        <v>1908</v>
      </c>
      <c r="C405" s="363" t="s">
        <v>366</v>
      </c>
      <c r="D405" s="356">
        <f t="shared" si="98"/>
        <v>0</v>
      </c>
      <c r="E405" s="1842">
        <f>+[12]Depreciation!$D$13</f>
        <v>8524798</v>
      </c>
      <c r="F405" s="356"/>
      <c r="G405" s="357">
        <f t="shared" si="100"/>
        <v>8524798</v>
      </c>
      <c r="H405" s="358"/>
      <c r="I405" s="359">
        <f t="shared" si="99"/>
        <v>0</v>
      </c>
      <c r="J405" s="1842">
        <f>-[12]Depreciation!$F$13</f>
        <v>-85247.98</v>
      </c>
      <c r="K405" s="356"/>
      <c r="L405" s="357">
        <f t="shared" si="101"/>
        <v>-85247.98</v>
      </c>
      <c r="M405" s="360">
        <f t="shared" si="102"/>
        <v>8439550.0199999996</v>
      </c>
      <c r="P405" s="140">
        <f>40390/107620</f>
        <v>0.37530198847797808</v>
      </c>
    </row>
    <row r="406" spans="1:16" x14ac:dyDescent="0.2">
      <c r="A406" s="149">
        <v>13</v>
      </c>
      <c r="B406" s="361">
        <v>1910</v>
      </c>
      <c r="C406" s="363" t="s">
        <v>392</v>
      </c>
      <c r="D406" s="356">
        <f t="shared" si="98"/>
        <v>377009</v>
      </c>
      <c r="E406" s="356"/>
      <c r="F406" s="356"/>
      <c r="G406" s="357">
        <f t="shared" si="100"/>
        <v>377009</v>
      </c>
      <c r="H406" s="358"/>
      <c r="I406" s="359">
        <f t="shared" si="99"/>
        <v>-377009</v>
      </c>
      <c r="J406" s="356"/>
      <c r="K406" s="356"/>
      <c r="L406" s="357">
        <f t="shared" si="101"/>
        <v>-377009</v>
      </c>
      <c r="M406" s="360">
        <f t="shared" si="102"/>
        <v>0</v>
      </c>
      <c r="P406" s="140">
        <f>-40390-67230</f>
        <v>-107620</v>
      </c>
    </row>
    <row r="407" spans="1:16" x14ac:dyDescent="0.2">
      <c r="A407" s="149">
        <v>8</v>
      </c>
      <c r="B407" s="361">
        <v>1915</v>
      </c>
      <c r="C407" s="363" t="s">
        <v>293</v>
      </c>
      <c r="D407" s="356">
        <f t="shared" si="98"/>
        <v>714887</v>
      </c>
      <c r="E407" s="356">
        <v>400000</v>
      </c>
      <c r="F407" s="356"/>
      <c r="G407" s="357">
        <f t="shared" si="100"/>
        <v>1114887</v>
      </c>
      <c r="H407" s="358"/>
      <c r="I407" s="359">
        <f t="shared" si="99"/>
        <v>-639118</v>
      </c>
      <c r="J407" s="356">
        <f>-65593*0.37</f>
        <v>-24269.41</v>
      </c>
      <c r="K407" s="356"/>
      <c r="L407" s="357">
        <f t="shared" si="101"/>
        <v>-663387.41</v>
      </c>
      <c r="M407" s="360">
        <f t="shared" si="102"/>
        <v>451499.58999999997</v>
      </c>
    </row>
    <row r="408" spans="1:16" x14ac:dyDescent="0.2">
      <c r="A408" s="149">
        <v>8</v>
      </c>
      <c r="B408" s="361">
        <v>1915</v>
      </c>
      <c r="C408" s="363" t="s">
        <v>294</v>
      </c>
      <c r="D408" s="356">
        <f t="shared" si="98"/>
        <v>0</v>
      </c>
      <c r="E408" s="356"/>
      <c r="F408" s="356"/>
      <c r="G408" s="357">
        <f t="shared" si="100"/>
        <v>0</v>
      </c>
      <c r="H408" s="358"/>
      <c r="I408" s="359">
        <f t="shared" si="99"/>
        <v>0</v>
      </c>
      <c r="J408" s="356"/>
      <c r="K408" s="356"/>
      <c r="L408" s="357">
        <f t="shared" si="101"/>
        <v>0</v>
      </c>
      <c r="M408" s="360">
        <f t="shared" si="102"/>
        <v>0</v>
      </c>
    </row>
    <row r="409" spans="1:16" x14ac:dyDescent="0.2">
      <c r="A409" s="149">
        <v>10</v>
      </c>
      <c r="B409" s="361">
        <v>1920</v>
      </c>
      <c r="C409" s="363" t="s">
        <v>295</v>
      </c>
      <c r="D409" s="356">
        <f t="shared" si="98"/>
        <v>1892372</v>
      </c>
      <c r="E409" s="356">
        <v>106393</v>
      </c>
      <c r="F409" s="356"/>
      <c r="G409" s="357">
        <f t="shared" si="100"/>
        <v>1998765</v>
      </c>
      <c r="H409" s="358"/>
      <c r="I409" s="359">
        <f t="shared" si="99"/>
        <v>-1629939</v>
      </c>
      <c r="J409" s="356">
        <v>-87558</v>
      </c>
      <c r="K409" s="356"/>
      <c r="L409" s="357">
        <f t="shared" si="101"/>
        <v>-1717497</v>
      </c>
      <c r="M409" s="360">
        <f t="shared" si="102"/>
        <v>281268</v>
      </c>
    </row>
    <row r="410" spans="1:16" ht="25.5" x14ac:dyDescent="0.2">
      <c r="A410" s="149">
        <v>45</v>
      </c>
      <c r="B410" s="364">
        <v>1920</v>
      </c>
      <c r="C410" s="355" t="s">
        <v>297</v>
      </c>
      <c r="D410" s="356">
        <f t="shared" si="98"/>
        <v>0</v>
      </c>
      <c r="E410" s="356"/>
      <c r="F410" s="356"/>
      <c r="G410" s="357">
        <f t="shared" si="100"/>
        <v>0</v>
      </c>
      <c r="H410" s="358"/>
      <c r="I410" s="359">
        <f t="shared" si="99"/>
        <v>0</v>
      </c>
      <c r="J410" s="356"/>
      <c r="K410" s="356"/>
      <c r="L410" s="357">
        <f t="shared" si="101"/>
        <v>0</v>
      </c>
      <c r="M410" s="360">
        <f t="shared" si="102"/>
        <v>0</v>
      </c>
    </row>
    <row r="411" spans="1:16" ht="25.5" x14ac:dyDescent="0.2">
      <c r="A411" s="149">
        <v>45.1</v>
      </c>
      <c r="B411" s="364">
        <v>1920</v>
      </c>
      <c r="C411" s="355" t="s">
        <v>296</v>
      </c>
      <c r="D411" s="356">
        <f t="shared" si="98"/>
        <v>0</v>
      </c>
      <c r="E411" s="356"/>
      <c r="F411" s="356"/>
      <c r="G411" s="357">
        <f t="shared" si="100"/>
        <v>0</v>
      </c>
      <c r="H411" s="358"/>
      <c r="I411" s="359">
        <f t="shared" si="99"/>
        <v>0</v>
      </c>
      <c r="J411" s="356"/>
      <c r="K411" s="356"/>
      <c r="L411" s="357">
        <f t="shared" si="101"/>
        <v>0</v>
      </c>
      <c r="M411" s="360">
        <f t="shared" si="102"/>
        <v>0</v>
      </c>
    </row>
    <row r="412" spans="1:16" x14ac:dyDescent="0.2">
      <c r="A412" s="149">
        <v>10</v>
      </c>
      <c r="B412" s="1525">
        <v>1930</v>
      </c>
      <c r="C412" s="363" t="s">
        <v>379</v>
      </c>
      <c r="D412" s="356">
        <f t="shared" si="98"/>
        <v>2661180.17</v>
      </c>
      <c r="E412" s="356">
        <v>440677</v>
      </c>
      <c r="F412" s="356"/>
      <c r="G412" s="357">
        <f t="shared" si="100"/>
        <v>3101857.17</v>
      </c>
      <c r="H412" s="358"/>
      <c r="I412" s="359">
        <f t="shared" si="99"/>
        <v>-1638138</v>
      </c>
      <c r="J412" s="356">
        <v>-240463</v>
      </c>
      <c r="K412" s="356"/>
      <c r="L412" s="357">
        <f t="shared" si="101"/>
        <v>-1878601</v>
      </c>
      <c r="M412" s="360">
        <f t="shared" si="102"/>
        <v>1223256.17</v>
      </c>
    </row>
    <row r="413" spans="1:16" x14ac:dyDescent="0.2">
      <c r="A413" s="149">
        <v>8</v>
      </c>
      <c r="B413" s="1525">
        <v>1935</v>
      </c>
      <c r="C413" s="363" t="s">
        <v>380</v>
      </c>
      <c r="D413" s="356">
        <f t="shared" si="98"/>
        <v>281519.32</v>
      </c>
      <c r="E413" s="356">
        <v>78146</v>
      </c>
      <c r="F413" s="356"/>
      <c r="G413" s="357">
        <f t="shared" si="100"/>
        <v>359665.32</v>
      </c>
      <c r="H413" s="358"/>
      <c r="I413" s="359">
        <f t="shared" si="99"/>
        <v>-192400</v>
      </c>
      <c r="J413" s="356">
        <v>-15531</v>
      </c>
      <c r="K413" s="356"/>
      <c r="L413" s="357">
        <f t="shared" si="101"/>
        <v>-207931</v>
      </c>
      <c r="M413" s="360">
        <f t="shared" si="102"/>
        <v>151734.32</v>
      </c>
    </row>
    <row r="414" spans="1:16" x14ac:dyDescent="0.2">
      <c r="A414" s="149">
        <v>8</v>
      </c>
      <c r="B414" s="1525">
        <v>1940</v>
      </c>
      <c r="C414" s="363" t="s">
        <v>381</v>
      </c>
      <c r="D414" s="356">
        <f t="shared" si="98"/>
        <v>420812.39999999997</v>
      </c>
      <c r="E414" s="356">
        <v>28232</v>
      </c>
      <c r="F414" s="356"/>
      <c r="G414" s="357">
        <f t="shared" si="100"/>
        <v>449044.39999999997</v>
      </c>
      <c r="H414" s="358"/>
      <c r="I414" s="359">
        <f t="shared" si="99"/>
        <v>-410009</v>
      </c>
      <c r="J414" s="356">
        <f>-17803+9072</f>
        <v>-8731</v>
      </c>
      <c r="K414" s="356"/>
      <c r="L414" s="357">
        <f t="shared" si="101"/>
        <v>-418740</v>
      </c>
      <c r="M414" s="360">
        <f t="shared" si="102"/>
        <v>30304.399999999965</v>
      </c>
    </row>
    <row r="415" spans="1:16" x14ac:dyDescent="0.2">
      <c r="A415" s="149">
        <v>8</v>
      </c>
      <c r="B415" s="1525">
        <v>1945</v>
      </c>
      <c r="C415" s="363" t="s">
        <v>382</v>
      </c>
      <c r="D415" s="356">
        <f t="shared" si="98"/>
        <v>126480.83</v>
      </c>
      <c r="E415" s="356"/>
      <c r="F415" s="356"/>
      <c r="G415" s="357">
        <f t="shared" si="100"/>
        <v>126480.83</v>
      </c>
      <c r="H415" s="358"/>
      <c r="I415" s="359">
        <f t="shared" si="99"/>
        <v>-33683</v>
      </c>
      <c r="J415" s="356">
        <v>-9072</v>
      </c>
      <c r="K415" s="356"/>
      <c r="L415" s="357">
        <f t="shared" si="101"/>
        <v>-42755</v>
      </c>
      <c r="M415" s="360">
        <f t="shared" si="102"/>
        <v>83725.83</v>
      </c>
    </row>
    <row r="416" spans="1:16" x14ac:dyDescent="0.2">
      <c r="A416" s="149">
        <v>8</v>
      </c>
      <c r="B416" s="1525">
        <v>1950</v>
      </c>
      <c r="C416" s="363" t="s">
        <v>298</v>
      </c>
      <c r="D416" s="356">
        <f t="shared" si="98"/>
        <v>0</v>
      </c>
      <c r="E416" s="356"/>
      <c r="F416" s="356"/>
      <c r="G416" s="357">
        <f t="shared" si="100"/>
        <v>0</v>
      </c>
      <c r="H416" s="358"/>
      <c r="I416" s="359">
        <f t="shared" si="99"/>
        <v>0</v>
      </c>
      <c r="J416" s="356"/>
      <c r="K416" s="356"/>
      <c r="L416" s="357">
        <f t="shared" si="101"/>
        <v>0</v>
      </c>
      <c r="M416" s="360">
        <f t="shared" si="102"/>
        <v>0</v>
      </c>
    </row>
    <row r="417" spans="1:13" x14ac:dyDescent="0.2">
      <c r="A417" s="149">
        <v>8</v>
      </c>
      <c r="B417" s="1525">
        <v>1955</v>
      </c>
      <c r="C417" s="363" t="s">
        <v>383</v>
      </c>
      <c r="D417" s="356">
        <f t="shared" si="98"/>
        <v>269020.82</v>
      </c>
      <c r="E417" s="356">
        <v>360000</v>
      </c>
      <c r="F417" s="356"/>
      <c r="G417" s="357">
        <f t="shared" si="100"/>
        <v>629020.82000000007</v>
      </c>
      <c r="H417" s="358"/>
      <c r="I417" s="359">
        <f t="shared" si="99"/>
        <v>-198619</v>
      </c>
      <c r="J417" s="356">
        <f>-65593*0.63</f>
        <v>-41323.590000000004</v>
      </c>
      <c r="K417" s="356"/>
      <c r="L417" s="357">
        <f t="shared" si="101"/>
        <v>-239942.59</v>
      </c>
      <c r="M417" s="360">
        <f t="shared" si="102"/>
        <v>389078.2300000001</v>
      </c>
    </row>
    <row r="418" spans="1:13" x14ac:dyDescent="0.2">
      <c r="A418" s="366">
        <v>8</v>
      </c>
      <c r="B418" s="364">
        <v>1955</v>
      </c>
      <c r="C418" s="367" t="s">
        <v>299</v>
      </c>
      <c r="D418" s="356">
        <f t="shared" si="98"/>
        <v>0</v>
      </c>
      <c r="E418" s="356"/>
      <c r="F418" s="356"/>
      <c r="G418" s="357">
        <f t="shared" si="100"/>
        <v>0</v>
      </c>
      <c r="H418" s="358"/>
      <c r="I418" s="359">
        <f t="shared" si="99"/>
        <v>0</v>
      </c>
      <c r="J418" s="356"/>
      <c r="K418" s="356"/>
      <c r="L418" s="357">
        <f t="shared" si="101"/>
        <v>0</v>
      </c>
      <c r="M418" s="360">
        <f t="shared" si="102"/>
        <v>0</v>
      </c>
    </row>
    <row r="419" spans="1:13" x14ac:dyDescent="0.2">
      <c r="A419" s="366">
        <v>8</v>
      </c>
      <c r="B419" s="368">
        <v>1960</v>
      </c>
      <c r="C419" s="355" t="s">
        <v>300</v>
      </c>
      <c r="D419" s="356">
        <f t="shared" si="98"/>
        <v>0</v>
      </c>
      <c r="E419" s="356"/>
      <c r="F419" s="356"/>
      <c r="G419" s="357">
        <f t="shared" si="100"/>
        <v>0</v>
      </c>
      <c r="H419" s="358"/>
      <c r="I419" s="359">
        <f t="shared" si="99"/>
        <v>0</v>
      </c>
      <c r="J419" s="356"/>
      <c r="K419" s="356"/>
      <c r="L419" s="357">
        <f t="shared" si="101"/>
        <v>0</v>
      </c>
      <c r="M419" s="360">
        <f t="shared" si="102"/>
        <v>0</v>
      </c>
    </row>
    <row r="420" spans="1:13" ht="25.5" x14ac:dyDescent="0.2">
      <c r="A420" s="369">
        <v>47</v>
      </c>
      <c r="B420" s="368">
        <v>1970</v>
      </c>
      <c r="C420" s="363" t="s">
        <v>649</v>
      </c>
      <c r="D420" s="356">
        <f t="shared" si="98"/>
        <v>0</v>
      </c>
      <c r="E420" s="356"/>
      <c r="F420" s="356"/>
      <c r="G420" s="357">
        <f t="shared" si="100"/>
        <v>0</v>
      </c>
      <c r="H420" s="358"/>
      <c r="I420" s="359">
        <f t="shared" si="99"/>
        <v>0</v>
      </c>
      <c r="J420" s="356"/>
      <c r="K420" s="356"/>
      <c r="L420" s="357">
        <f t="shared" si="101"/>
        <v>0</v>
      </c>
      <c r="M420" s="360">
        <f t="shared" si="102"/>
        <v>0</v>
      </c>
    </row>
    <row r="421" spans="1:13" ht="25.5" x14ac:dyDescent="0.2">
      <c r="A421" s="149">
        <v>47</v>
      </c>
      <c r="B421" s="1525">
        <v>1975</v>
      </c>
      <c r="C421" s="363" t="s">
        <v>384</v>
      </c>
      <c r="D421" s="356">
        <f t="shared" si="98"/>
        <v>0</v>
      </c>
      <c r="E421" s="356"/>
      <c r="F421" s="356"/>
      <c r="G421" s="357">
        <f t="shared" si="100"/>
        <v>0</v>
      </c>
      <c r="H421" s="358"/>
      <c r="I421" s="359">
        <f t="shared" si="99"/>
        <v>0</v>
      </c>
      <c r="J421" s="356"/>
      <c r="K421" s="356"/>
      <c r="L421" s="357">
        <f t="shared" si="101"/>
        <v>0</v>
      </c>
      <c r="M421" s="360">
        <f t="shared" si="102"/>
        <v>0</v>
      </c>
    </row>
    <row r="422" spans="1:13" x14ac:dyDescent="0.2">
      <c r="A422" s="149">
        <v>47</v>
      </c>
      <c r="B422" s="1525">
        <v>1980</v>
      </c>
      <c r="C422" s="363" t="s">
        <v>385</v>
      </c>
      <c r="D422" s="356">
        <f t="shared" si="98"/>
        <v>122172</v>
      </c>
      <c r="E422" s="356"/>
      <c r="F422" s="356"/>
      <c r="G422" s="357">
        <f t="shared" si="100"/>
        <v>122172</v>
      </c>
      <c r="H422" s="358"/>
      <c r="I422" s="359">
        <f t="shared" si="99"/>
        <v>-47741</v>
      </c>
      <c r="J422" s="356">
        <v>-4442</v>
      </c>
      <c r="K422" s="356"/>
      <c r="L422" s="357">
        <f t="shared" si="101"/>
        <v>-52183</v>
      </c>
      <c r="M422" s="360">
        <f t="shared" si="102"/>
        <v>69989</v>
      </c>
    </row>
    <row r="423" spans="1:13" x14ac:dyDescent="0.2">
      <c r="A423" s="149">
        <v>47</v>
      </c>
      <c r="B423" s="1525">
        <v>1985</v>
      </c>
      <c r="C423" s="363" t="s">
        <v>386</v>
      </c>
      <c r="D423" s="356">
        <f t="shared" si="98"/>
        <v>0</v>
      </c>
      <c r="E423" s="356"/>
      <c r="F423" s="356"/>
      <c r="G423" s="357">
        <f t="shared" si="100"/>
        <v>0</v>
      </c>
      <c r="H423" s="358"/>
      <c r="I423" s="359">
        <f t="shared" si="99"/>
        <v>0</v>
      </c>
      <c r="J423" s="356"/>
      <c r="K423" s="356"/>
      <c r="L423" s="357">
        <f t="shared" si="101"/>
        <v>0</v>
      </c>
      <c r="M423" s="360">
        <f t="shared" si="102"/>
        <v>0</v>
      </c>
    </row>
    <row r="424" spans="1:13" x14ac:dyDescent="0.2">
      <c r="A424" s="369">
        <v>47</v>
      </c>
      <c r="B424" s="1525">
        <v>1990</v>
      </c>
      <c r="C424" s="1524" t="s">
        <v>650</v>
      </c>
      <c r="D424" s="356">
        <f t="shared" si="98"/>
        <v>133004.10999999999</v>
      </c>
      <c r="E424" s="356"/>
      <c r="F424" s="356"/>
      <c r="G424" s="357">
        <f t="shared" si="100"/>
        <v>133004.10999999999</v>
      </c>
      <c r="H424" s="358"/>
      <c r="I424" s="359">
        <f t="shared" si="99"/>
        <v>-43794</v>
      </c>
      <c r="J424" s="356">
        <v>-13301</v>
      </c>
      <c r="K424" s="356"/>
      <c r="L424" s="357">
        <f t="shared" si="101"/>
        <v>-57095</v>
      </c>
      <c r="M424" s="360">
        <f t="shared" si="102"/>
        <v>75909.109999999986</v>
      </c>
    </row>
    <row r="425" spans="1:13" x14ac:dyDescent="0.2">
      <c r="A425" s="149">
        <v>47</v>
      </c>
      <c r="B425" s="1525">
        <v>1995</v>
      </c>
      <c r="C425" s="363" t="s">
        <v>387</v>
      </c>
      <c r="D425" s="356">
        <f t="shared" si="98"/>
        <v>-51971242.840000004</v>
      </c>
      <c r="E425" s="356">
        <v>-1179035</v>
      </c>
      <c r="F425" s="356"/>
      <c r="G425" s="357">
        <f t="shared" si="100"/>
        <v>-53150277.840000004</v>
      </c>
      <c r="H425" s="358"/>
      <c r="I425" s="359">
        <f t="shared" si="99"/>
        <v>15131417</v>
      </c>
      <c r="J425" s="356">
        <v>1997325</v>
      </c>
      <c r="K425" s="356"/>
      <c r="L425" s="357">
        <f t="shared" si="101"/>
        <v>17128742</v>
      </c>
      <c r="M425" s="360">
        <f t="shared" si="102"/>
        <v>-36021535.840000004</v>
      </c>
    </row>
    <row r="426" spans="1:13" ht="14.25" x14ac:dyDescent="0.2">
      <c r="A426" s="149">
        <v>47</v>
      </c>
      <c r="B426" s="1525">
        <v>2440</v>
      </c>
      <c r="C426" s="363" t="s">
        <v>1638</v>
      </c>
      <c r="D426" s="356"/>
      <c r="E426" s="356"/>
      <c r="F426" s="356"/>
      <c r="G426" s="357">
        <f t="shared" si="100"/>
        <v>0</v>
      </c>
      <c r="I426" s="359"/>
      <c r="J426" s="356"/>
      <c r="K426" s="356"/>
      <c r="L426" s="357">
        <f t="shared" ref="L426" si="103">I426+J426+K426</f>
        <v>0</v>
      </c>
      <c r="M426" s="360">
        <f t="shared" ref="M426" si="104">G426+L426</f>
        <v>0</v>
      </c>
    </row>
    <row r="427" spans="1:13" x14ac:dyDescent="0.2">
      <c r="A427" s="370"/>
      <c r="B427" s="370"/>
      <c r="C427" s="371"/>
      <c r="D427" s="372"/>
      <c r="E427" s="372"/>
      <c r="F427" s="372"/>
      <c r="G427" s="357">
        <f t="shared" ref="G427" si="105">D427+E427+F427</f>
        <v>0</v>
      </c>
      <c r="I427" s="372"/>
      <c r="J427" s="372"/>
      <c r="K427" s="372"/>
      <c r="L427" s="357">
        <f t="shared" ref="L427" si="106">I427+J427+K427</f>
        <v>0</v>
      </c>
      <c r="M427" s="360">
        <f t="shared" ref="M427" si="107">G427+L427</f>
        <v>0</v>
      </c>
    </row>
    <row r="428" spans="1:13" x14ac:dyDescent="0.2">
      <c r="A428" s="370"/>
      <c r="B428" s="370"/>
      <c r="C428" s="373" t="s">
        <v>268</v>
      </c>
      <c r="D428" s="374">
        <f>SUM(D387:D427)</f>
        <v>128838170.65499997</v>
      </c>
      <c r="E428" s="374">
        <f t="shared" ref="E428:G428" si="108">SUM(E387:E427)</f>
        <v>16139820</v>
      </c>
      <c r="F428" s="374">
        <f t="shared" si="108"/>
        <v>-1109265</v>
      </c>
      <c r="G428" s="374">
        <f t="shared" si="108"/>
        <v>143868725.65499997</v>
      </c>
      <c r="H428" s="374"/>
      <c r="I428" s="374">
        <f t="shared" ref="I428" si="109">SUM(I387:I427)</f>
        <v>-63813825</v>
      </c>
      <c r="J428" s="374">
        <f t="shared" ref="J428" si="110">SUM(J387:J427)</f>
        <v>-4763094.9800000004</v>
      </c>
      <c r="K428" s="374">
        <f t="shared" ref="K428" si="111">SUM(K387:K427)</f>
        <v>0</v>
      </c>
      <c r="L428" s="374">
        <f t="shared" ref="L428" si="112">SUM(L387:L427)</f>
        <v>-68576919.980000004</v>
      </c>
      <c r="M428" s="374">
        <f t="shared" ref="M428" si="113">SUM(M387:M427)</f>
        <v>75291805.675000012</v>
      </c>
    </row>
    <row r="429" spans="1:13" ht="37.5" x14ac:dyDescent="0.2">
      <c r="A429" s="370"/>
      <c r="B429" s="370"/>
      <c r="C429" s="375" t="s">
        <v>775</v>
      </c>
      <c r="D429" s="372"/>
      <c r="E429" s="372"/>
      <c r="F429" s="372"/>
      <c r="G429" s="357">
        <f t="shared" ref="G429:G430" si="114">D429+E429+F429</f>
        <v>0</v>
      </c>
      <c r="I429" s="372"/>
      <c r="J429" s="372"/>
      <c r="K429" s="372"/>
      <c r="L429" s="357">
        <f t="shared" ref="L429:L430" si="115">I429+J429+K429</f>
        <v>0</v>
      </c>
      <c r="M429" s="360">
        <f t="shared" ref="M429:M430" si="116">G429+L429</f>
        <v>0</v>
      </c>
    </row>
    <row r="430" spans="1:13" ht="25.5" x14ac:dyDescent="0.2">
      <c r="A430" s="370"/>
      <c r="B430" s="370"/>
      <c r="C430" s="376" t="s">
        <v>774</v>
      </c>
      <c r="D430" s="372"/>
      <c r="E430" s="372"/>
      <c r="F430" s="372"/>
      <c r="G430" s="357">
        <f t="shared" si="114"/>
        <v>0</v>
      </c>
      <c r="I430" s="372"/>
      <c r="J430" s="372"/>
      <c r="K430" s="372"/>
      <c r="L430" s="357">
        <f t="shared" si="115"/>
        <v>0</v>
      </c>
      <c r="M430" s="360">
        <f t="shared" si="116"/>
        <v>0</v>
      </c>
    </row>
    <row r="431" spans="1:13" x14ac:dyDescent="0.2">
      <c r="A431" s="370"/>
      <c r="B431" s="370"/>
      <c r="C431" s="373" t="s">
        <v>651</v>
      </c>
      <c r="D431" s="374">
        <f>SUM(D428:D430)</f>
        <v>128838170.65499997</v>
      </c>
      <c r="E431" s="1843">
        <f t="shared" ref="E431:G431" si="117">SUM(E428:E430)</f>
        <v>16139820</v>
      </c>
      <c r="F431" s="374">
        <f t="shared" si="117"/>
        <v>-1109265</v>
      </c>
      <c r="G431" s="374">
        <f t="shared" si="117"/>
        <v>143868725.65499997</v>
      </c>
      <c r="H431" s="374"/>
      <c r="I431" s="374">
        <f t="shared" ref="I431:M431" si="118">SUM(I428:I430)</f>
        <v>-63813825</v>
      </c>
      <c r="J431" s="1843">
        <f t="shared" si="118"/>
        <v>-4763094.9800000004</v>
      </c>
      <c r="K431" s="374">
        <f t="shared" si="118"/>
        <v>0</v>
      </c>
      <c r="L431" s="374">
        <f t="shared" si="118"/>
        <v>-68576919.980000004</v>
      </c>
      <c r="M431" s="374">
        <f t="shared" si="118"/>
        <v>75291805.675000012</v>
      </c>
    </row>
    <row r="432" spans="1:13" ht="14.25" x14ac:dyDescent="0.2">
      <c r="A432" s="370"/>
      <c r="B432" s="370"/>
      <c r="C432" s="1994" t="s">
        <v>1568</v>
      </c>
      <c r="D432" s="1995"/>
      <c r="E432" s="1995"/>
      <c r="F432" s="1995"/>
      <c r="G432" s="1995"/>
      <c r="H432" s="1995"/>
      <c r="I432" s="1996"/>
      <c r="J432" s="372"/>
      <c r="K432" s="377"/>
      <c r="L432" s="378"/>
      <c r="M432" s="379"/>
    </row>
    <row r="433" spans="1:13" x14ac:dyDescent="0.2">
      <c r="A433" s="370"/>
      <c r="B433" s="370"/>
      <c r="C433" s="1994" t="s">
        <v>388</v>
      </c>
      <c r="D433" s="1995"/>
      <c r="E433" s="1995"/>
      <c r="F433" s="1995"/>
      <c r="G433" s="1995"/>
      <c r="H433" s="1995"/>
      <c r="I433" s="1996"/>
      <c r="J433" s="374">
        <f>J431+J432</f>
        <v>-4763094.9800000004</v>
      </c>
      <c r="K433" s="379"/>
      <c r="L433" s="378"/>
      <c r="M433" s="379"/>
    </row>
    <row r="434" spans="1:13" x14ac:dyDescent="0.2">
      <c r="A434" s="1526"/>
      <c r="B434" s="1526"/>
    </row>
    <row r="435" spans="1:13" x14ac:dyDescent="0.2">
      <c r="A435" s="1526"/>
      <c r="B435" s="1526"/>
      <c r="I435" s="380" t="s">
        <v>522</v>
      </c>
      <c r="J435" s="1527"/>
    </row>
    <row r="436" spans="1:13" x14ac:dyDescent="0.2">
      <c r="A436" s="370">
        <v>10</v>
      </c>
      <c r="B436" s="370"/>
      <c r="C436" s="371" t="s">
        <v>389</v>
      </c>
      <c r="I436" s="1557" t="s">
        <v>389</v>
      </c>
      <c r="J436" s="1557"/>
      <c r="K436" s="381">
        <f>+J412</f>
        <v>-240463</v>
      </c>
    </row>
    <row r="437" spans="1:13" x14ac:dyDescent="0.2">
      <c r="A437" s="370">
        <v>8</v>
      </c>
      <c r="B437" s="370"/>
      <c r="C437" s="371" t="s">
        <v>380</v>
      </c>
      <c r="I437" s="1557" t="s">
        <v>380</v>
      </c>
      <c r="J437" s="1557"/>
      <c r="K437" s="381">
        <f>+J413</f>
        <v>-15531</v>
      </c>
    </row>
    <row r="438" spans="1:13" x14ac:dyDescent="0.2">
      <c r="A438" s="370">
        <v>8</v>
      </c>
      <c r="B438" s="1551"/>
      <c r="C438" s="363" t="s">
        <v>381</v>
      </c>
      <c r="I438" s="1557" t="s">
        <v>2162</v>
      </c>
      <c r="J438" s="1557"/>
      <c r="K438" s="381">
        <f>+J414</f>
        <v>-8731</v>
      </c>
    </row>
    <row r="439" spans="1:13" x14ac:dyDescent="0.2">
      <c r="A439" s="370">
        <v>8</v>
      </c>
      <c r="B439" s="1551"/>
      <c r="C439" s="363" t="s">
        <v>382</v>
      </c>
      <c r="I439" s="1557" t="s">
        <v>2163</v>
      </c>
      <c r="J439" s="1557"/>
      <c r="K439" s="381">
        <f>+J415</f>
        <v>-9072</v>
      </c>
    </row>
    <row r="440" spans="1:13" x14ac:dyDescent="0.2">
      <c r="A440" s="1526"/>
      <c r="B440" s="1526"/>
      <c r="I440" s="382" t="s">
        <v>390</v>
      </c>
      <c r="K440" s="1844">
        <f>J433-K436-K437-K438-K439</f>
        <v>-4489297.9800000004</v>
      </c>
    </row>
    <row r="441" spans="1:13" x14ac:dyDescent="0.2">
      <c r="A441" s="1526"/>
      <c r="B441" s="1526"/>
      <c r="I441" s="382"/>
      <c r="K441" s="1538"/>
    </row>
    <row r="442" spans="1:13" ht="21" x14ac:dyDescent="0.2">
      <c r="A442" s="1997" t="s">
        <v>1828</v>
      </c>
      <c r="B442" s="1997"/>
      <c r="C442" s="1997"/>
      <c r="D442" s="1997"/>
      <c r="E442" s="1997"/>
      <c r="F442" s="1997"/>
      <c r="G442" s="1997"/>
      <c r="H442" s="1997"/>
      <c r="I442" s="1997"/>
      <c r="J442" s="1997"/>
      <c r="K442" s="1997"/>
      <c r="L442" s="1997"/>
      <c r="M442" s="1997"/>
    </row>
    <row r="443" spans="1:13" x14ac:dyDescent="0.2">
      <c r="A443" s="1526"/>
      <c r="B443" s="1526"/>
      <c r="H443" s="140"/>
    </row>
    <row r="444" spans="1:13" x14ac:dyDescent="0.2">
      <c r="A444" s="1526"/>
      <c r="B444" s="1526"/>
      <c r="E444" s="303" t="s">
        <v>1520</v>
      </c>
      <c r="F444" s="128" t="s">
        <v>152</v>
      </c>
      <c r="H444" s="140"/>
    </row>
    <row r="445" spans="1:13" ht="15" x14ac:dyDescent="0.25">
      <c r="A445" s="1526"/>
      <c r="B445" s="1526"/>
      <c r="C445" s="158"/>
      <c r="E445" s="303" t="s">
        <v>149</v>
      </c>
      <c r="F445" s="343">
        <v>2015</v>
      </c>
      <c r="G445" s="1914" t="s">
        <v>2457</v>
      </c>
    </row>
    <row r="446" spans="1:13" x14ac:dyDescent="0.2">
      <c r="A446" s="1526"/>
      <c r="B446" s="1526"/>
    </row>
    <row r="447" spans="1:13" x14ac:dyDescent="0.2">
      <c r="A447" s="1526"/>
      <c r="B447" s="1526"/>
      <c r="D447" s="1998" t="s">
        <v>355</v>
      </c>
      <c r="E447" s="1999"/>
      <c r="F447" s="1999"/>
      <c r="G447" s="2000"/>
      <c r="I447" s="345"/>
      <c r="J447" s="346" t="s">
        <v>356</v>
      </c>
      <c r="K447" s="346"/>
      <c r="L447" s="347"/>
      <c r="M447" s="342"/>
    </row>
    <row r="448" spans="1:13" ht="25.5" customHeight="1" x14ac:dyDescent="0.2">
      <c r="A448" s="348" t="s">
        <v>1829</v>
      </c>
      <c r="B448" s="348" t="s">
        <v>1831</v>
      </c>
      <c r="C448" s="349" t="s">
        <v>1832</v>
      </c>
      <c r="D448" s="348" t="s">
        <v>325</v>
      </c>
      <c r="E448" s="350" t="s">
        <v>1830</v>
      </c>
      <c r="F448" s="350" t="s">
        <v>353</v>
      </c>
      <c r="G448" s="348" t="s">
        <v>354</v>
      </c>
      <c r="H448" s="351"/>
      <c r="I448" s="352" t="s">
        <v>325</v>
      </c>
      <c r="J448" s="353" t="s">
        <v>326</v>
      </c>
      <c r="K448" s="353" t="s">
        <v>353</v>
      </c>
      <c r="L448" s="354" t="s">
        <v>354</v>
      </c>
      <c r="M448" s="348" t="s">
        <v>393</v>
      </c>
    </row>
    <row r="449" spans="1:13" x14ac:dyDescent="0.2">
      <c r="A449" s="149">
        <v>47</v>
      </c>
      <c r="B449" s="1551">
        <v>1609</v>
      </c>
      <c r="C449" s="355" t="s">
        <v>2159</v>
      </c>
      <c r="D449" s="356">
        <f>+G325</f>
        <v>122349</v>
      </c>
      <c r="E449" s="356"/>
      <c r="F449" s="356"/>
      <c r="G449" s="357">
        <f>D449+E449+F449</f>
        <v>122349</v>
      </c>
      <c r="H449" s="358"/>
      <c r="I449" s="359">
        <f>+L325</f>
        <v>-4583</v>
      </c>
      <c r="J449" s="356">
        <v>-3059</v>
      </c>
      <c r="K449" s="356"/>
      <c r="L449" s="357">
        <f>I449+J449+K449</f>
        <v>-7642</v>
      </c>
      <c r="M449" s="360">
        <f>G449+L449</f>
        <v>114707</v>
      </c>
    </row>
    <row r="450" spans="1:13" ht="25.5" x14ac:dyDescent="0.2">
      <c r="A450" s="149">
        <v>12</v>
      </c>
      <c r="B450" s="1525">
        <v>1611</v>
      </c>
      <c r="C450" s="355" t="s">
        <v>475</v>
      </c>
      <c r="D450" s="356">
        <f t="shared" ref="D450:D486" si="119">+G326</f>
        <v>1022976</v>
      </c>
      <c r="E450" s="356">
        <v>291170</v>
      </c>
      <c r="F450" s="356"/>
      <c r="G450" s="357">
        <f>D450+E450+F450</f>
        <v>1314146</v>
      </c>
      <c r="H450" s="358"/>
      <c r="I450" s="359">
        <f t="shared" ref="I450:I486" si="120">+L326</f>
        <v>-638768</v>
      </c>
      <c r="J450" s="356">
        <v>-140718</v>
      </c>
      <c r="K450" s="356"/>
      <c r="L450" s="357">
        <f>I450+J450+K450</f>
        <v>-779486</v>
      </c>
      <c r="M450" s="360">
        <f>G450+L450</f>
        <v>534660</v>
      </c>
    </row>
    <row r="451" spans="1:13" ht="25.5" x14ac:dyDescent="0.2">
      <c r="A451" s="149" t="s">
        <v>365</v>
      </c>
      <c r="B451" s="1525">
        <v>1612</v>
      </c>
      <c r="C451" s="355" t="s">
        <v>563</v>
      </c>
      <c r="D451" s="356">
        <f t="shared" si="119"/>
        <v>0</v>
      </c>
      <c r="E451" s="356"/>
      <c r="F451" s="356"/>
      <c r="G451" s="357">
        <f>D451+E451+F451</f>
        <v>0</v>
      </c>
      <c r="H451" s="358"/>
      <c r="I451" s="359">
        <f t="shared" si="120"/>
        <v>0</v>
      </c>
      <c r="J451" s="356"/>
      <c r="K451" s="356"/>
      <c r="L451" s="357">
        <f>I451+J451+K451</f>
        <v>0</v>
      </c>
      <c r="M451" s="360">
        <f>G451+L451</f>
        <v>0</v>
      </c>
    </row>
    <row r="452" spans="1:13" x14ac:dyDescent="0.2">
      <c r="A452" s="149" t="s">
        <v>357</v>
      </c>
      <c r="B452" s="361">
        <v>1805</v>
      </c>
      <c r="C452" s="362" t="s">
        <v>358</v>
      </c>
      <c r="D452" s="356">
        <f t="shared" si="119"/>
        <v>69883.360000000001</v>
      </c>
      <c r="E452" s="356"/>
      <c r="F452" s="356"/>
      <c r="G452" s="357">
        <f>D452+E452+F452</f>
        <v>69883.360000000001</v>
      </c>
      <c r="H452" s="358"/>
      <c r="I452" s="359">
        <f t="shared" si="120"/>
        <v>0</v>
      </c>
      <c r="J452" s="356"/>
      <c r="K452" s="356"/>
      <c r="L452" s="357">
        <f>I452+J452+K452</f>
        <v>0</v>
      </c>
      <c r="M452" s="360">
        <f>G452+L452</f>
        <v>69883.360000000001</v>
      </c>
    </row>
    <row r="453" spans="1:13" x14ac:dyDescent="0.2">
      <c r="A453" s="149">
        <v>47</v>
      </c>
      <c r="B453" s="361">
        <v>1808</v>
      </c>
      <c r="C453" s="363" t="s">
        <v>359</v>
      </c>
      <c r="D453" s="356">
        <f t="shared" si="119"/>
        <v>0</v>
      </c>
      <c r="E453" s="356"/>
      <c r="F453" s="356"/>
      <c r="G453" s="357">
        <f t="shared" ref="G453:G488" si="121">D453+E453+F453</f>
        <v>0</v>
      </c>
      <c r="H453" s="358"/>
      <c r="I453" s="359">
        <f t="shared" si="120"/>
        <v>0</v>
      </c>
      <c r="J453" s="356"/>
      <c r="K453" s="356"/>
      <c r="L453" s="357">
        <f t="shared" ref="L453:L486" si="122">I453+J453+K453</f>
        <v>0</v>
      </c>
      <c r="M453" s="360">
        <f t="shared" ref="M453:M486" si="123">G453+L453</f>
        <v>0</v>
      </c>
    </row>
    <row r="454" spans="1:13" x14ac:dyDescent="0.2">
      <c r="A454" s="149">
        <v>13</v>
      </c>
      <c r="B454" s="361">
        <v>1810</v>
      </c>
      <c r="C454" s="363" t="s">
        <v>392</v>
      </c>
      <c r="D454" s="356">
        <f t="shared" si="119"/>
        <v>0</v>
      </c>
      <c r="E454" s="356"/>
      <c r="F454" s="356"/>
      <c r="G454" s="357">
        <f t="shared" si="121"/>
        <v>0</v>
      </c>
      <c r="H454" s="358"/>
      <c r="I454" s="359">
        <f t="shared" si="120"/>
        <v>0</v>
      </c>
      <c r="J454" s="356"/>
      <c r="K454" s="356"/>
      <c r="L454" s="357">
        <f t="shared" si="122"/>
        <v>0</v>
      </c>
      <c r="M454" s="360">
        <f t="shared" si="123"/>
        <v>0</v>
      </c>
    </row>
    <row r="455" spans="1:13" x14ac:dyDescent="0.2">
      <c r="A455" s="149">
        <v>47</v>
      </c>
      <c r="B455" s="361">
        <v>1815</v>
      </c>
      <c r="C455" s="363" t="s">
        <v>360</v>
      </c>
      <c r="D455" s="356">
        <f t="shared" si="119"/>
        <v>0</v>
      </c>
      <c r="E455" s="356"/>
      <c r="F455" s="356"/>
      <c r="G455" s="357">
        <f t="shared" si="121"/>
        <v>0</v>
      </c>
      <c r="H455" s="358"/>
      <c r="I455" s="359">
        <f t="shared" si="120"/>
        <v>0</v>
      </c>
      <c r="J455" s="356"/>
      <c r="K455" s="356"/>
      <c r="L455" s="357">
        <f t="shared" si="122"/>
        <v>0</v>
      </c>
      <c r="M455" s="360">
        <f t="shared" si="123"/>
        <v>0</v>
      </c>
    </row>
    <row r="456" spans="1:13" x14ac:dyDescent="0.2">
      <c r="A456" s="149">
        <v>47</v>
      </c>
      <c r="B456" s="361">
        <v>1820</v>
      </c>
      <c r="C456" s="355" t="s">
        <v>287</v>
      </c>
      <c r="D456" s="356">
        <f t="shared" si="119"/>
        <v>1516191.65</v>
      </c>
      <c r="E456" s="356"/>
      <c r="F456" s="356"/>
      <c r="G456" s="357">
        <f t="shared" si="121"/>
        <v>1516191.65</v>
      </c>
      <c r="H456" s="358"/>
      <c r="I456" s="359">
        <f t="shared" si="120"/>
        <v>-1449764</v>
      </c>
      <c r="J456" s="356">
        <v>-23011</v>
      </c>
      <c r="K456" s="356"/>
      <c r="L456" s="357">
        <f t="shared" si="122"/>
        <v>-1472775</v>
      </c>
      <c r="M456" s="360">
        <f t="shared" si="123"/>
        <v>43416.649999999907</v>
      </c>
    </row>
    <row r="457" spans="1:13" x14ac:dyDescent="0.2">
      <c r="A457" s="149">
        <v>47</v>
      </c>
      <c r="B457" s="361">
        <v>1825</v>
      </c>
      <c r="C457" s="363" t="s">
        <v>361</v>
      </c>
      <c r="D457" s="356">
        <f t="shared" si="119"/>
        <v>0</v>
      </c>
      <c r="E457" s="356"/>
      <c r="F457" s="356"/>
      <c r="G457" s="357">
        <f t="shared" si="121"/>
        <v>0</v>
      </c>
      <c r="H457" s="358"/>
      <c r="I457" s="359">
        <f t="shared" si="120"/>
        <v>0</v>
      </c>
      <c r="J457" s="356"/>
      <c r="K457" s="356"/>
      <c r="L457" s="357">
        <f t="shared" si="122"/>
        <v>0</v>
      </c>
      <c r="M457" s="360">
        <f t="shared" si="123"/>
        <v>0</v>
      </c>
    </row>
    <row r="458" spans="1:13" x14ac:dyDescent="0.2">
      <c r="A458" s="149">
        <v>47</v>
      </c>
      <c r="B458" s="361">
        <v>1830</v>
      </c>
      <c r="C458" s="363" t="s">
        <v>362</v>
      </c>
      <c r="D458" s="356">
        <f t="shared" si="119"/>
        <v>31199868.210000001</v>
      </c>
      <c r="E458" s="356">
        <v>1092972</v>
      </c>
      <c r="F458" s="356"/>
      <c r="G458" s="357">
        <f t="shared" si="121"/>
        <v>32292840.210000001</v>
      </c>
      <c r="H458" s="358"/>
      <c r="I458" s="359">
        <f t="shared" si="120"/>
        <v>-10568966</v>
      </c>
      <c r="J458" s="356">
        <v>-455398</v>
      </c>
      <c r="K458" s="356"/>
      <c r="L458" s="357">
        <f t="shared" si="122"/>
        <v>-11024364</v>
      </c>
      <c r="M458" s="360">
        <f t="shared" si="123"/>
        <v>21268476.210000001</v>
      </c>
    </row>
    <row r="459" spans="1:13" x14ac:dyDescent="0.2">
      <c r="A459" s="149">
        <v>47</v>
      </c>
      <c r="B459" s="361">
        <v>1835</v>
      </c>
      <c r="C459" s="363" t="s">
        <v>288</v>
      </c>
      <c r="D459" s="356">
        <f t="shared" si="119"/>
        <v>22998750.809999995</v>
      </c>
      <c r="E459" s="356">
        <v>913178</v>
      </c>
      <c r="F459" s="356"/>
      <c r="G459" s="357">
        <f t="shared" si="121"/>
        <v>23911928.809999995</v>
      </c>
      <c r="H459" s="358"/>
      <c r="I459" s="359">
        <f t="shared" si="120"/>
        <v>-12616426</v>
      </c>
      <c r="J459" s="356">
        <v>-380485</v>
      </c>
      <c r="K459" s="356"/>
      <c r="L459" s="357">
        <f t="shared" si="122"/>
        <v>-12996911</v>
      </c>
      <c r="M459" s="360">
        <f t="shared" si="123"/>
        <v>10915017.809999995</v>
      </c>
    </row>
    <row r="460" spans="1:13" x14ac:dyDescent="0.2">
      <c r="A460" s="149">
        <v>47</v>
      </c>
      <c r="B460" s="361">
        <v>1840</v>
      </c>
      <c r="C460" s="363" t="s">
        <v>289</v>
      </c>
      <c r="D460" s="356">
        <f t="shared" si="119"/>
        <v>26162538.84</v>
      </c>
      <c r="E460" s="356">
        <v>1245285</v>
      </c>
      <c r="F460" s="356"/>
      <c r="G460" s="357">
        <f t="shared" si="121"/>
        <v>27407823.84</v>
      </c>
      <c r="H460" s="358"/>
      <c r="I460" s="359">
        <f t="shared" si="120"/>
        <v>-8339453</v>
      </c>
      <c r="J460" s="356">
        <v>-567106</v>
      </c>
      <c r="K460" s="356"/>
      <c r="L460" s="357">
        <f t="shared" si="122"/>
        <v>-8906559</v>
      </c>
      <c r="M460" s="360">
        <f t="shared" si="123"/>
        <v>18501264.84</v>
      </c>
    </row>
    <row r="461" spans="1:13" x14ac:dyDescent="0.2">
      <c r="A461" s="149">
        <v>47</v>
      </c>
      <c r="B461" s="361">
        <v>1845</v>
      </c>
      <c r="C461" s="363" t="s">
        <v>290</v>
      </c>
      <c r="D461" s="356">
        <f t="shared" si="119"/>
        <v>18700818.969999999</v>
      </c>
      <c r="E461" s="356">
        <v>811878</v>
      </c>
      <c r="F461" s="356"/>
      <c r="G461" s="357">
        <f t="shared" si="121"/>
        <v>19512696.969999999</v>
      </c>
      <c r="H461" s="358"/>
      <c r="I461" s="359">
        <f t="shared" si="120"/>
        <v>-7494710</v>
      </c>
      <c r="J461" s="356">
        <v>-369731</v>
      </c>
      <c r="K461" s="356"/>
      <c r="L461" s="357">
        <f t="shared" si="122"/>
        <v>-7864441</v>
      </c>
      <c r="M461" s="360">
        <f t="shared" si="123"/>
        <v>11648255.969999999</v>
      </c>
    </row>
    <row r="462" spans="1:13" x14ac:dyDescent="0.2">
      <c r="A462" s="149">
        <v>47</v>
      </c>
      <c r="B462" s="361">
        <v>1850</v>
      </c>
      <c r="C462" s="363" t="s">
        <v>363</v>
      </c>
      <c r="D462" s="356">
        <f t="shared" si="119"/>
        <v>37877784.070000008</v>
      </c>
      <c r="E462" s="356">
        <v>890846</v>
      </c>
      <c r="F462" s="356"/>
      <c r="G462" s="357">
        <f t="shared" si="121"/>
        <v>38768630.070000008</v>
      </c>
      <c r="H462" s="358"/>
      <c r="I462" s="359">
        <f t="shared" si="120"/>
        <v>-18040731</v>
      </c>
      <c r="J462" s="356">
        <v>-712642</v>
      </c>
      <c r="K462" s="356"/>
      <c r="L462" s="357">
        <f t="shared" si="122"/>
        <v>-18753373</v>
      </c>
      <c r="M462" s="360">
        <f t="shared" si="123"/>
        <v>20015257.070000008</v>
      </c>
    </row>
    <row r="463" spans="1:13" x14ac:dyDescent="0.2">
      <c r="A463" s="149">
        <v>47</v>
      </c>
      <c r="B463" s="361">
        <v>1855</v>
      </c>
      <c r="C463" s="363" t="s">
        <v>291</v>
      </c>
      <c r="D463" s="356">
        <f t="shared" si="119"/>
        <v>14797250.449999999</v>
      </c>
      <c r="E463" s="356">
        <v>628445</v>
      </c>
      <c r="F463" s="356"/>
      <c r="G463" s="357">
        <f t="shared" si="121"/>
        <v>15425695.449999999</v>
      </c>
      <c r="H463" s="358"/>
      <c r="I463" s="359">
        <f t="shared" si="120"/>
        <v>-3958473</v>
      </c>
      <c r="J463" s="356">
        <v>-243666</v>
      </c>
      <c r="K463" s="356"/>
      <c r="L463" s="357">
        <f t="shared" si="122"/>
        <v>-4202139</v>
      </c>
      <c r="M463" s="360">
        <f t="shared" si="123"/>
        <v>11223556.449999999</v>
      </c>
    </row>
    <row r="464" spans="1:13" x14ac:dyDescent="0.2">
      <c r="A464" s="149">
        <v>47</v>
      </c>
      <c r="B464" s="361">
        <v>1860</v>
      </c>
      <c r="C464" s="363" t="s">
        <v>364</v>
      </c>
      <c r="D464" s="356">
        <f t="shared" si="119"/>
        <v>0</v>
      </c>
      <c r="E464" s="356"/>
      <c r="F464" s="356"/>
      <c r="G464" s="357">
        <f t="shared" si="121"/>
        <v>0</v>
      </c>
      <c r="H464" s="358"/>
      <c r="I464" s="359">
        <f t="shared" si="120"/>
        <v>0</v>
      </c>
      <c r="J464" s="356"/>
      <c r="K464" s="356"/>
      <c r="L464" s="357">
        <f t="shared" si="122"/>
        <v>0</v>
      </c>
      <c r="M464" s="360">
        <f t="shared" si="123"/>
        <v>0</v>
      </c>
    </row>
    <row r="465" spans="1:13" x14ac:dyDescent="0.2">
      <c r="A465" s="149">
        <v>47</v>
      </c>
      <c r="B465" s="361">
        <v>1860</v>
      </c>
      <c r="C465" s="362" t="s">
        <v>292</v>
      </c>
      <c r="D465" s="356">
        <f t="shared" si="119"/>
        <v>11625855.719999999</v>
      </c>
      <c r="E465" s="356">
        <v>285365</v>
      </c>
      <c r="F465" s="356"/>
      <c r="G465" s="357">
        <f t="shared" si="121"/>
        <v>11911220.719999999</v>
      </c>
      <c r="H465" s="358"/>
      <c r="I465" s="359">
        <f t="shared" si="120"/>
        <v>-5460909</v>
      </c>
      <c r="J465" s="356">
        <v>-722424</v>
      </c>
      <c r="K465" s="356"/>
      <c r="L465" s="357">
        <f t="shared" si="122"/>
        <v>-6183333</v>
      </c>
      <c r="M465" s="360">
        <f t="shared" si="123"/>
        <v>5727887.7199999988</v>
      </c>
    </row>
    <row r="466" spans="1:13" x14ac:dyDescent="0.2">
      <c r="A466" s="149" t="s">
        <v>357</v>
      </c>
      <c r="B466" s="361">
        <v>1905</v>
      </c>
      <c r="C466" s="362" t="s">
        <v>358</v>
      </c>
      <c r="D466" s="356">
        <f t="shared" si="119"/>
        <v>5182051.7649999997</v>
      </c>
      <c r="E466" s="356"/>
      <c r="F466" s="356">
        <v>-1109265</v>
      </c>
      <c r="G466" s="357">
        <f t="shared" si="121"/>
        <v>4072786.7649999997</v>
      </c>
      <c r="H466" s="358"/>
      <c r="I466" s="359">
        <f t="shared" si="120"/>
        <v>0</v>
      </c>
      <c r="J466" s="356"/>
      <c r="K466" s="356"/>
      <c r="L466" s="357">
        <f t="shared" si="122"/>
        <v>0</v>
      </c>
      <c r="M466" s="360">
        <f t="shared" si="123"/>
        <v>4072786.7649999997</v>
      </c>
    </row>
    <row r="467" spans="1:13" x14ac:dyDescent="0.2">
      <c r="A467" s="149">
        <v>47</v>
      </c>
      <c r="B467" s="361">
        <v>1908</v>
      </c>
      <c r="C467" s="363" t="s">
        <v>366</v>
      </c>
      <c r="D467" s="356">
        <f t="shared" si="119"/>
        <v>0</v>
      </c>
      <c r="E467" s="356">
        <f>+[12]Depreciation!$D$13</f>
        <v>8524798</v>
      </c>
      <c r="F467" s="356"/>
      <c r="G467" s="357">
        <f t="shared" si="121"/>
        <v>8524798</v>
      </c>
      <c r="H467" s="358"/>
      <c r="I467" s="359">
        <f t="shared" si="120"/>
        <v>0</v>
      </c>
      <c r="J467" s="356">
        <f>-[12]Depreciation!$F$13</f>
        <v>-85247.98</v>
      </c>
      <c r="K467" s="356"/>
      <c r="L467" s="357">
        <f t="shared" si="122"/>
        <v>-85247.98</v>
      </c>
      <c r="M467" s="360">
        <f t="shared" si="123"/>
        <v>8439550.0199999996</v>
      </c>
    </row>
    <row r="468" spans="1:13" x14ac:dyDescent="0.2">
      <c r="A468" s="149">
        <v>13</v>
      </c>
      <c r="B468" s="361">
        <v>1910</v>
      </c>
      <c r="C468" s="363" t="s">
        <v>392</v>
      </c>
      <c r="D468" s="356">
        <f t="shared" si="119"/>
        <v>377009</v>
      </c>
      <c r="E468" s="356"/>
      <c r="F468" s="356"/>
      <c r="G468" s="357">
        <f t="shared" si="121"/>
        <v>377009</v>
      </c>
      <c r="H468" s="358"/>
      <c r="I468" s="359">
        <f t="shared" si="120"/>
        <v>-377009</v>
      </c>
      <c r="J468" s="356">
        <v>0</v>
      </c>
      <c r="K468" s="356"/>
      <c r="L468" s="357">
        <f t="shared" si="122"/>
        <v>-377009</v>
      </c>
      <c r="M468" s="360">
        <f t="shared" si="123"/>
        <v>0</v>
      </c>
    </row>
    <row r="469" spans="1:13" x14ac:dyDescent="0.2">
      <c r="A469" s="149">
        <v>8</v>
      </c>
      <c r="B469" s="361">
        <v>1915</v>
      </c>
      <c r="C469" s="363" t="s">
        <v>293</v>
      </c>
      <c r="D469" s="356">
        <f t="shared" si="119"/>
        <v>714887</v>
      </c>
      <c r="E469" s="356">
        <v>400000</v>
      </c>
      <c r="F469" s="356"/>
      <c r="G469" s="357">
        <f t="shared" si="121"/>
        <v>1114887</v>
      </c>
      <c r="H469" s="358"/>
      <c r="I469" s="359">
        <f t="shared" si="120"/>
        <v>-637675</v>
      </c>
      <c r="J469" s="356">
        <v>-20000</v>
      </c>
      <c r="K469" s="356"/>
      <c r="L469" s="357">
        <f t="shared" si="122"/>
        <v>-657675</v>
      </c>
      <c r="M469" s="360">
        <f t="shared" si="123"/>
        <v>457212</v>
      </c>
    </row>
    <row r="470" spans="1:13" x14ac:dyDescent="0.2">
      <c r="A470" s="149">
        <v>8</v>
      </c>
      <c r="B470" s="361">
        <v>1915</v>
      </c>
      <c r="C470" s="363" t="s">
        <v>294</v>
      </c>
      <c r="D470" s="356">
        <f t="shared" si="119"/>
        <v>0</v>
      </c>
      <c r="E470" s="356"/>
      <c r="F470" s="356"/>
      <c r="G470" s="357">
        <f t="shared" si="121"/>
        <v>0</v>
      </c>
      <c r="H470" s="358"/>
      <c r="I470" s="359">
        <f t="shared" si="120"/>
        <v>0</v>
      </c>
      <c r="J470" s="356"/>
      <c r="K470" s="356"/>
      <c r="L470" s="357">
        <f t="shared" si="122"/>
        <v>0</v>
      </c>
      <c r="M470" s="360">
        <f t="shared" si="123"/>
        <v>0</v>
      </c>
    </row>
    <row r="471" spans="1:13" x14ac:dyDescent="0.2">
      <c r="A471" s="149">
        <v>10</v>
      </c>
      <c r="B471" s="361">
        <v>1920</v>
      </c>
      <c r="C471" s="363" t="s">
        <v>295</v>
      </c>
      <c r="D471" s="356">
        <f t="shared" si="119"/>
        <v>1892372</v>
      </c>
      <c r="E471" s="356">
        <v>106393</v>
      </c>
      <c r="F471" s="356"/>
      <c r="G471" s="357">
        <f t="shared" si="121"/>
        <v>1998765</v>
      </c>
      <c r="H471" s="358"/>
      <c r="I471" s="359">
        <f t="shared" si="120"/>
        <v>-1624526</v>
      </c>
      <c r="J471" s="356">
        <v>-87558</v>
      </c>
      <c r="K471" s="356"/>
      <c r="L471" s="357">
        <f t="shared" si="122"/>
        <v>-1712084</v>
      </c>
      <c r="M471" s="360">
        <f t="shared" si="123"/>
        <v>286681</v>
      </c>
    </row>
    <row r="472" spans="1:13" ht="25.5" x14ac:dyDescent="0.2">
      <c r="A472" s="149">
        <v>45</v>
      </c>
      <c r="B472" s="364">
        <v>1920</v>
      </c>
      <c r="C472" s="355" t="s">
        <v>297</v>
      </c>
      <c r="D472" s="356">
        <f t="shared" si="119"/>
        <v>0</v>
      </c>
      <c r="E472" s="356"/>
      <c r="F472" s="356"/>
      <c r="G472" s="357">
        <f t="shared" si="121"/>
        <v>0</v>
      </c>
      <c r="H472" s="358"/>
      <c r="I472" s="359">
        <f t="shared" si="120"/>
        <v>0</v>
      </c>
      <c r="J472" s="356"/>
      <c r="K472" s="356"/>
      <c r="L472" s="357">
        <f t="shared" si="122"/>
        <v>0</v>
      </c>
      <c r="M472" s="360">
        <f t="shared" si="123"/>
        <v>0</v>
      </c>
    </row>
    <row r="473" spans="1:13" ht="25.5" x14ac:dyDescent="0.2">
      <c r="A473" s="149">
        <v>45.1</v>
      </c>
      <c r="B473" s="364">
        <v>1920</v>
      </c>
      <c r="C473" s="355" t="s">
        <v>296</v>
      </c>
      <c r="D473" s="356">
        <f t="shared" si="119"/>
        <v>0</v>
      </c>
      <c r="E473" s="356"/>
      <c r="F473" s="356"/>
      <c r="G473" s="357">
        <f t="shared" si="121"/>
        <v>0</v>
      </c>
      <c r="H473" s="358"/>
      <c r="I473" s="359">
        <f t="shared" si="120"/>
        <v>0</v>
      </c>
      <c r="J473" s="356"/>
      <c r="K473" s="356"/>
      <c r="L473" s="357">
        <f t="shared" si="122"/>
        <v>0</v>
      </c>
      <c r="M473" s="360">
        <f t="shared" si="123"/>
        <v>0</v>
      </c>
    </row>
    <row r="474" spans="1:13" x14ac:dyDescent="0.2">
      <c r="A474" s="149">
        <v>10</v>
      </c>
      <c r="B474" s="1525">
        <v>1930</v>
      </c>
      <c r="C474" s="363" t="s">
        <v>379</v>
      </c>
      <c r="D474" s="356">
        <f t="shared" si="119"/>
        <v>2661180.17</v>
      </c>
      <c r="E474" s="356">
        <v>440677</v>
      </c>
      <c r="F474" s="356"/>
      <c r="G474" s="357">
        <f t="shared" si="121"/>
        <v>3101857.17</v>
      </c>
      <c r="H474" s="358"/>
      <c r="I474" s="359">
        <f t="shared" si="120"/>
        <v>-1479598</v>
      </c>
      <c r="J474" s="356">
        <v>-157469</v>
      </c>
      <c r="K474" s="356"/>
      <c r="L474" s="357">
        <f t="shared" si="122"/>
        <v>-1637067</v>
      </c>
      <c r="M474" s="360">
        <f t="shared" si="123"/>
        <v>1464790.17</v>
      </c>
    </row>
    <row r="475" spans="1:13" x14ac:dyDescent="0.2">
      <c r="A475" s="149">
        <v>8</v>
      </c>
      <c r="B475" s="1525">
        <v>1935</v>
      </c>
      <c r="C475" s="363" t="s">
        <v>380</v>
      </c>
      <c r="D475" s="356">
        <f t="shared" si="119"/>
        <v>281519.32</v>
      </c>
      <c r="E475" s="356">
        <v>78146</v>
      </c>
      <c r="F475" s="356"/>
      <c r="G475" s="357">
        <f t="shared" si="121"/>
        <v>359665.32</v>
      </c>
      <c r="H475" s="358"/>
      <c r="I475" s="359">
        <f t="shared" si="120"/>
        <v>-184363</v>
      </c>
      <c r="J475" s="356">
        <v>-9324</v>
      </c>
      <c r="K475" s="356"/>
      <c r="L475" s="357">
        <f t="shared" si="122"/>
        <v>-193687</v>
      </c>
      <c r="M475" s="360">
        <f t="shared" si="123"/>
        <v>165978.32</v>
      </c>
    </row>
    <row r="476" spans="1:13" x14ac:dyDescent="0.2">
      <c r="A476" s="149">
        <v>8</v>
      </c>
      <c r="B476" s="1525">
        <v>1940</v>
      </c>
      <c r="C476" s="363" t="s">
        <v>381</v>
      </c>
      <c r="D476" s="356">
        <f t="shared" si="119"/>
        <v>420812.39999999997</v>
      </c>
      <c r="E476" s="356">
        <v>28232</v>
      </c>
      <c r="F476" s="356"/>
      <c r="G476" s="357">
        <f t="shared" si="121"/>
        <v>449044.39999999997</v>
      </c>
      <c r="H476" s="358"/>
      <c r="I476" s="359">
        <f t="shared" si="120"/>
        <v>-391177</v>
      </c>
      <c r="J476" s="356">
        <v>-6715</v>
      </c>
      <c r="K476" s="356"/>
      <c r="L476" s="357">
        <f t="shared" si="122"/>
        <v>-397892</v>
      </c>
      <c r="M476" s="360">
        <f t="shared" si="123"/>
        <v>51152.399999999965</v>
      </c>
    </row>
    <row r="477" spans="1:13" x14ac:dyDescent="0.2">
      <c r="A477" s="149">
        <v>8</v>
      </c>
      <c r="B477" s="1525">
        <v>1945</v>
      </c>
      <c r="C477" s="363" t="s">
        <v>382</v>
      </c>
      <c r="D477" s="356">
        <f t="shared" si="119"/>
        <v>126480.83</v>
      </c>
      <c r="E477" s="356"/>
      <c r="F477" s="356"/>
      <c r="G477" s="357">
        <f t="shared" si="121"/>
        <v>126480.83</v>
      </c>
      <c r="H477" s="358"/>
      <c r="I477" s="359">
        <f t="shared" si="120"/>
        <v>-52515</v>
      </c>
      <c r="J477" s="356">
        <v>-9476</v>
      </c>
      <c r="K477" s="356"/>
      <c r="L477" s="357">
        <f t="shared" si="122"/>
        <v>-61991</v>
      </c>
      <c r="M477" s="360">
        <f t="shared" si="123"/>
        <v>64489.83</v>
      </c>
    </row>
    <row r="478" spans="1:13" x14ac:dyDescent="0.2">
      <c r="A478" s="149">
        <v>8</v>
      </c>
      <c r="B478" s="1525">
        <v>1950</v>
      </c>
      <c r="C478" s="363" t="s">
        <v>298</v>
      </c>
      <c r="D478" s="356">
        <f t="shared" si="119"/>
        <v>0</v>
      </c>
      <c r="E478" s="356"/>
      <c r="F478" s="356"/>
      <c r="G478" s="357">
        <f t="shared" si="121"/>
        <v>0</v>
      </c>
      <c r="H478" s="358"/>
      <c r="I478" s="359">
        <f t="shared" si="120"/>
        <v>0</v>
      </c>
      <c r="J478" s="356"/>
      <c r="K478" s="356"/>
      <c r="L478" s="357">
        <f t="shared" si="122"/>
        <v>0</v>
      </c>
      <c r="M478" s="360">
        <f t="shared" si="123"/>
        <v>0</v>
      </c>
    </row>
    <row r="479" spans="1:13" x14ac:dyDescent="0.2">
      <c r="A479" s="149">
        <v>8</v>
      </c>
      <c r="B479" s="1525">
        <v>1955</v>
      </c>
      <c r="C479" s="363" t="s">
        <v>383</v>
      </c>
      <c r="D479" s="356">
        <f t="shared" si="119"/>
        <v>269020.82</v>
      </c>
      <c r="E479" s="356">
        <v>360000</v>
      </c>
      <c r="F479" s="356"/>
      <c r="G479" s="357">
        <f t="shared" si="121"/>
        <v>629020.82000000007</v>
      </c>
      <c r="H479" s="358"/>
      <c r="I479" s="359">
        <f t="shared" si="120"/>
        <v>-200060</v>
      </c>
      <c r="J479" s="356">
        <v>-45247</v>
      </c>
      <c r="K479" s="356"/>
      <c r="L479" s="357">
        <f t="shared" si="122"/>
        <v>-245307</v>
      </c>
      <c r="M479" s="360">
        <f t="shared" si="123"/>
        <v>383713.82000000007</v>
      </c>
    </row>
    <row r="480" spans="1:13" x14ac:dyDescent="0.2">
      <c r="A480" s="366">
        <v>8</v>
      </c>
      <c r="B480" s="364">
        <v>1955</v>
      </c>
      <c r="C480" s="367" t="s">
        <v>299</v>
      </c>
      <c r="D480" s="356">
        <f t="shared" si="119"/>
        <v>0</v>
      </c>
      <c r="E480" s="356"/>
      <c r="F480" s="356"/>
      <c r="G480" s="357">
        <f t="shared" si="121"/>
        <v>0</v>
      </c>
      <c r="H480" s="358"/>
      <c r="I480" s="359">
        <f t="shared" si="120"/>
        <v>0</v>
      </c>
      <c r="J480" s="356"/>
      <c r="K480" s="356"/>
      <c r="L480" s="357">
        <f t="shared" si="122"/>
        <v>0</v>
      </c>
      <c r="M480" s="360">
        <f t="shared" si="123"/>
        <v>0</v>
      </c>
    </row>
    <row r="481" spans="1:13" x14ac:dyDescent="0.2">
      <c r="A481" s="366">
        <v>8</v>
      </c>
      <c r="B481" s="368">
        <v>1960</v>
      </c>
      <c r="C481" s="355" t="s">
        <v>300</v>
      </c>
      <c r="D481" s="356">
        <f t="shared" si="119"/>
        <v>0</v>
      </c>
      <c r="E481" s="356"/>
      <c r="F481" s="356"/>
      <c r="G481" s="357">
        <f t="shared" si="121"/>
        <v>0</v>
      </c>
      <c r="H481" s="358"/>
      <c r="I481" s="359">
        <f t="shared" si="120"/>
        <v>0</v>
      </c>
      <c r="J481" s="356"/>
      <c r="K481" s="356"/>
      <c r="L481" s="357">
        <f t="shared" si="122"/>
        <v>0</v>
      </c>
      <c r="M481" s="360">
        <f t="shared" si="123"/>
        <v>0</v>
      </c>
    </row>
    <row r="482" spans="1:13" ht="25.5" x14ac:dyDescent="0.2">
      <c r="A482" s="369">
        <v>47</v>
      </c>
      <c r="B482" s="368">
        <v>1970</v>
      </c>
      <c r="C482" s="363" t="s">
        <v>649</v>
      </c>
      <c r="D482" s="356">
        <f t="shared" si="119"/>
        <v>0</v>
      </c>
      <c r="E482" s="356"/>
      <c r="F482" s="356"/>
      <c r="G482" s="357">
        <f t="shared" si="121"/>
        <v>0</v>
      </c>
      <c r="H482" s="358"/>
      <c r="I482" s="359">
        <f t="shared" si="120"/>
        <v>0</v>
      </c>
      <c r="J482" s="356"/>
      <c r="K482" s="356"/>
      <c r="L482" s="357">
        <f t="shared" si="122"/>
        <v>0</v>
      </c>
      <c r="M482" s="360">
        <f t="shared" si="123"/>
        <v>0</v>
      </c>
    </row>
    <row r="483" spans="1:13" ht="25.5" x14ac:dyDescent="0.2">
      <c r="A483" s="149">
        <v>47</v>
      </c>
      <c r="B483" s="1525">
        <v>1975</v>
      </c>
      <c r="C483" s="363" t="s">
        <v>384</v>
      </c>
      <c r="D483" s="356">
        <f t="shared" si="119"/>
        <v>0</v>
      </c>
      <c r="E483" s="356"/>
      <c r="F483" s="356"/>
      <c r="G483" s="357">
        <f t="shared" si="121"/>
        <v>0</v>
      </c>
      <c r="H483" s="358"/>
      <c r="I483" s="359">
        <f t="shared" si="120"/>
        <v>0</v>
      </c>
      <c r="J483" s="356"/>
      <c r="K483" s="356"/>
      <c r="L483" s="357">
        <f t="shared" si="122"/>
        <v>0</v>
      </c>
      <c r="M483" s="360">
        <f t="shared" si="123"/>
        <v>0</v>
      </c>
    </row>
    <row r="484" spans="1:13" x14ac:dyDescent="0.2">
      <c r="A484" s="149">
        <v>47</v>
      </c>
      <c r="B484" s="1525">
        <v>1980</v>
      </c>
      <c r="C484" s="363" t="s">
        <v>385</v>
      </c>
      <c r="D484" s="356">
        <f t="shared" si="119"/>
        <v>122172</v>
      </c>
      <c r="E484" s="356"/>
      <c r="F484" s="356"/>
      <c r="G484" s="357">
        <f t="shared" si="121"/>
        <v>122172</v>
      </c>
      <c r="H484" s="358"/>
      <c r="I484" s="359">
        <f t="shared" si="120"/>
        <v>-47743</v>
      </c>
      <c r="J484" s="356">
        <v>-5375</v>
      </c>
      <c r="K484" s="356"/>
      <c r="L484" s="357">
        <f t="shared" si="122"/>
        <v>-53118</v>
      </c>
      <c r="M484" s="360">
        <f t="shared" si="123"/>
        <v>69054</v>
      </c>
    </row>
    <row r="485" spans="1:13" x14ac:dyDescent="0.2">
      <c r="A485" s="149">
        <v>47</v>
      </c>
      <c r="B485" s="1525">
        <v>1985</v>
      </c>
      <c r="C485" s="363" t="s">
        <v>386</v>
      </c>
      <c r="D485" s="356">
        <f t="shared" si="119"/>
        <v>0</v>
      </c>
      <c r="E485" s="356"/>
      <c r="F485" s="356"/>
      <c r="G485" s="357">
        <f t="shared" si="121"/>
        <v>0</v>
      </c>
      <c r="H485" s="358"/>
      <c r="I485" s="359">
        <f t="shared" si="120"/>
        <v>0</v>
      </c>
      <c r="J485" s="356"/>
      <c r="K485" s="356"/>
      <c r="L485" s="357">
        <f t="shared" si="122"/>
        <v>0</v>
      </c>
      <c r="M485" s="360">
        <f t="shared" si="123"/>
        <v>0</v>
      </c>
    </row>
    <row r="486" spans="1:13" x14ac:dyDescent="0.2">
      <c r="A486" s="369">
        <v>47</v>
      </c>
      <c r="B486" s="1525">
        <v>1990</v>
      </c>
      <c r="C486" s="1524" t="s">
        <v>650</v>
      </c>
      <c r="D486" s="356">
        <f t="shared" si="119"/>
        <v>133004.10999999999</v>
      </c>
      <c r="E486" s="356"/>
      <c r="F486" s="356"/>
      <c r="G486" s="357">
        <f t="shared" si="121"/>
        <v>133004.10999999999</v>
      </c>
      <c r="H486" s="358"/>
      <c r="I486" s="359">
        <f t="shared" si="120"/>
        <v>-47006</v>
      </c>
      <c r="J486" s="356">
        <v>-13301</v>
      </c>
      <c r="K486" s="356"/>
      <c r="L486" s="357">
        <f t="shared" si="122"/>
        <v>-60307</v>
      </c>
      <c r="M486" s="360">
        <f t="shared" si="123"/>
        <v>72697.109999999986</v>
      </c>
    </row>
    <row r="487" spans="1:13" x14ac:dyDescent="0.2">
      <c r="A487" s="149">
        <v>47</v>
      </c>
      <c r="B487" s="1525">
        <v>1995</v>
      </c>
      <c r="C487" s="363" t="s">
        <v>387</v>
      </c>
      <c r="D487" s="356"/>
      <c r="E487" s="356"/>
      <c r="F487" s="356"/>
      <c r="G487" s="357">
        <f t="shared" si="121"/>
        <v>0</v>
      </c>
      <c r="H487" s="358"/>
      <c r="I487" s="359"/>
      <c r="J487" s="356"/>
      <c r="K487" s="356"/>
      <c r="L487" s="357">
        <f t="shared" ref="L487:L488" si="124">I487+J487+K487</f>
        <v>0</v>
      </c>
      <c r="M487" s="360">
        <f t="shared" ref="M487:M488" si="125">G487+L487</f>
        <v>0</v>
      </c>
    </row>
    <row r="488" spans="1:13" ht="14.25" x14ac:dyDescent="0.2">
      <c r="A488" s="149">
        <v>47</v>
      </c>
      <c r="B488" s="1525">
        <v>2440</v>
      </c>
      <c r="C488" s="363" t="s">
        <v>1638</v>
      </c>
      <c r="D488" s="356">
        <f>+G363</f>
        <v>-51971242.840000004</v>
      </c>
      <c r="E488" s="356">
        <v>-1179035</v>
      </c>
      <c r="F488" s="356"/>
      <c r="G488" s="357">
        <f t="shared" si="121"/>
        <v>-53150277.840000004</v>
      </c>
      <c r="I488" s="359">
        <f>+L363</f>
        <v>13305772</v>
      </c>
      <c r="J488" s="356">
        <v>1101657</v>
      </c>
      <c r="K488" s="356"/>
      <c r="L488" s="357">
        <f t="shared" si="124"/>
        <v>14407429</v>
      </c>
      <c r="M488" s="360">
        <f t="shared" si="125"/>
        <v>-38742848.840000004</v>
      </c>
    </row>
    <row r="489" spans="1:13" x14ac:dyDescent="0.2">
      <c r="A489" s="370"/>
      <c r="B489" s="370"/>
      <c r="C489" s="371"/>
      <c r="D489" s="372"/>
      <c r="E489" s="372"/>
      <c r="F489" s="372"/>
      <c r="G489" s="357">
        <f t="shared" ref="G489" si="126">D489+E489+F489</f>
        <v>0</v>
      </c>
      <c r="I489" s="372"/>
      <c r="J489" s="372"/>
      <c r="K489" s="372"/>
      <c r="L489" s="357">
        <f t="shared" ref="L489" si="127">I489+J489+K489</f>
        <v>0</v>
      </c>
      <c r="M489" s="360">
        <f t="shared" ref="M489" si="128">G489+L489</f>
        <v>0</v>
      </c>
    </row>
    <row r="490" spans="1:13" x14ac:dyDescent="0.2">
      <c r="A490" s="370"/>
      <c r="B490" s="370"/>
      <c r="C490" s="373" t="s">
        <v>268</v>
      </c>
      <c r="D490" s="374">
        <f>SUM(D449:D489)</f>
        <v>126303533.65499997</v>
      </c>
      <c r="E490" s="374">
        <f t="shared" ref="E490:G490" si="129">SUM(E449:E489)</f>
        <v>14918350</v>
      </c>
      <c r="F490" s="374">
        <f t="shared" si="129"/>
        <v>-1109265</v>
      </c>
      <c r="G490" s="374">
        <f t="shared" si="129"/>
        <v>140112618.65499997</v>
      </c>
      <c r="H490" s="374"/>
      <c r="I490" s="374">
        <f t="shared" ref="I490" si="130">SUM(I449:I489)</f>
        <v>-60308683</v>
      </c>
      <c r="J490" s="374">
        <f t="shared" ref="J490" si="131">SUM(J449:J489)</f>
        <v>-2956295.98</v>
      </c>
      <c r="K490" s="374">
        <f t="shared" ref="K490" si="132">SUM(K449:K489)</f>
        <v>0</v>
      </c>
      <c r="L490" s="374">
        <f t="shared" ref="L490" si="133">SUM(L449:L489)</f>
        <v>-63264978.980000004</v>
      </c>
      <c r="M490" s="374">
        <f t="shared" ref="M490" si="134">SUM(M449:M489)</f>
        <v>76847639.674999982</v>
      </c>
    </row>
    <row r="491" spans="1:13" ht="37.5" x14ac:dyDescent="0.2">
      <c r="A491" s="370"/>
      <c r="B491" s="370"/>
      <c r="C491" s="375" t="s">
        <v>775</v>
      </c>
      <c r="D491" s="372"/>
      <c r="E491" s="372"/>
      <c r="F491" s="372"/>
      <c r="G491" s="357">
        <f t="shared" ref="G491:G492" si="135">D491+E491+F491</f>
        <v>0</v>
      </c>
      <c r="I491" s="372"/>
      <c r="J491" s="372"/>
      <c r="K491" s="372"/>
      <c r="L491" s="357">
        <f t="shared" ref="L491:L492" si="136">I491+J491+K491</f>
        <v>0</v>
      </c>
      <c r="M491" s="360">
        <f t="shared" ref="M491:M492" si="137">G491+L491</f>
        <v>0</v>
      </c>
    </row>
    <row r="492" spans="1:13" ht="25.5" x14ac:dyDescent="0.2">
      <c r="A492" s="370"/>
      <c r="B492" s="370"/>
      <c r="C492" s="376" t="s">
        <v>774</v>
      </c>
      <c r="D492" s="372"/>
      <c r="E492" s="372"/>
      <c r="F492" s="372"/>
      <c r="G492" s="357">
        <f t="shared" si="135"/>
        <v>0</v>
      </c>
      <c r="I492" s="372"/>
      <c r="J492" s="372"/>
      <c r="K492" s="372"/>
      <c r="L492" s="357">
        <f t="shared" si="136"/>
        <v>0</v>
      </c>
      <c r="M492" s="360">
        <f t="shared" si="137"/>
        <v>0</v>
      </c>
    </row>
    <row r="493" spans="1:13" x14ac:dyDescent="0.2">
      <c r="A493" s="370"/>
      <c r="B493" s="370"/>
      <c r="C493" s="373" t="s">
        <v>651</v>
      </c>
      <c r="D493" s="374">
        <f>SUM(D490:D492)</f>
        <v>126303533.65499997</v>
      </c>
      <c r="E493" s="1843">
        <f t="shared" ref="E493:G493" si="138">SUM(E490:E492)</f>
        <v>14918350</v>
      </c>
      <c r="F493" s="374">
        <f t="shared" si="138"/>
        <v>-1109265</v>
      </c>
      <c r="G493" s="374">
        <f t="shared" si="138"/>
        <v>140112618.65499997</v>
      </c>
      <c r="H493" s="374"/>
      <c r="I493" s="374">
        <f t="shared" ref="I493:M493" si="139">SUM(I490:I492)</f>
        <v>-60308683</v>
      </c>
      <c r="J493" s="1843">
        <f t="shared" si="139"/>
        <v>-2956295.98</v>
      </c>
      <c r="K493" s="374">
        <f t="shared" si="139"/>
        <v>0</v>
      </c>
      <c r="L493" s="374">
        <f t="shared" si="139"/>
        <v>-63264978.980000004</v>
      </c>
      <c r="M493" s="374">
        <f t="shared" si="139"/>
        <v>76847639.674999982</v>
      </c>
    </row>
    <row r="494" spans="1:13" ht="14.25" x14ac:dyDescent="0.2">
      <c r="A494" s="370"/>
      <c r="B494" s="370"/>
      <c r="C494" s="1994" t="s">
        <v>1568</v>
      </c>
      <c r="D494" s="1995"/>
      <c r="E494" s="1995"/>
      <c r="F494" s="1995"/>
      <c r="G494" s="1995"/>
      <c r="H494" s="1995"/>
      <c r="I494" s="1996"/>
      <c r="J494" s="372"/>
      <c r="K494" s="377"/>
      <c r="L494" s="378"/>
      <c r="M494" s="379"/>
    </row>
    <row r="495" spans="1:13" x14ac:dyDescent="0.2">
      <c r="A495" s="370"/>
      <c r="B495" s="370"/>
      <c r="C495" s="1994" t="s">
        <v>388</v>
      </c>
      <c r="D495" s="1995"/>
      <c r="E495" s="1995"/>
      <c r="F495" s="1995"/>
      <c r="G495" s="1995"/>
      <c r="H495" s="1995"/>
      <c r="I495" s="1996"/>
      <c r="J495" s="374">
        <f>J493+J494</f>
        <v>-2956295.98</v>
      </c>
      <c r="K495" s="377"/>
      <c r="L495" s="378"/>
      <c r="M495" s="379"/>
    </row>
    <row r="496" spans="1:13" x14ac:dyDescent="0.2">
      <c r="A496" s="1526"/>
      <c r="B496" s="1526"/>
    </row>
    <row r="497" spans="1:13" x14ac:dyDescent="0.2">
      <c r="A497" s="1526"/>
      <c r="B497" s="1526"/>
      <c r="I497" s="380" t="s">
        <v>522</v>
      </c>
      <c r="J497" s="1527"/>
    </row>
    <row r="498" spans="1:13" x14ac:dyDescent="0.2">
      <c r="A498" s="370">
        <v>10</v>
      </c>
      <c r="B498" s="370"/>
      <c r="C498" s="371" t="s">
        <v>389</v>
      </c>
      <c r="I498" s="1527" t="s">
        <v>389</v>
      </c>
      <c r="J498" s="1527"/>
      <c r="K498" s="381">
        <f>+J474</f>
        <v>-157469</v>
      </c>
    </row>
    <row r="499" spans="1:13" x14ac:dyDescent="0.2">
      <c r="A499" s="370">
        <v>8</v>
      </c>
      <c r="B499" s="370"/>
      <c r="C499" s="371" t="s">
        <v>380</v>
      </c>
      <c r="I499" s="1527" t="s">
        <v>380</v>
      </c>
      <c r="J499" s="1527"/>
      <c r="K499" s="381"/>
    </row>
    <row r="500" spans="1:13" x14ac:dyDescent="0.2">
      <c r="A500" s="370">
        <v>8</v>
      </c>
      <c r="B500" s="1551"/>
      <c r="C500" s="363" t="s">
        <v>381</v>
      </c>
      <c r="I500" s="1557" t="s">
        <v>2162</v>
      </c>
      <c r="J500" s="1557"/>
      <c r="K500" s="381">
        <f>+J476</f>
        <v>-6715</v>
      </c>
    </row>
    <row r="501" spans="1:13" x14ac:dyDescent="0.2">
      <c r="A501" s="370">
        <v>8</v>
      </c>
      <c r="B501" s="1551"/>
      <c r="C501" s="363" t="s">
        <v>382</v>
      </c>
      <c r="I501" s="1557" t="s">
        <v>2163</v>
      </c>
      <c r="J501" s="1557"/>
      <c r="K501" s="381">
        <f>+J477</f>
        <v>-9476</v>
      </c>
    </row>
    <row r="502" spans="1:13" x14ac:dyDescent="0.2">
      <c r="A502" s="1526"/>
      <c r="B502" s="1526"/>
      <c r="I502" s="382" t="s">
        <v>390</v>
      </c>
      <c r="K502" s="1844">
        <f>J495-K498-K499-K500-K501</f>
        <v>-2782635.98</v>
      </c>
    </row>
    <row r="503" spans="1:13" x14ac:dyDescent="0.2">
      <c r="A503" s="1526"/>
      <c r="B503" s="1526"/>
      <c r="I503" s="382"/>
      <c r="K503" s="1538"/>
    </row>
    <row r="504" spans="1:13" ht="21" x14ac:dyDescent="0.2">
      <c r="A504" s="1997" t="s">
        <v>1828</v>
      </c>
      <c r="B504" s="1997"/>
      <c r="C504" s="1997"/>
      <c r="D504" s="1997"/>
      <c r="E504" s="1997"/>
      <c r="F504" s="1997"/>
      <c r="G504" s="1997"/>
      <c r="H504" s="1997"/>
      <c r="I504" s="1997"/>
      <c r="J504" s="1997"/>
      <c r="K504" s="1997"/>
      <c r="L504" s="1997"/>
      <c r="M504" s="1997"/>
    </row>
    <row r="505" spans="1:13" x14ac:dyDescent="0.2">
      <c r="A505" s="1526"/>
      <c r="B505" s="1526"/>
      <c r="H505" s="140"/>
    </row>
    <row r="506" spans="1:13" x14ac:dyDescent="0.2">
      <c r="A506" s="1526"/>
      <c r="B506" s="1526"/>
      <c r="E506" s="303" t="s">
        <v>1520</v>
      </c>
      <c r="F506" s="128" t="s">
        <v>152</v>
      </c>
      <c r="H506" s="140"/>
    </row>
    <row r="507" spans="1:13" ht="15" x14ac:dyDescent="0.25">
      <c r="A507" s="1526"/>
      <c r="B507" s="1526"/>
      <c r="C507" s="158"/>
      <c r="E507" s="303" t="s">
        <v>149</v>
      </c>
      <c r="F507" s="343">
        <v>2016</v>
      </c>
      <c r="G507" s="1914" t="s">
        <v>2457</v>
      </c>
    </row>
    <row r="508" spans="1:13" x14ac:dyDescent="0.2">
      <c r="A508" s="1526"/>
      <c r="B508" s="1526"/>
    </row>
    <row r="509" spans="1:13" x14ac:dyDescent="0.2">
      <c r="A509" s="1526"/>
      <c r="B509" s="1526"/>
      <c r="D509" s="1998" t="s">
        <v>355</v>
      </c>
      <c r="E509" s="1999"/>
      <c r="F509" s="1999"/>
      <c r="G509" s="2000"/>
      <c r="I509" s="345"/>
      <c r="J509" s="346" t="s">
        <v>356</v>
      </c>
      <c r="K509" s="346"/>
      <c r="L509" s="347"/>
      <c r="M509" s="342"/>
    </row>
    <row r="510" spans="1:13" ht="25.5" customHeight="1" x14ac:dyDescent="0.2">
      <c r="A510" s="348" t="s">
        <v>1829</v>
      </c>
      <c r="B510" s="348" t="s">
        <v>1831</v>
      </c>
      <c r="C510" s="349" t="s">
        <v>1832</v>
      </c>
      <c r="D510" s="348" t="s">
        <v>325</v>
      </c>
      <c r="E510" s="350" t="s">
        <v>1830</v>
      </c>
      <c r="F510" s="350" t="s">
        <v>353</v>
      </c>
      <c r="G510" s="348" t="s">
        <v>354</v>
      </c>
      <c r="H510" s="351"/>
      <c r="I510" s="352" t="s">
        <v>325</v>
      </c>
      <c r="J510" s="353" t="s">
        <v>326</v>
      </c>
      <c r="K510" s="353" t="s">
        <v>353</v>
      </c>
      <c r="L510" s="354" t="s">
        <v>354</v>
      </c>
      <c r="M510" s="348" t="s">
        <v>393</v>
      </c>
    </row>
    <row r="511" spans="1:13" x14ac:dyDescent="0.2">
      <c r="A511" s="149">
        <v>47</v>
      </c>
      <c r="B511" s="1551">
        <v>1609</v>
      </c>
      <c r="C511" s="355" t="s">
        <v>2159</v>
      </c>
      <c r="D511" s="356">
        <f>+G449</f>
        <v>122349</v>
      </c>
      <c r="E511" s="356"/>
      <c r="F511" s="356"/>
      <c r="G511" s="357">
        <f>D511+E511+F511</f>
        <v>122349</v>
      </c>
      <c r="H511" s="358"/>
      <c r="I511" s="359">
        <f>+L449</f>
        <v>-7642</v>
      </c>
      <c r="J511" s="356">
        <v>-3059</v>
      </c>
      <c r="K511" s="356"/>
      <c r="L511" s="357">
        <f>I511+J511+K511</f>
        <v>-10701</v>
      </c>
      <c r="M511" s="360">
        <f>G511+L511</f>
        <v>111648</v>
      </c>
    </row>
    <row r="512" spans="1:13" ht="25.5" x14ac:dyDescent="0.2">
      <c r="A512" s="149">
        <v>12</v>
      </c>
      <c r="B512" s="1525">
        <v>1611</v>
      </c>
      <c r="C512" s="355" t="s">
        <v>475</v>
      </c>
      <c r="D512" s="356">
        <f t="shared" ref="D512:D550" si="140">+G450</f>
        <v>1314146</v>
      </c>
      <c r="E512" s="356">
        <v>80000</v>
      </c>
      <c r="F512" s="356"/>
      <c r="G512" s="357">
        <f>D512+E512+F512</f>
        <v>1394146</v>
      </c>
      <c r="H512" s="358"/>
      <c r="I512" s="359">
        <f t="shared" ref="I512:I550" si="141">+L450</f>
        <v>-779486</v>
      </c>
      <c r="J512" s="356">
        <v>-177835</v>
      </c>
      <c r="K512" s="356"/>
      <c r="L512" s="357">
        <f>I512+J512+K512</f>
        <v>-957321</v>
      </c>
      <c r="M512" s="360">
        <f>G512+L512</f>
        <v>436825</v>
      </c>
    </row>
    <row r="513" spans="1:13" ht="25.5" x14ac:dyDescent="0.2">
      <c r="A513" s="149" t="s">
        <v>365</v>
      </c>
      <c r="B513" s="1525">
        <v>1612</v>
      </c>
      <c r="C513" s="355" t="s">
        <v>563</v>
      </c>
      <c r="D513" s="356">
        <f t="shared" si="140"/>
        <v>0</v>
      </c>
      <c r="E513" s="356"/>
      <c r="F513" s="356"/>
      <c r="G513" s="357">
        <f>D513+E513+F513</f>
        <v>0</v>
      </c>
      <c r="H513" s="358"/>
      <c r="I513" s="359">
        <f t="shared" si="141"/>
        <v>0</v>
      </c>
      <c r="J513" s="356"/>
      <c r="K513" s="356"/>
      <c r="L513" s="357">
        <f>I513+J513+K513</f>
        <v>0</v>
      </c>
      <c r="M513" s="360">
        <f>G513+L513</f>
        <v>0</v>
      </c>
    </row>
    <row r="514" spans="1:13" x14ac:dyDescent="0.2">
      <c r="A514" s="149" t="s">
        <v>357</v>
      </c>
      <c r="B514" s="361">
        <v>1805</v>
      </c>
      <c r="C514" s="362" t="s">
        <v>358</v>
      </c>
      <c r="D514" s="356">
        <f t="shared" si="140"/>
        <v>69883.360000000001</v>
      </c>
      <c r="E514" s="356"/>
      <c r="F514" s="356"/>
      <c r="G514" s="357">
        <f>D514+E514+F514</f>
        <v>69883.360000000001</v>
      </c>
      <c r="H514" s="358"/>
      <c r="I514" s="359">
        <f t="shared" si="141"/>
        <v>0</v>
      </c>
      <c r="J514" s="356"/>
      <c r="K514" s="356"/>
      <c r="L514" s="357">
        <f>I514+J514+K514</f>
        <v>0</v>
      </c>
      <c r="M514" s="360">
        <f>G514+L514</f>
        <v>69883.360000000001</v>
      </c>
    </row>
    <row r="515" spans="1:13" x14ac:dyDescent="0.2">
      <c r="A515" s="149">
        <v>47</v>
      </c>
      <c r="B515" s="361">
        <v>1808</v>
      </c>
      <c r="C515" s="363" t="s">
        <v>359</v>
      </c>
      <c r="D515" s="356">
        <f t="shared" si="140"/>
        <v>0</v>
      </c>
      <c r="E515" s="356"/>
      <c r="F515" s="356"/>
      <c r="G515" s="357">
        <f t="shared" ref="G515:G550" si="142">D515+E515+F515</f>
        <v>0</v>
      </c>
      <c r="H515" s="358"/>
      <c r="I515" s="359">
        <f t="shared" si="141"/>
        <v>0</v>
      </c>
      <c r="J515" s="356"/>
      <c r="K515" s="356"/>
      <c r="L515" s="357">
        <f t="shared" ref="L515:L550" si="143">I515+J515+K515</f>
        <v>0</v>
      </c>
      <c r="M515" s="360">
        <f t="shared" ref="M515:M550" si="144">G515+L515</f>
        <v>0</v>
      </c>
    </row>
    <row r="516" spans="1:13" x14ac:dyDescent="0.2">
      <c r="A516" s="149">
        <v>13</v>
      </c>
      <c r="B516" s="361">
        <v>1810</v>
      </c>
      <c r="C516" s="363" t="s">
        <v>392</v>
      </c>
      <c r="D516" s="356">
        <f t="shared" si="140"/>
        <v>0</v>
      </c>
      <c r="E516" s="356"/>
      <c r="F516" s="356"/>
      <c r="G516" s="357">
        <f t="shared" si="142"/>
        <v>0</v>
      </c>
      <c r="H516" s="358"/>
      <c r="I516" s="359">
        <f t="shared" si="141"/>
        <v>0</v>
      </c>
      <c r="J516" s="356"/>
      <c r="K516" s="356"/>
      <c r="L516" s="357">
        <f t="shared" si="143"/>
        <v>0</v>
      </c>
      <c r="M516" s="360">
        <f t="shared" si="144"/>
        <v>0</v>
      </c>
    </row>
    <row r="517" spans="1:13" x14ac:dyDescent="0.2">
      <c r="A517" s="149">
        <v>47</v>
      </c>
      <c r="B517" s="361">
        <v>1815</v>
      </c>
      <c r="C517" s="363" t="s">
        <v>360</v>
      </c>
      <c r="D517" s="356">
        <f t="shared" si="140"/>
        <v>0</v>
      </c>
      <c r="E517" s="356"/>
      <c r="F517" s="356"/>
      <c r="G517" s="357">
        <f t="shared" si="142"/>
        <v>0</v>
      </c>
      <c r="H517" s="358"/>
      <c r="I517" s="359">
        <f t="shared" si="141"/>
        <v>0</v>
      </c>
      <c r="J517" s="356"/>
      <c r="K517" s="356"/>
      <c r="L517" s="357">
        <f t="shared" si="143"/>
        <v>0</v>
      </c>
      <c r="M517" s="360">
        <f t="shared" si="144"/>
        <v>0</v>
      </c>
    </row>
    <row r="518" spans="1:13" x14ac:dyDescent="0.2">
      <c r="A518" s="149">
        <v>47</v>
      </c>
      <c r="B518" s="361">
        <v>1820</v>
      </c>
      <c r="C518" s="355" t="s">
        <v>287</v>
      </c>
      <c r="D518" s="356">
        <f t="shared" si="140"/>
        <v>1516191.65</v>
      </c>
      <c r="E518" s="356"/>
      <c r="F518" s="356"/>
      <c r="G518" s="357">
        <f t="shared" si="142"/>
        <v>1516191.65</v>
      </c>
      <c r="H518" s="358"/>
      <c r="I518" s="359">
        <f t="shared" si="141"/>
        <v>-1472775</v>
      </c>
      <c r="J518" s="356">
        <v>-23011</v>
      </c>
      <c r="K518" s="356"/>
      <c r="L518" s="357">
        <f t="shared" si="143"/>
        <v>-1495786</v>
      </c>
      <c r="M518" s="360">
        <f t="shared" si="144"/>
        <v>20405.649999999907</v>
      </c>
    </row>
    <row r="519" spans="1:13" x14ac:dyDescent="0.2">
      <c r="A519" s="149">
        <v>47</v>
      </c>
      <c r="B519" s="361">
        <v>1825</v>
      </c>
      <c r="C519" s="363" t="s">
        <v>361</v>
      </c>
      <c r="D519" s="356">
        <f t="shared" si="140"/>
        <v>0</v>
      </c>
      <c r="E519" s="356"/>
      <c r="F519" s="356"/>
      <c r="G519" s="357">
        <f t="shared" si="142"/>
        <v>0</v>
      </c>
      <c r="H519" s="358"/>
      <c r="I519" s="359">
        <f t="shared" si="141"/>
        <v>0</v>
      </c>
      <c r="J519" s="356"/>
      <c r="K519" s="356"/>
      <c r="L519" s="357">
        <f t="shared" si="143"/>
        <v>0</v>
      </c>
      <c r="M519" s="360">
        <f t="shared" si="144"/>
        <v>0</v>
      </c>
    </row>
    <row r="520" spans="1:13" x14ac:dyDescent="0.2">
      <c r="A520" s="149">
        <v>47</v>
      </c>
      <c r="B520" s="361">
        <v>1830</v>
      </c>
      <c r="C520" s="363" t="s">
        <v>362</v>
      </c>
      <c r="D520" s="356">
        <f t="shared" si="140"/>
        <v>32292840.210000001</v>
      </c>
      <c r="E520" s="356">
        <f>+'[12]2016T'!$E$17</f>
        <v>2089184.1750421943</v>
      </c>
      <c r="F520" s="356"/>
      <c r="G520" s="357">
        <f t="shared" si="142"/>
        <v>34382024.385042198</v>
      </c>
      <c r="H520" s="358"/>
      <c r="I520" s="359">
        <f t="shared" si="141"/>
        <v>-11024364</v>
      </c>
      <c r="J520" s="356">
        <f>+'[12]2016T'!$J$17</f>
        <v>-414331.66544788261</v>
      </c>
      <c r="K520" s="356"/>
      <c r="L520" s="357">
        <f t="shared" si="143"/>
        <v>-11438695.665447883</v>
      </c>
      <c r="M520" s="360">
        <f t="shared" si="144"/>
        <v>22943328.719594315</v>
      </c>
    </row>
    <row r="521" spans="1:13" x14ac:dyDescent="0.2">
      <c r="A521" s="149">
        <v>47</v>
      </c>
      <c r="B521" s="361">
        <v>1835</v>
      </c>
      <c r="C521" s="363" t="s">
        <v>288</v>
      </c>
      <c r="D521" s="356">
        <f t="shared" si="140"/>
        <v>23911928.809999995</v>
      </c>
      <c r="E521" s="356">
        <v>1926976</v>
      </c>
      <c r="F521" s="356"/>
      <c r="G521" s="357">
        <f t="shared" si="142"/>
        <v>25838904.809999995</v>
      </c>
      <c r="H521" s="358"/>
      <c r="I521" s="359">
        <f t="shared" si="141"/>
        <v>-12996911</v>
      </c>
      <c r="J521" s="356">
        <f>+'[12]2016T'!$J$18</f>
        <v>-488466.43499656185</v>
      </c>
      <c r="K521" s="356"/>
      <c r="L521" s="357">
        <f t="shared" si="143"/>
        <v>-13485377.434996562</v>
      </c>
      <c r="M521" s="360">
        <f t="shared" si="144"/>
        <v>12353527.375003433</v>
      </c>
    </row>
    <row r="522" spans="1:13" x14ac:dyDescent="0.2">
      <c r="A522" s="149">
        <v>47</v>
      </c>
      <c r="B522" s="361">
        <v>1840</v>
      </c>
      <c r="C522" s="363" t="s">
        <v>289</v>
      </c>
      <c r="D522" s="356">
        <f t="shared" si="140"/>
        <v>27407823.84</v>
      </c>
      <c r="E522" s="356">
        <v>1792153</v>
      </c>
      <c r="F522" s="356"/>
      <c r="G522" s="357">
        <f t="shared" si="142"/>
        <v>29199976.84</v>
      </c>
      <c r="H522" s="358"/>
      <c r="I522" s="359">
        <f t="shared" si="141"/>
        <v>-8906559</v>
      </c>
      <c r="J522" s="356">
        <v>-530774</v>
      </c>
      <c r="K522" s="356"/>
      <c r="L522" s="357">
        <f t="shared" si="143"/>
        <v>-9437333</v>
      </c>
      <c r="M522" s="360">
        <f t="shared" si="144"/>
        <v>19762643.84</v>
      </c>
    </row>
    <row r="523" spans="1:13" x14ac:dyDescent="0.2">
      <c r="A523" s="149">
        <v>47</v>
      </c>
      <c r="B523" s="361">
        <v>1845</v>
      </c>
      <c r="C523" s="363" t="s">
        <v>290</v>
      </c>
      <c r="D523" s="356">
        <f t="shared" si="140"/>
        <v>19512696.969999999</v>
      </c>
      <c r="E523" s="356">
        <v>1152391</v>
      </c>
      <c r="F523" s="356"/>
      <c r="G523" s="357">
        <f t="shared" si="142"/>
        <v>20665087.969999999</v>
      </c>
      <c r="H523" s="358"/>
      <c r="I523" s="359">
        <f t="shared" si="141"/>
        <v>-7864441</v>
      </c>
      <c r="J523" s="356">
        <v>-468585</v>
      </c>
      <c r="K523" s="356"/>
      <c r="L523" s="357">
        <f t="shared" si="143"/>
        <v>-8333026</v>
      </c>
      <c r="M523" s="360">
        <f t="shared" si="144"/>
        <v>12332061.969999999</v>
      </c>
    </row>
    <row r="524" spans="1:13" x14ac:dyDescent="0.2">
      <c r="A524" s="149">
        <v>47</v>
      </c>
      <c r="B524" s="361">
        <v>1850</v>
      </c>
      <c r="C524" s="363" t="s">
        <v>363</v>
      </c>
      <c r="D524" s="356">
        <f t="shared" si="140"/>
        <v>38768630.070000008</v>
      </c>
      <c r="E524" s="356">
        <v>1130764</v>
      </c>
      <c r="F524" s="356"/>
      <c r="G524" s="357">
        <f t="shared" si="142"/>
        <v>39899394.070000008</v>
      </c>
      <c r="H524" s="358"/>
      <c r="I524" s="359">
        <f t="shared" si="141"/>
        <v>-18753373</v>
      </c>
      <c r="J524" s="356">
        <v>-737912</v>
      </c>
      <c r="K524" s="356"/>
      <c r="L524" s="357">
        <f t="shared" si="143"/>
        <v>-19491285</v>
      </c>
      <c r="M524" s="360">
        <f t="shared" si="144"/>
        <v>20408109.070000008</v>
      </c>
    </row>
    <row r="525" spans="1:13" x14ac:dyDescent="0.2">
      <c r="A525" s="149">
        <v>47</v>
      </c>
      <c r="B525" s="361">
        <v>1855</v>
      </c>
      <c r="C525" s="363" t="s">
        <v>291</v>
      </c>
      <c r="D525" s="356">
        <f t="shared" si="140"/>
        <v>15425695.449999999</v>
      </c>
      <c r="E525" s="356">
        <v>1080520</v>
      </c>
      <c r="F525" s="356"/>
      <c r="G525" s="357">
        <f t="shared" si="142"/>
        <v>16506215.449999999</v>
      </c>
      <c r="H525" s="358"/>
      <c r="I525" s="359">
        <f t="shared" si="141"/>
        <v>-4202139</v>
      </c>
      <c r="J525" s="356">
        <v>-265028</v>
      </c>
      <c r="K525" s="356"/>
      <c r="L525" s="357">
        <f t="shared" si="143"/>
        <v>-4467167</v>
      </c>
      <c r="M525" s="360">
        <f t="shared" si="144"/>
        <v>12039048.449999999</v>
      </c>
    </row>
    <row r="526" spans="1:13" x14ac:dyDescent="0.2">
      <c r="A526" s="149">
        <v>47</v>
      </c>
      <c r="B526" s="361">
        <v>1860</v>
      </c>
      <c r="C526" s="363" t="s">
        <v>364</v>
      </c>
      <c r="D526" s="356">
        <f t="shared" si="140"/>
        <v>0</v>
      </c>
      <c r="E526" s="356"/>
      <c r="F526" s="356"/>
      <c r="G526" s="357">
        <f t="shared" si="142"/>
        <v>0</v>
      </c>
      <c r="H526" s="358"/>
      <c r="I526" s="359">
        <f t="shared" si="141"/>
        <v>0</v>
      </c>
      <c r="J526" s="356"/>
      <c r="K526" s="356"/>
      <c r="L526" s="357">
        <f t="shared" si="143"/>
        <v>0</v>
      </c>
      <c r="M526" s="360">
        <f t="shared" si="144"/>
        <v>0</v>
      </c>
    </row>
    <row r="527" spans="1:13" x14ac:dyDescent="0.2">
      <c r="A527" s="149">
        <v>47</v>
      </c>
      <c r="B527" s="361">
        <v>1860</v>
      </c>
      <c r="C527" s="362" t="s">
        <v>292</v>
      </c>
      <c r="D527" s="356">
        <f t="shared" si="140"/>
        <v>11911220.719999999</v>
      </c>
      <c r="E527" s="356">
        <v>293926</v>
      </c>
      <c r="F527" s="356"/>
      <c r="G527" s="357">
        <f t="shared" si="142"/>
        <v>12205146.719999999</v>
      </c>
      <c r="H527" s="358"/>
      <c r="I527" s="359">
        <f t="shared" si="141"/>
        <v>-6183333</v>
      </c>
      <c r="J527" s="356">
        <v>-741734</v>
      </c>
      <c r="K527" s="356"/>
      <c r="L527" s="357">
        <f t="shared" si="143"/>
        <v>-6925067</v>
      </c>
      <c r="M527" s="360">
        <f t="shared" si="144"/>
        <v>5280079.7199999988</v>
      </c>
    </row>
    <row r="528" spans="1:13" x14ac:dyDescent="0.2">
      <c r="A528" s="149" t="s">
        <v>357</v>
      </c>
      <c r="B528" s="361">
        <v>1905</v>
      </c>
      <c r="C528" s="362" t="s">
        <v>358</v>
      </c>
      <c r="D528" s="356">
        <f t="shared" si="140"/>
        <v>4072786.7649999997</v>
      </c>
      <c r="E528" s="356"/>
      <c r="F528" s="356"/>
      <c r="G528" s="357">
        <f t="shared" si="142"/>
        <v>4072786.7649999997</v>
      </c>
      <c r="H528" s="358"/>
      <c r="I528" s="359">
        <f t="shared" si="141"/>
        <v>0</v>
      </c>
      <c r="J528" s="356"/>
      <c r="K528" s="356"/>
      <c r="L528" s="357">
        <f t="shared" si="143"/>
        <v>0</v>
      </c>
      <c r="M528" s="360">
        <f t="shared" si="144"/>
        <v>4072786.7649999997</v>
      </c>
    </row>
    <row r="529" spans="1:13" x14ac:dyDescent="0.2">
      <c r="A529" s="149">
        <v>47</v>
      </c>
      <c r="B529" s="361">
        <v>1908</v>
      </c>
      <c r="C529" s="363" t="s">
        <v>366</v>
      </c>
      <c r="D529" s="356">
        <f t="shared" si="140"/>
        <v>8524798</v>
      </c>
      <c r="E529" s="356"/>
      <c r="F529" s="356"/>
      <c r="G529" s="357">
        <f t="shared" si="142"/>
        <v>8524798</v>
      </c>
      <c r="H529" s="358"/>
      <c r="I529" s="359">
        <f t="shared" si="141"/>
        <v>-85247.98</v>
      </c>
      <c r="J529" s="356">
        <f>+'[12]2016T'!$J$26</f>
        <v>-170495.96</v>
      </c>
      <c r="K529" s="356"/>
      <c r="L529" s="357">
        <f t="shared" si="143"/>
        <v>-255743.94</v>
      </c>
      <c r="M529" s="360">
        <f t="shared" si="144"/>
        <v>8269054.0599999996</v>
      </c>
    </row>
    <row r="530" spans="1:13" x14ac:dyDescent="0.2">
      <c r="A530" s="149">
        <v>13</v>
      </c>
      <c r="B530" s="361">
        <v>1910</v>
      </c>
      <c r="C530" s="363" t="s">
        <v>392</v>
      </c>
      <c r="D530" s="356">
        <f t="shared" si="140"/>
        <v>377009</v>
      </c>
      <c r="E530" s="356"/>
      <c r="F530" s="356"/>
      <c r="G530" s="357">
        <f t="shared" si="142"/>
        <v>377009</v>
      </c>
      <c r="H530" s="358"/>
      <c r="I530" s="359">
        <f t="shared" si="141"/>
        <v>-377009</v>
      </c>
      <c r="J530" s="356"/>
      <c r="K530" s="356"/>
      <c r="L530" s="357">
        <f t="shared" si="143"/>
        <v>-377009</v>
      </c>
      <c r="M530" s="360">
        <f t="shared" si="144"/>
        <v>0</v>
      </c>
    </row>
    <row r="531" spans="1:13" x14ac:dyDescent="0.2">
      <c r="A531" s="149">
        <v>8</v>
      </c>
      <c r="B531" s="361">
        <v>1915</v>
      </c>
      <c r="C531" s="363" t="s">
        <v>293</v>
      </c>
      <c r="D531" s="356">
        <f t="shared" si="140"/>
        <v>1114887</v>
      </c>
      <c r="E531" s="356"/>
      <c r="F531" s="356"/>
      <c r="G531" s="357">
        <f t="shared" si="142"/>
        <v>1114887</v>
      </c>
      <c r="H531" s="358"/>
      <c r="I531" s="359">
        <f t="shared" si="141"/>
        <v>-657675</v>
      </c>
      <c r="J531" s="356">
        <v>-40000</v>
      </c>
      <c r="K531" s="356"/>
      <c r="L531" s="357">
        <f t="shared" si="143"/>
        <v>-697675</v>
      </c>
      <c r="M531" s="360">
        <f t="shared" si="144"/>
        <v>417212</v>
      </c>
    </row>
    <row r="532" spans="1:13" x14ac:dyDescent="0.2">
      <c r="A532" s="149">
        <v>8</v>
      </c>
      <c r="B532" s="361">
        <v>1915</v>
      </c>
      <c r="C532" s="363" t="s">
        <v>294</v>
      </c>
      <c r="D532" s="356">
        <f t="shared" si="140"/>
        <v>0</v>
      </c>
      <c r="E532" s="356"/>
      <c r="F532" s="356"/>
      <c r="G532" s="357">
        <f t="shared" si="142"/>
        <v>0</v>
      </c>
      <c r="H532" s="358"/>
      <c r="I532" s="359">
        <f t="shared" si="141"/>
        <v>0</v>
      </c>
      <c r="J532" s="356"/>
      <c r="K532" s="356"/>
      <c r="L532" s="357">
        <f t="shared" si="143"/>
        <v>0</v>
      </c>
      <c r="M532" s="360">
        <f t="shared" si="144"/>
        <v>0</v>
      </c>
    </row>
    <row r="533" spans="1:13" x14ac:dyDescent="0.2">
      <c r="A533" s="149">
        <v>10</v>
      </c>
      <c r="B533" s="361">
        <v>1920</v>
      </c>
      <c r="C533" s="363" t="s">
        <v>295</v>
      </c>
      <c r="D533" s="356">
        <f t="shared" si="140"/>
        <v>1998765</v>
      </c>
      <c r="E533" s="356">
        <v>98000</v>
      </c>
      <c r="F533" s="356"/>
      <c r="G533" s="357">
        <f t="shared" si="142"/>
        <v>2096765</v>
      </c>
      <c r="H533" s="358"/>
      <c r="I533" s="359">
        <f t="shared" si="141"/>
        <v>-1712084</v>
      </c>
      <c r="J533" s="356">
        <v>-107997</v>
      </c>
      <c r="K533" s="356"/>
      <c r="L533" s="357">
        <f t="shared" si="143"/>
        <v>-1820081</v>
      </c>
      <c r="M533" s="360">
        <f t="shared" si="144"/>
        <v>276684</v>
      </c>
    </row>
    <row r="534" spans="1:13" ht="25.5" x14ac:dyDescent="0.2">
      <c r="A534" s="149">
        <v>45</v>
      </c>
      <c r="B534" s="364">
        <v>1920</v>
      </c>
      <c r="C534" s="355" t="s">
        <v>297</v>
      </c>
      <c r="D534" s="356">
        <f t="shared" si="140"/>
        <v>0</v>
      </c>
      <c r="E534" s="356"/>
      <c r="F534" s="356"/>
      <c r="G534" s="357">
        <f t="shared" si="142"/>
        <v>0</v>
      </c>
      <c r="H534" s="358"/>
      <c r="I534" s="359">
        <f t="shared" si="141"/>
        <v>0</v>
      </c>
      <c r="J534" s="356"/>
      <c r="K534" s="356"/>
      <c r="L534" s="357">
        <f t="shared" si="143"/>
        <v>0</v>
      </c>
      <c r="M534" s="360">
        <f t="shared" si="144"/>
        <v>0</v>
      </c>
    </row>
    <row r="535" spans="1:13" ht="25.5" x14ac:dyDescent="0.2">
      <c r="A535" s="149">
        <v>45.1</v>
      </c>
      <c r="B535" s="364">
        <v>1920</v>
      </c>
      <c r="C535" s="355" t="s">
        <v>296</v>
      </c>
      <c r="D535" s="356">
        <f t="shared" si="140"/>
        <v>0</v>
      </c>
      <c r="E535" s="356"/>
      <c r="F535" s="356"/>
      <c r="G535" s="357">
        <f t="shared" si="142"/>
        <v>0</v>
      </c>
      <c r="H535" s="358"/>
      <c r="I535" s="359">
        <f t="shared" si="141"/>
        <v>0</v>
      </c>
      <c r="J535" s="356"/>
      <c r="K535" s="356"/>
      <c r="L535" s="357">
        <f t="shared" si="143"/>
        <v>0</v>
      </c>
      <c r="M535" s="360">
        <f t="shared" si="144"/>
        <v>0</v>
      </c>
    </row>
    <row r="536" spans="1:13" x14ac:dyDescent="0.2">
      <c r="A536" s="149">
        <v>10</v>
      </c>
      <c r="B536" s="1525">
        <v>1930</v>
      </c>
      <c r="C536" s="363" t="s">
        <v>379</v>
      </c>
      <c r="D536" s="356">
        <f t="shared" si="140"/>
        <v>3101857.17</v>
      </c>
      <c r="E536" s="356">
        <v>645000</v>
      </c>
      <c r="F536" s="356"/>
      <c r="G536" s="357">
        <f t="shared" si="142"/>
        <v>3746857.17</v>
      </c>
      <c r="H536" s="358"/>
      <c r="I536" s="359">
        <f t="shared" si="141"/>
        <v>-1637067</v>
      </c>
      <c r="J536" s="356">
        <v>-208004</v>
      </c>
      <c r="K536" s="356"/>
      <c r="L536" s="357">
        <f t="shared" si="143"/>
        <v>-1845071</v>
      </c>
      <c r="M536" s="360">
        <f t="shared" si="144"/>
        <v>1901786.17</v>
      </c>
    </row>
    <row r="537" spans="1:13" x14ac:dyDescent="0.2">
      <c r="A537" s="149">
        <v>8</v>
      </c>
      <c r="B537" s="1525">
        <v>1935</v>
      </c>
      <c r="C537" s="363" t="s">
        <v>380</v>
      </c>
      <c r="D537" s="356">
        <f t="shared" si="140"/>
        <v>359665.32</v>
      </c>
      <c r="E537" s="356">
        <v>43680</v>
      </c>
      <c r="F537" s="356"/>
      <c r="G537" s="357">
        <f t="shared" si="142"/>
        <v>403345.32</v>
      </c>
      <c r="H537" s="358"/>
      <c r="I537" s="359">
        <f t="shared" si="141"/>
        <v>-193687</v>
      </c>
      <c r="J537" s="356">
        <v>-12369</v>
      </c>
      <c r="K537" s="356"/>
      <c r="L537" s="357">
        <f t="shared" si="143"/>
        <v>-206056</v>
      </c>
      <c r="M537" s="360">
        <f t="shared" si="144"/>
        <v>197289.32</v>
      </c>
    </row>
    <row r="538" spans="1:13" x14ac:dyDescent="0.2">
      <c r="A538" s="149">
        <v>8</v>
      </c>
      <c r="B538" s="1525">
        <v>1940</v>
      </c>
      <c r="C538" s="363" t="s">
        <v>381</v>
      </c>
      <c r="D538" s="356">
        <f t="shared" si="140"/>
        <v>449044.39999999997</v>
      </c>
      <c r="E538" s="356">
        <v>29500</v>
      </c>
      <c r="F538" s="356"/>
      <c r="G538" s="357">
        <f t="shared" si="142"/>
        <v>478544.39999999997</v>
      </c>
      <c r="H538" s="358"/>
      <c r="I538" s="359">
        <f t="shared" si="141"/>
        <v>-397892</v>
      </c>
      <c r="J538" s="356">
        <v>-8639</v>
      </c>
      <c r="K538" s="356"/>
      <c r="L538" s="357">
        <f t="shared" si="143"/>
        <v>-406531</v>
      </c>
      <c r="M538" s="360">
        <f t="shared" si="144"/>
        <v>72013.399999999965</v>
      </c>
    </row>
    <row r="539" spans="1:13" x14ac:dyDescent="0.2">
      <c r="A539" s="149">
        <v>8</v>
      </c>
      <c r="B539" s="1525">
        <v>1945</v>
      </c>
      <c r="C539" s="363" t="s">
        <v>382</v>
      </c>
      <c r="D539" s="356">
        <f t="shared" si="140"/>
        <v>126480.83</v>
      </c>
      <c r="E539" s="356"/>
      <c r="F539" s="356"/>
      <c r="G539" s="357">
        <f t="shared" si="142"/>
        <v>126480.83</v>
      </c>
      <c r="H539" s="358"/>
      <c r="I539" s="359">
        <f t="shared" si="141"/>
        <v>-61991</v>
      </c>
      <c r="J539" s="356">
        <v>-9476</v>
      </c>
      <c r="K539" s="356"/>
      <c r="L539" s="357">
        <f t="shared" si="143"/>
        <v>-71467</v>
      </c>
      <c r="M539" s="360">
        <f t="shared" si="144"/>
        <v>55013.83</v>
      </c>
    </row>
    <row r="540" spans="1:13" x14ac:dyDescent="0.2">
      <c r="A540" s="149">
        <v>8</v>
      </c>
      <c r="B540" s="1525">
        <v>1950</v>
      </c>
      <c r="C540" s="363" t="s">
        <v>298</v>
      </c>
      <c r="D540" s="356">
        <f t="shared" si="140"/>
        <v>0</v>
      </c>
      <c r="E540" s="356"/>
      <c r="F540" s="356"/>
      <c r="G540" s="357">
        <f t="shared" si="142"/>
        <v>0</v>
      </c>
      <c r="H540" s="358"/>
      <c r="I540" s="359">
        <f t="shared" si="141"/>
        <v>0</v>
      </c>
      <c r="J540" s="356"/>
      <c r="K540" s="356"/>
      <c r="L540" s="357">
        <f t="shared" si="143"/>
        <v>0</v>
      </c>
      <c r="M540" s="360">
        <f t="shared" si="144"/>
        <v>0</v>
      </c>
    </row>
    <row r="541" spans="1:13" x14ac:dyDescent="0.2">
      <c r="A541" s="149">
        <v>8</v>
      </c>
      <c r="B541" s="1525">
        <v>1955</v>
      </c>
      <c r="C541" s="363" t="s">
        <v>383</v>
      </c>
      <c r="D541" s="356">
        <f t="shared" si="140"/>
        <v>629020.82000000007</v>
      </c>
      <c r="E541" s="356">
        <v>805000</v>
      </c>
      <c r="F541" s="356"/>
      <c r="G541" s="357">
        <f t="shared" si="142"/>
        <v>1434020.82</v>
      </c>
      <c r="H541" s="358"/>
      <c r="I541" s="359">
        <f t="shared" si="141"/>
        <v>-245307</v>
      </c>
      <c r="J541" s="356">
        <v>-103497</v>
      </c>
      <c r="K541" s="356"/>
      <c r="L541" s="357">
        <f t="shared" si="143"/>
        <v>-348804</v>
      </c>
      <c r="M541" s="360">
        <f t="shared" si="144"/>
        <v>1085216.82</v>
      </c>
    </row>
    <row r="542" spans="1:13" x14ac:dyDescent="0.2">
      <c r="A542" s="366">
        <v>8</v>
      </c>
      <c r="B542" s="364">
        <v>1955</v>
      </c>
      <c r="C542" s="367" t="s">
        <v>299</v>
      </c>
      <c r="D542" s="356">
        <f t="shared" si="140"/>
        <v>0</v>
      </c>
      <c r="E542" s="356"/>
      <c r="F542" s="356"/>
      <c r="G542" s="357">
        <f t="shared" si="142"/>
        <v>0</v>
      </c>
      <c r="H542" s="358"/>
      <c r="I542" s="359">
        <f t="shared" si="141"/>
        <v>0</v>
      </c>
      <c r="J542" s="356"/>
      <c r="K542" s="356"/>
      <c r="L542" s="357">
        <f t="shared" si="143"/>
        <v>0</v>
      </c>
      <c r="M542" s="360">
        <f t="shared" si="144"/>
        <v>0</v>
      </c>
    </row>
    <row r="543" spans="1:13" x14ac:dyDescent="0.2">
      <c r="A543" s="366">
        <v>8</v>
      </c>
      <c r="B543" s="368">
        <v>1960</v>
      </c>
      <c r="C543" s="355" t="s">
        <v>300</v>
      </c>
      <c r="D543" s="356">
        <f t="shared" si="140"/>
        <v>0</v>
      </c>
      <c r="E543" s="356"/>
      <c r="F543" s="356"/>
      <c r="G543" s="357">
        <f t="shared" si="142"/>
        <v>0</v>
      </c>
      <c r="H543" s="358"/>
      <c r="I543" s="359">
        <f t="shared" si="141"/>
        <v>0</v>
      </c>
      <c r="J543" s="356"/>
      <c r="K543" s="356"/>
      <c r="L543" s="357">
        <f t="shared" si="143"/>
        <v>0</v>
      </c>
      <c r="M543" s="360">
        <f t="shared" si="144"/>
        <v>0</v>
      </c>
    </row>
    <row r="544" spans="1:13" ht="25.5" x14ac:dyDescent="0.2">
      <c r="A544" s="369">
        <v>47</v>
      </c>
      <c r="B544" s="368">
        <v>1970</v>
      </c>
      <c r="C544" s="363" t="s">
        <v>649</v>
      </c>
      <c r="D544" s="356">
        <f t="shared" si="140"/>
        <v>0</v>
      </c>
      <c r="E544" s="356"/>
      <c r="F544" s="356"/>
      <c r="G544" s="357">
        <f t="shared" si="142"/>
        <v>0</v>
      </c>
      <c r="H544" s="358"/>
      <c r="I544" s="359">
        <f t="shared" si="141"/>
        <v>0</v>
      </c>
      <c r="J544" s="356"/>
      <c r="K544" s="356"/>
      <c r="L544" s="357">
        <f t="shared" si="143"/>
        <v>0</v>
      </c>
      <c r="M544" s="360">
        <f t="shared" si="144"/>
        <v>0</v>
      </c>
    </row>
    <row r="545" spans="1:13" ht="25.5" x14ac:dyDescent="0.2">
      <c r="A545" s="149">
        <v>47</v>
      </c>
      <c r="B545" s="1525">
        <v>1975</v>
      </c>
      <c r="C545" s="363" t="s">
        <v>384</v>
      </c>
      <c r="D545" s="356">
        <f t="shared" si="140"/>
        <v>0</v>
      </c>
      <c r="E545" s="356"/>
      <c r="F545" s="356"/>
      <c r="G545" s="357">
        <f t="shared" si="142"/>
        <v>0</v>
      </c>
      <c r="H545" s="358"/>
      <c r="I545" s="359">
        <f t="shared" si="141"/>
        <v>0</v>
      </c>
      <c r="J545" s="356"/>
      <c r="K545" s="356"/>
      <c r="L545" s="357">
        <f t="shared" si="143"/>
        <v>0</v>
      </c>
      <c r="M545" s="360">
        <f t="shared" si="144"/>
        <v>0</v>
      </c>
    </row>
    <row r="546" spans="1:13" x14ac:dyDescent="0.2">
      <c r="A546" s="149">
        <v>47</v>
      </c>
      <c r="B546" s="1525">
        <v>1980</v>
      </c>
      <c r="C546" s="363" t="s">
        <v>385</v>
      </c>
      <c r="D546" s="356">
        <f t="shared" si="140"/>
        <v>122172</v>
      </c>
      <c r="E546" s="356"/>
      <c r="F546" s="356"/>
      <c r="G546" s="357">
        <f t="shared" si="142"/>
        <v>122172</v>
      </c>
      <c r="H546" s="358"/>
      <c r="I546" s="359">
        <f t="shared" si="141"/>
        <v>-53118</v>
      </c>
      <c r="J546" s="356">
        <v>-5375</v>
      </c>
      <c r="K546" s="356"/>
      <c r="L546" s="357">
        <f t="shared" si="143"/>
        <v>-58493</v>
      </c>
      <c r="M546" s="360">
        <f t="shared" si="144"/>
        <v>63679</v>
      </c>
    </row>
    <row r="547" spans="1:13" x14ac:dyDescent="0.2">
      <c r="A547" s="149">
        <v>47</v>
      </c>
      <c r="B547" s="1525">
        <v>1985</v>
      </c>
      <c r="C547" s="363" t="s">
        <v>386</v>
      </c>
      <c r="D547" s="356">
        <f t="shared" si="140"/>
        <v>0</v>
      </c>
      <c r="E547" s="356"/>
      <c r="F547" s="356"/>
      <c r="G547" s="357">
        <f t="shared" si="142"/>
        <v>0</v>
      </c>
      <c r="H547" s="358"/>
      <c r="I547" s="359">
        <f t="shared" si="141"/>
        <v>0</v>
      </c>
      <c r="J547" s="356"/>
      <c r="K547" s="356"/>
      <c r="L547" s="357">
        <f t="shared" si="143"/>
        <v>0</v>
      </c>
      <c r="M547" s="360">
        <f t="shared" si="144"/>
        <v>0</v>
      </c>
    </row>
    <row r="548" spans="1:13" x14ac:dyDescent="0.2">
      <c r="A548" s="369">
        <v>47</v>
      </c>
      <c r="B548" s="1525">
        <v>1990</v>
      </c>
      <c r="C548" s="1524" t="s">
        <v>650</v>
      </c>
      <c r="D548" s="356">
        <f t="shared" si="140"/>
        <v>133004.10999999999</v>
      </c>
      <c r="E548" s="356"/>
      <c r="F548" s="356"/>
      <c r="G548" s="357">
        <f t="shared" si="142"/>
        <v>133004.10999999999</v>
      </c>
      <c r="H548" s="358"/>
      <c r="I548" s="359">
        <f t="shared" si="141"/>
        <v>-60307</v>
      </c>
      <c r="J548" s="356">
        <v>-13301</v>
      </c>
      <c r="K548" s="356"/>
      <c r="L548" s="357">
        <f t="shared" si="143"/>
        <v>-73608</v>
      </c>
      <c r="M548" s="360">
        <f t="shared" si="144"/>
        <v>59396.109999999986</v>
      </c>
    </row>
    <row r="549" spans="1:13" x14ac:dyDescent="0.2">
      <c r="A549" s="149">
        <v>47</v>
      </c>
      <c r="B549" s="1525">
        <v>1995</v>
      </c>
      <c r="C549" s="363" t="s">
        <v>387</v>
      </c>
      <c r="D549" s="356">
        <f t="shared" si="140"/>
        <v>0</v>
      </c>
      <c r="E549" s="356"/>
      <c r="F549" s="356"/>
      <c r="G549" s="357">
        <f t="shared" si="142"/>
        <v>0</v>
      </c>
      <c r="H549" s="358"/>
      <c r="I549" s="359">
        <f t="shared" si="141"/>
        <v>0</v>
      </c>
      <c r="J549" s="356"/>
      <c r="K549" s="356"/>
      <c r="L549" s="357">
        <f t="shared" si="143"/>
        <v>0</v>
      </c>
      <c r="M549" s="360">
        <f t="shared" si="144"/>
        <v>0</v>
      </c>
    </row>
    <row r="550" spans="1:13" ht="14.25" x14ac:dyDescent="0.2">
      <c r="A550" s="149">
        <v>47</v>
      </c>
      <c r="B550" s="1525">
        <v>2440</v>
      </c>
      <c r="C550" s="363" t="s">
        <v>1638</v>
      </c>
      <c r="D550" s="356">
        <f t="shared" si="140"/>
        <v>-53150277.840000004</v>
      </c>
      <c r="E550" s="356">
        <v>-3808361</v>
      </c>
      <c r="F550" s="356"/>
      <c r="G550" s="357">
        <f t="shared" si="142"/>
        <v>-56958638.840000004</v>
      </c>
      <c r="I550" s="359">
        <f t="shared" si="141"/>
        <v>14407429</v>
      </c>
      <c r="J550" s="356">
        <v>1163311</v>
      </c>
      <c r="K550" s="356"/>
      <c r="L550" s="357">
        <f t="shared" si="143"/>
        <v>15570740</v>
      </c>
      <c r="M550" s="360">
        <f t="shared" si="144"/>
        <v>-41387898.840000004</v>
      </c>
    </row>
    <row r="551" spans="1:13" x14ac:dyDescent="0.2">
      <c r="A551" s="370"/>
      <c r="B551" s="370"/>
      <c r="C551" s="371"/>
      <c r="D551" s="372"/>
      <c r="E551" s="372"/>
      <c r="F551" s="372"/>
      <c r="G551" s="357">
        <f t="shared" ref="G551" si="145">D551+E551+F551</f>
        <v>0</v>
      </c>
      <c r="I551" s="372"/>
      <c r="J551" s="372"/>
      <c r="K551" s="372"/>
      <c r="L551" s="357">
        <f t="shared" ref="L551" si="146">I551+J551+K551</f>
        <v>0</v>
      </c>
      <c r="M551" s="360">
        <f t="shared" ref="M551" si="147">G551+L551</f>
        <v>0</v>
      </c>
    </row>
    <row r="552" spans="1:13" x14ac:dyDescent="0.2">
      <c r="A552" s="370"/>
      <c r="B552" s="370"/>
      <c r="C552" s="373" t="s">
        <v>268</v>
      </c>
      <c r="D552" s="374">
        <f>SUM(D511:D551)</f>
        <v>140112618.65499997</v>
      </c>
      <c r="E552" s="374">
        <f t="shared" ref="E552:G552" si="148">SUM(E511:E551)</f>
        <v>7358733.1750421934</v>
      </c>
      <c r="F552" s="374">
        <f t="shared" si="148"/>
        <v>0</v>
      </c>
      <c r="G552" s="374">
        <f t="shared" si="148"/>
        <v>147471351.83004215</v>
      </c>
      <c r="H552" s="374"/>
      <c r="I552" s="374">
        <f t="shared" ref="I552" si="149">SUM(I511:I551)</f>
        <v>-63264978.980000004</v>
      </c>
      <c r="J552" s="374">
        <f t="shared" ref="J552" si="150">SUM(J511:J551)</f>
        <v>-3366579.0604444444</v>
      </c>
      <c r="K552" s="374">
        <f t="shared" ref="K552" si="151">SUM(K511:K551)</f>
        <v>0</v>
      </c>
      <c r="L552" s="374">
        <f t="shared" ref="L552" si="152">SUM(L511:L551)</f>
        <v>-66631558.040444434</v>
      </c>
      <c r="M552" s="374">
        <f t="shared" ref="M552" si="153">SUM(M511:M551)</f>
        <v>80839793.78959775</v>
      </c>
    </row>
    <row r="553" spans="1:13" ht="37.5" x14ac:dyDescent="0.2">
      <c r="A553" s="370"/>
      <c r="B553" s="370"/>
      <c r="C553" s="375" t="s">
        <v>775</v>
      </c>
      <c r="D553" s="372"/>
      <c r="E553" s="372"/>
      <c r="F553" s="372"/>
      <c r="G553" s="357">
        <f t="shared" ref="G553:G554" si="154">D553+E553+F553</f>
        <v>0</v>
      </c>
      <c r="I553" s="372"/>
      <c r="J553" s="372"/>
      <c r="K553" s="372"/>
      <c r="L553" s="357">
        <f t="shared" ref="L553:L554" si="155">I553+J553+K553</f>
        <v>0</v>
      </c>
      <c r="M553" s="360">
        <f t="shared" ref="M553:M554" si="156">G553+L553</f>
        <v>0</v>
      </c>
    </row>
    <row r="554" spans="1:13" ht="25.5" x14ac:dyDescent="0.2">
      <c r="A554" s="370"/>
      <c r="B554" s="370"/>
      <c r="C554" s="376" t="s">
        <v>774</v>
      </c>
      <c r="D554" s="372"/>
      <c r="E554" s="372"/>
      <c r="F554" s="372"/>
      <c r="G554" s="357">
        <f t="shared" si="154"/>
        <v>0</v>
      </c>
      <c r="I554" s="372"/>
      <c r="J554" s="372"/>
      <c r="K554" s="372"/>
      <c r="L554" s="357">
        <f t="shared" si="155"/>
        <v>0</v>
      </c>
      <c r="M554" s="360">
        <f t="shared" si="156"/>
        <v>0</v>
      </c>
    </row>
    <row r="555" spans="1:13" x14ac:dyDescent="0.2">
      <c r="A555" s="370"/>
      <c r="B555" s="370"/>
      <c r="C555" s="373" t="s">
        <v>651</v>
      </c>
      <c r="D555" s="374">
        <f>SUM(D552:D554)</f>
        <v>140112618.65499997</v>
      </c>
      <c r="E555" s="1843">
        <f t="shared" ref="E555:G555" si="157">SUM(E552:E554)</f>
        <v>7358733.1750421934</v>
      </c>
      <c r="F555" s="374">
        <f t="shared" si="157"/>
        <v>0</v>
      </c>
      <c r="G555" s="374">
        <f t="shared" si="157"/>
        <v>147471351.83004215</v>
      </c>
      <c r="H555" s="374"/>
      <c r="I555" s="374">
        <f t="shared" ref="I555:M555" si="158">SUM(I552:I554)</f>
        <v>-63264978.980000004</v>
      </c>
      <c r="J555" s="1843">
        <f t="shared" si="158"/>
        <v>-3366579.0604444444</v>
      </c>
      <c r="K555" s="374">
        <f t="shared" si="158"/>
        <v>0</v>
      </c>
      <c r="L555" s="374">
        <f t="shared" si="158"/>
        <v>-66631558.040444434</v>
      </c>
      <c r="M555" s="374">
        <f t="shared" si="158"/>
        <v>80839793.78959775</v>
      </c>
    </row>
    <row r="556" spans="1:13" ht="14.25" x14ac:dyDescent="0.2">
      <c r="A556" s="370"/>
      <c r="B556" s="370"/>
      <c r="C556" s="1994" t="s">
        <v>1568</v>
      </c>
      <c r="D556" s="1995"/>
      <c r="E556" s="1995"/>
      <c r="F556" s="1995"/>
      <c r="G556" s="1995"/>
      <c r="H556" s="1995"/>
      <c r="I556" s="1996"/>
      <c r="J556" s="372"/>
      <c r="K556" s="377"/>
      <c r="L556" s="378"/>
      <c r="M556" s="379"/>
    </row>
    <row r="557" spans="1:13" x14ac:dyDescent="0.2">
      <c r="A557" s="370"/>
      <c r="B557" s="370"/>
      <c r="C557" s="1994" t="s">
        <v>388</v>
      </c>
      <c r="D557" s="1995"/>
      <c r="E557" s="1995"/>
      <c r="F557" s="1995"/>
      <c r="G557" s="1995"/>
      <c r="H557" s="1995"/>
      <c r="I557" s="1996"/>
      <c r="J557" s="374">
        <f>J555+J556</f>
        <v>-3366579.0604444444</v>
      </c>
      <c r="K557" s="377"/>
      <c r="L557" s="378"/>
      <c r="M557" s="379"/>
    </row>
    <row r="558" spans="1:13" x14ac:dyDescent="0.2">
      <c r="A558" s="1526"/>
      <c r="B558" s="1526"/>
    </row>
    <row r="559" spans="1:13" x14ac:dyDescent="0.2">
      <c r="A559" s="1526"/>
      <c r="B559" s="1526"/>
      <c r="I559" s="380" t="s">
        <v>522</v>
      </c>
      <c r="J559" s="1527"/>
    </row>
    <row r="560" spans="1:13" x14ac:dyDescent="0.2">
      <c r="A560" s="370">
        <v>10</v>
      </c>
      <c r="B560" s="370"/>
      <c r="C560" s="371" t="s">
        <v>389</v>
      </c>
      <c r="I560" s="1527" t="s">
        <v>389</v>
      </c>
      <c r="J560" s="1527"/>
      <c r="K560" s="381">
        <f>+J536</f>
        <v>-208004</v>
      </c>
    </row>
    <row r="561" spans="1:14" x14ac:dyDescent="0.2">
      <c r="A561" s="370">
        <v>8</v>
      </c>
      <c r="B561" s="370"/>
      <c r="C561" s="371" t="s">
        <v>380</v>
      </c>
      <c r="I561" s="1527" t="s">
        <v>380</v>
      </c>
      <c r="J561" s="1527"/>
      <c r="K561" s="381"/>
    </row>
    <row r="562" spans="1:14" x14ac:dyDescent="0.2">
      <c r="A562" s="370">
        <v>8</v>
      </c>
      <c r="B562" s="1551"/>
      <c r="C562" s="363" t="s">
        <v>381</v>
      </c>
      <c r="I562" s="1557" t="s">
        <v>2162</v>
      </c>
      <c r="J562" s="1557"/>
      <c r="K562" s="381">
        <f>+J538</f>
        <v>-8639</v>
      </c>
    </row>
    <row r="563" spans="1:14" x14ac:dyDescent="0.2">
      <c r="A563" s="370">
        <v>8</v>
      </c>
      <c r="B563" s="1551"/>
      <c r="C563" s="363" t="s">
        <v>382</v>
      </c>
      <c r="I563" s="1557" t="s">
        <v>2163</v>
      </c>
      <c r="J563" s="1557"/>
      <c r="K563" s="381">
        <f>+J539</f>
        <v>-9476</v>
      </c>
    </row>
    <row r="564" spans="1:14" x14ac:dyDescent="0.2">
      <c r="A564" s="1526"/>
      <c r="B564" s="1526"/>
      <c r="I564" s="382" t="s">
        <v>390</v>
      </c>
      <c r="K564" s="1844">
        <f>J557-K560-K561-K562-K563</f>
        <v>-3140460.0604444444</v>
      </c>
    </row>
    <row r="565" spans="1:14" x14ac:dyDescent="0.2">
      <c r="A565" s="1526"/>
      <c r="B565" s="1526"/>
      <c r="I565" s="382"/>
      <c r="K565" s="1538"/>
    </row>
    <row r="566" spans="1:14" x14ac:dyDescent="0.2">
      <c r="A566" s="1526"/>
      <c r="B566" s="1526"/>
      <c r="I566" s="382"/>
      <c r="K566" s="1538"/>
    </row>
    <row r="567" spans="1:14" x14ac:dyDescent="0.2">
      <c r="A567" s="385" t="s">
        <v>13</v>
      </c>
      <c r="N567" s="384"/>
    </row>
    <row r="569" spans="1:14" x14ac:dyDescent="0.2">
      <c r="A569" s="1482">
        <v>1</v>
      </c>
      <c r="B569" s="2002" t="s">
        <v>265</v>
      </c>
      <c r="C569" s="2002"/>
      <c r="D569" s="2002"/>
      <c r="E569" s="2002"/>
      <c r="F569" s="2002"/>
      <c r="G569" s="2002"/>
      <c r="H569" s="2002"/>
      <c r="I569" s="2002"/>
      <c r="J569" s="2002"/>
      <c r="K569" s="2002"/>
      <c r="L569" s="2002"/>
      <c r="M569" s="2002"/>
    </row>
    <row r="570" spans="1:14" x14ac:dyDescent="0.2">
      <c r="B570" s="2002"/>
      <c r="C570" s="2002"/>
      <c r="D570" s="2002"/>
      <c r="E570" s="2002"/>
      <c r="F570" s="2002"/>
      <c r="G570" s="2002"/>
      <c r="H570" s="2002"/>
      <c r="I570" s="2002"/>
      <c r="J570" s="2002"/>
      <c r="K570" s="2002"/>
      <c r="L570" s="2002"/>
      <c r="M570" s="2002"/>
    </row>
    <row r="571" spans="1:14" ht="12.75" customHeight="1" x14ac:dyDescent="0.2"/>
    <row r="572" spans="1:14" x14ac:dyDescent="0.2">
      <c r="A572" s="1482">
        <v>2</v>
      </c>
      <c r="B572" s="2001" t="s">
        <v>1800</v>
      </c>
      <c r="C572" s="2001"/>
      <c r="D572" s="2001"/>
      <c r="E572" s="2001"/>
      <c r="F572" s="2001"/>
      <c r="G572" s="2001"/>
      <c r="H572" s="2001"/>
      <c r="I572" s="2001"/>
      <c r="J572" s="2001"/>
      <c r="K572" s="2001"/>
      <c r="L572" s="2001"/>
      <c r="M572" s="2001"/>
    </row>
    <row r="573" spans="1:14" x14ac:dyDescent="0.2">
      <c r="B573" s="2001"/>
      <c r="C573" s="2001"/>
      <c r="D573" s="2001"/>
      <c r="E573" s="2001"/>
      <c r="F573" s="2001"/>
      <c r="G573" s="2001"/>
      <c r="H573" s="2001"/>
      <c r="I573" s="2001"/>
      <c r="J573" s="2001"/>
      <c r="K573" s="2001"/>
      <c r="L573" s="2001"/>
      <c r="M573" s="2001"/>
    </row>
    <row r="575" spans="1:14" x14ac:dyDescent="0.2">
      <c r="A575" s="1482">
        <v>3</v>
      </c>
      <c r="B575" s="1981" t="s">
        <v>271</v>
      </c>
      <c r="C575" s="1981"/>
      <c r="D575" s="1981"/>
      <c r="E575" s="1981"/>
      <c r="F575" s="1981"/>
      <c r="G575" s="1981"/>
      <c r="H575" s="1981"/>
      <c r="I575" s="1981"/>
      <c r="J575" s="1981"/>
      <c r="K575" s="1981"/>
      <c r="L575" s="1981"/>
      <c r="M575" s="1981"/>
    </row>
    <row r="577" spans="1:13" x14ac:dyDescent="0.2">
      <c r="A577" s="1482">
        <v>4</v>
      </c>
      <c r="B577" s="329" t="s">
        <v>1801</v>
      </c>
      <c r="C577" s="158"/>
    </row>
    <row r="579" spans="1:13" x14ac:dyDescent="0.2">
      <c r="A579" s="1482">
        <v>5</v>
      </c>
      <c r="B579" s="386" t="s">
        <v>1598</v>
      </c>
    </row>
    <row r="581" spans="1:13" x14ac:dyDescent="0.2">
      <c r="A581" s="1482">
        <v>6</v>
      </c>
      <c r="B581" s="1981" t="s">
        <v>1802</v>
      </c>
      <c r="C581" s="1981"/>
      <c r="D581" s="1981"/>
      <c r="E581" s="1981"/>
      <c r="F581" s="1981"/>
      <c r="G581" s="1981"/>
      <c r="H581" s="1981"/>
      <c r="I581" s="1981"/>
      <c r="J581" s="1981"/>
      <c r="K581" s="1981"/>
      <c r="L581" s="1981"/>
      <c r="M581" s="1981"/>
    </row>
    <row r="582" spans="1:13" x14ac:dyDescent="0.2">
      <c r="B582" s="1981"/>
      <c r="C582" s="1981"/>
      <c r="D582" s="1981"/>
      <c r="E582" s="1981"/>
      <c r="F582" s="1981"/>
      <c r="G582" s="1981"/>
      <c r="H582" s="1981"/>
      <c r="I582" s="1981"/>
      <c r="J582" s="1981"/>
      <c r="K582" s="1981"/>
      <c r="L582" s="1981"/>
      <c r="M582" s="1981"/>
    </row>
  </sheetData>
  <mergeCells count="41">
    <mergeCell ref="B581:M582"/>
    <mergeCell ref="B572:M573"/>
    <mergeCell ref="B575:M575"/>
    <mergeCell ref="A9:M9"/>
    <mergeCell ref="A10:M10"/>
    <mergeCell ref="D15:G15"/>
    <mergeCell ref="C61:I61"/>
    <mergeCell ref="C62:I62"/>
    <mergeCell ref="B569:M570"/>
    <mergeCell ref="A71:M71"/>
    <mergeCell ref="D76:G76"/>
    <mergeCell ref="C122:I122"/>
    <mergeCell ref="C123:I123"/>
    <mergeCell ref="A132:M132"/>
    <mergeCell ref="D137:G137"/>
    <mergeCell ref="C184:I184"/>
    <mergeCell ref="C185:I185"/>
    <mergeCell ref="A194:M194"/>
    <mergeCell ref="D199:G199"/>
    <mergeCell ref="C246:I246"/>
    <mergeCell ref="C247:I247"/>
    <mergeCell ref="A256:M256"/>
    <mergeCell ref="D261:G261"/>
    <mergeCell ref="C308:I308"/>
    <mergeCell ref="C309:I309"/>
    <mergeCell ref="A318:M318"/>
    <mergeCell ref="D323:G323"/>
    <mergeCell ref="C370:I370"/>
    <mergeCell ref="C371:I371"/>
    <mergeCell ref="A380:M380"/>
    <mergeCell ref="D385:G385"/>
    <mergeCell ref="C432:I432"/>
    <mergeCell ref="C433:I433"/>
    <mergeCell ref="A442:M442"/>
    <mergeCell ref="D447:G447"/>
    <mergeCell ref="C494:I494"/>
    <mergeCell ref="C495:I495"/>
    <mergeCell ref="A504:M504"/>
    <mergeCell ref="D509:G509"/>
    <mergeCell ref="C556:I556"/>
    <mergeCell ref="C557:I557"/>
  </mergeCells>
  <dataValidations disablePrompts="1" count="1">
    <dataValidation type="list" allowBlank="1" showErrorMessage="1" error="Use the following date format when inserting a date:_x000a__x000a_Eg:  &quot;January 1, 2013&quot;" prompt="Use the following format eg: January 1, 2013" sqref="F12 F73 F134 F196 F258 F320 F382 F444 F506">
      <formula1>"CGAAP, MIFRS,USGAAP, ASPE"</formula1>
    </dataValidation>
  </dataValidations>
  <printOptions horizontalCentered="1"/>
  <pageMargins left="0.74803149606299213" right="0.74803149606299213" top="0.74803149606299213" bottom="0.70866141732283472" header="0.51181102362204722" footer="0.51181102362204722"/>
  <pageSetup scale="5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57</vt:i4>
      </vt:variant>
      <vt:variant>
        <vt:lpstr>Named Ranges</vt:lpstr>
      </vt:variant>
      <vt:variant>
        <vt:i4>69</vt:i4>
      </vt:variant>
    </vt:vector>
  </HeadingPairs>
  <TitlesOfParts>
    <vt:vector size="126" baseType="lpstr">
      <vt:lpstr>LDC Info</vt:lpstr>
      <vt:lpstr>Index</vt:lpstr>
      <vt:lpstr>COS Flowchart</vt:lpstr>
      <vt:lpstr>List of Key References</vt:lpstr>
      <vt:lpstr>App.2-AA_Capital Projects</vt:lpstr>
      <vt:lpstr>App.2-AB_Capital Expenditures</vt:lpstr>
      <vt:lpstr>App. 2-AC_Customer Engagement</vt:lpstr>
      <vt:lpstr>App.2-B_Acct Instructions</vt:lpstr>
      <vt:lpstr>App.2-BA_Fixed Asset Cont</vt:lpstr>
      <vt:lpstr>Appendix 2-BB Service Life  </vt:lpstr>
      <vt:lpstr>App.2-CA_OldCGAAP_DepExp_2012</vt:lpstr>
      <vt:lpstr>App.2-CB_NewCGAAP_DepExp_2012</vt:lpstr>
      <vt:lpstr>App.2-CC_NewCGAAP_DepExp_2013</vt:lpstr>
      <vt:lpstr>App.2-CD_MIFRS_DepExp_2014</vt:lpstr>
      <vt:lpstr>App.2-CE_MIFRS_DepExp_2015</vt:lpstr>
      <vt:lpstr>App.2-CF_MIFRS_DepExp_2016</vt:lpstr>
      <vt:lpstr>App.2-CG_OldCGAAP_DepExp_2013</vt:lpstr>
      <vt:lpstr>App.2-CH_NewCGAAP_DepExp_2013</vt:lpstr>
      <vt:lpstr>App.2-CI_MIFRS_DepExp_2014</vt:lpstr>
      <vt:lpstr>App.2-CJ MIFRS_DepExp_2015</vt:lpstr>
      <vt:lpstr>App.2-CK MIFRS_DepExp_2016</vt:lpstr>
      <vt:lpstr>App.2-D_Overhead</vt:lpstr>
      <vt:lpstr>App.2-EA_Account 1575 (2015)</vt:lpstr>
      <vt:lpstr>App.2-EB_Account 1576 (2012)</vt:lpstr>
      <vt:lpstr>App.2-EC_Account 1576 (2013)</vt:lpstr>
      <vt:lpstr>App.2-FA Proposed REG Invest.</vt:lpstr>
      <vt:lpstr>App.2-FB Calc of REG Improvemnt</vt:lpstr>
      <vt:lpstr>App.2-FC Calc of REG Expansion</vt:lpstr>
      <vt:lpstr>App.2-G SQI</vt:lpstr>
      <vt:lpstr>App.2-H_Other_Oper_Rev</vt:lpstr>
      <vt:lpstr>App_2-I LF_CDM</vt:lpstr>
      <vt:lpstr>App.2-IA_Act_Frcst_Data</vt:lpstr>
      <vt:lpstr>App.2-JA_OM&amp;A_Summary_Analys</vt:lpstr>
      <vt:lpstr>App.2-JB_OM&amp;A_Cost _Drivers</vt:lpstr>
      <vt:lpstr>App.2-JC_OMA Programs</vt:lpstr>
      <vt:lpstr>App.2-K_Employee Costs</vt:lpstr>
      <vt:lpstr>App.2-L_OM&amp;A_per_Cust_FTEE</vt:lpstr>
      <vt:lpstr>App.2-M_Regulatory_Costs</vt:lpstr>
      <vt:lpstr>App.2-N_Corp_Cost_Allocation</vt:lpstr>
      <vt:lpstr>App.2-OA Capital Structure</vt:lpstr>
      <vt:lpstr>App.2-OB_Debt Instruments</vt:lpstr>
      <vt:lpstr>App.2-P_Cost_Allocation</vt:lpstr>
      <vt:lpstr>App.2-PA_Res_Rate_Design</vt:lpstr>
      <vt:lpstr>App.2-Q_Cost of Serv. Emb. Dx</vt:lpstr>
      <vt:lpstr>App.2-R_Loss Factors</vt:lpstr>
      <vt:lpstr>App.2-S_Stranded Meters</vt:lpstr>
      <vt:lpstr>App.2-TA_1592_Tax_Variance</vt:lpstr>
      <vt:lpstr>App.2-TB_1592_HST-OVAT</vt:lpstr>
      <vt:lpstr>App.2-U_IFRS Transition Costs</vt:lpstr>
      <vt:lpstr>App.2-V_Rev_Reconciliation</vt:lpstr>
      <vt:lpstr>App.2-W_Bill Impacts</vt:lpstr>
      <vt:lpstr>App.2-W_Bill Impacts_hidden</vt:lpstr>
      <vt:lpstr>App.2-Y_MIFRS Summary Impacts</vt:lpstr>
      <vt:lpstr>App. 2-Z_Tariff</vt:lpstr>
      <vt:lpstr>lists</vt:lpstr>
      <vt:lpstr>lists2</vt:lpstr>
      <vt:lpstr>Sheet19</vt:lpstr>
      <vt:lpstr>'App.2-W_Bill Impacts_hidden'!BI_SS</vt:lpstr>
      <vt:lpstr>'App_2-I LF_CDM'!BridgeYear</vt:lpstr>
      <vt:lpstr>BridgeYear</vt:lpstr>
      <vt:lpstr>'App_2-I LF_CDM'!CustomerAdministration</vt:lpstr>
      <vt:lpstr>CustomerAdministration</vt:lpstr>
      <vt:lpstr>'App_2-I LF_CDM'!EBNUMBER</vt:lpstr>
      <vt:lpstr>EBNUMBER</vt:lpstr>
      <vt:lpstr>'App_2-I LF_CDM'!Fixed_Charges</vt:lpstr>
      <vt:lpstr>Fixed_Charges</vt:lpstr>
      <vt:lpstr>'List of Key References'!infra</vt:lpstr>
      <vt:lpstr>lists!LDC_LIST</vt:lpstr>
      <vt:lpstr>LDCLIST</vt:lpstr>
      <vt:lpstr>LDCNAMES</vt:lpstr>
      <vt:lpstr>'App_2-I LF_CDM'!LossFactors</vt:lpstr>
      <vt:lpstr>LossFactors</vt:lpstr>
      <vt:lpstr>'App_2-I LF_CDM'!NonPayment</vt:lpstr>
      <vt:lpstr>NonPayment</vt:lpstr>
      <vt:lpstr>'List of Key References'!OLE_LINK1</vt:lpstr>
      <vt:lpstr>'List of Key References'!OLE_LINK7</vt:lpstr>
      <vt:lpstr>'App. 2-Z_Tariff'!Print_Area</vt:lpstr>
      <vt:lpstr>'App.2-AA_Capital Projects'!Print_Area</vt:lpstr>
      <vt:lpstr>'App.2-B_Acct Instructions'!Print_Area</vt:lpstr>
      <vt:lpstr>'App.2-BA_Fixed Asset Cont'!Print_Area</vt:lpstr>
      <vt:lpstr>'App.2-CA_OldCGAAP_DepExp_2012'!Print_Area</vt:lpstr>
      <vt:lpstr>'App.2-CB_NewCGAAP_DepExp_2012'!Print_Area</vt:lpstr>
      <vt:lpstr>'App.2-CC_NewCGAAP_DepExp_2013'!Print_Area</vt:lpstr>
      <vt:lpstr>'App.2-CD_MIFRS_DepExp_2014'!Print_Area</vt:lpstr>
      <vt:lpstr>'App.2-CE_MIFRS_DepExp_2015'!Print_Area</vt:lpstr>
      <vt:lpstr>'App.2-CF_MIFRS_DepExp_2016'!Print_Area</vt:lpstr>
      <vt:lpstr>'App.2-CG_OldCGAAP_DepExp_2013'!Print_Area</vt:lpstr>
      <vt:lpstr>'App.2-CH_NewCGAAP_DepExp_2013'!Print_Area</vt:lpstr>
      <vt:lpstr>'App.2-CI_MIFRS_DepExp_2014'!Print_Area</vt:lpstr>
      <vt:lpstr>'App.2-CJ MIFRS_DepExp_2015'!Print_Area</vt:lpstr>
      <vt:lpstr>'App.2-CK MIFRS_DepExp_2016'!Print_Area</vt:lpstr>
      <vt:lpstr>'App.2-D_Overhead'!Print_Area</vt:lpstr>
      <vt:lpstr>'App.2-EC_Account 1576 (2013)'!Print_Area</vt:lpstr>
      <vt:lpstr>'App.2-H_Other_Oper_Rev'!Print_Area</vt:lpstr>
      <vt:lpstr>'App.2-JA_OM&amp;A_Summary_Analys'!Print_Area</vt:lpstr>
      <vt:lpstr>'App.2-JB_OM&amp;A_Cost _Drivers'!Print_Area</vt:lpstr>
      <vt:lpstr>'App.2-JC_OMA Programs'!Print_Area</vt:lpstr>
      <vt:lpstr>'App.2-K_Employee Costs'!Print_Area</vt:lpstr>
      <vt:lpstr>'App.2-L_OM&amp;A_per_Cust_FTEE'!Print_Area</vt:lpstr>
      <vt:lpstr>'App.2-M_Regulatory_Costs'!Print_Area</vt:lpstr>
      <vt:lpstr>'App.2-N_Corp_Cost_Allocation'!Print_Area</vt:lpstr>
      <vt:lpstr>'App.2-OA Capital Structure'!Print_Area</vt:lpstr>
      <vt:lpstr>'App.2-OB_Debt Instruments'!Print_Area</vt:lpstr>
      <vt:lpstr>'App.2-P_Cost_Allocation'!Print_Area</vt:lpstr>
      <vt:lpstr>'App.2-Q_Cost of Serv. Emb. Dx'!Print_Area</vt:lpstr>
      <vt:lpstr>'App.2-R_Loss Factors'!Print_Area</vt:lpstr>
      <vt:lpstr>'App.2-S_Stranded Meters'!Print_Area</vt:lpstr>
      <vt:lpstr>'App.2-TA_1592_Tax_Variance'!Print_Area</vt:lpstr>
      <vt:lpstr>'App.2-TB_1592_HST-OVAT'!Print_Area</vt:lpstr>
      <vt:lpstr>'App.2-U_IFRS Transition Costs'!Print_Area</vt:lpstr>
      <vt:lpstr>'App.2-V_Rev_Reconciliation'!Print_Area</vt:lpstr>
      <vt:lpstr>'App.2-W_Bill Impacts'!Print_Area</vt:lpstr>
      <vt:lpstr>'COS Flowchart'!Print_Area</vt:lpstr>
      <vt:lpstr>Index!Print_Area</vt:lpstr>
      <vt:lpstr>'LDC Info'!Print_Area</vt:lpstr>
      <vt:lpstr>'App.2-IA_Act_Frcst_Data'!Print_Titles</vt:lpstr>
      <vt:lpstr>Rate_Class</vt:lpstr>
      <vt:lpstr>RATE_CLASSES</vt:lpstr>
      <vt:lpstr>'App_2-I LF_CDM'!RebaseYear</vt:lpstr>
      <vt:lpstr>RebaseYear</vt:lpstr>
      <vt:lpstr>'App_2-I LF_CDM'!TestYear</vt:lpstr>
      <vt:lpstr>TestYear</vt:lpstr>
      <vt:lpstr>'App_2-I LF_CDM'!Units</vt:lpstr>
      <vt:lpstr>Units</vt:lpstr>
      <vt:lpstr>Units1</vt:lpstr>
      <vt:lpstr>Units2</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ArmstrBi</dc:creator>
  <cp:lastModifiedBy>Cameron McKenzie</cp:lastModifiedBy>
  <cp:lastPrinted>2016-08-01T17:52:31Z</cp:lastPrinted>
  <dcterms:created xsi:type="dcterms:W3CDTF">2009-03-26T15:32:04Z</dcterms:created>
  <dcterms:modified xsi:type="dcterms:W3CDTF">2016-08-12T14:19:27Z</dcterms:modified>
</cp:coreProperties>
</file>