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155" windowWidth="24030" windowHeight="720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calcPr calcId="145621" iterate="1"/>
</workbook>
</file>

<file path=xl/calcChain.xml><?xml version="1.0" encoding="utf-8"?>
<calcChain xmlns="http://schemas.openxmlformats.org/spreadsheetml/2006/main">
  <c r="L68" i="1" l="1"/>
  <c r="K10" i="1"/>
  <c r="C31" i="1" l="1"/>
  <c r="C32" i="1"/>
  <c r="C30" i="1"/>
  <c r="E12" i="1"/>
  <c r="F12" i="1"/>
  <c r="F13" i="1" s="1"/>
  <c r="E13" i="1"/>
  <c r="F11" i="1"/>
  <c r="E11" i="1"/>
  <c r="E10" i="1"/>
  <c r="B14" i="1" l="1"/>
  <c r="B15" i="1"/>
  <c r="B16" i="1"/>
  <c r="N37" i="1" l="1"/>
  <c r="N27" i="1"/>
  <c r="N17" i="1"/>
  <c r="N69" i="1" l="1"/>
  <c r="M69" i="1"/>
  <c r="N64" i="1"/>
  <c r="M64" i="1"/>
  <c r="N55" i="1"/>
  <c r="M55" i="1"/>
  <c r="N46" i="1"/>
  <c r="M46" i="1"/>
  <c r="A53" i="1"/>
  <c r="C14" i="1" l="1"/>
  <c r="C15" i="1"/>
  <c r="C16" i="1"/>
  <c r="G30" i="1"/>
  <c r="G31" i="1" s="1"/>
  <c r="G32" i="1" s="1"/>
  <c r="G33" i="1" s="1"/>
  <c r="M37" i="1" l="1"/>
  <c r="C36" i="1"/>
  <c r="C35" i="1"/>
  <c r="C34" i="1"/>
  <c r="C33" i="1"/>
  <c r="M27" i="1"/>
  <c r="C26" i="1"/>
  <c r="C25" i="1"/>
  <c r="C24" i="1"/>
  <c r="C23" i="1"/>
  <c r="C22" i="1"/>
  <c r="C13" i="1"/>
  <c r="C12" i="1"/>
  <c r="M17" i="1"/>
  <c r="J36" i="1" l="1"/>
  <c r="I36" i="1"/>
  <c r="J35" i="1"/>
  <c r="I35" i="1"/>
  <c r="J34" i="1"/>
  <c r="I34" i="1"/>
  <c r="I33" i="1"/>
  <c r="I32" i="1"/>
  <c r="I31" i="1"/>
  <c r="I30" i="1"/>
  <c r="J26" i="1"/>
  <c r="I26" i="1"/>
  <c r="J25" i="1"/>
  <c r="I25" i="1"/>
  <c r="J24" i="1"/>
  <c r="I24" i="1"/>
  <c r="C73" i="1" l="1"/>
  <c r="A73" i="1"/>
  <c r="D72" i="1"/>
  <c r="B72" i="1"/>
  <c r="A72" i="1"/>
  <c r="A71" i="1"/>
  <c r="C68" i="1"/>
  <c r="A68" i="1"/>
  <c r="D67" i="1"/>
  <c r="B67" i="1"/>
  <c r="A67" i="1"/>
  <c r="A66" i="1"/>
  <c r="C63" i="1"/>
  <c r="D63" i="1" s="1"/>
  <c r="B62" i="1"/>
  <c r="A62" i="1"/>
  <c r="A57" i="1"/>
  <c r="C54" i="1"/>
  <c r="B53" i="1"/>
  <c r="A48" i="1"/>
  <c r="C45" i="1"/>
  <c r="B44" i="1"/>
  <c r="A44" i="1"/>
  <c r="A39" i="1"/>
  <c r="L36" i="1"/>
  <c r="B36" i="1"/>
  <c r="K36" i="1" s="1"/>
  <c r="L35" i="1"/>
  <c r="B35" i="1"/>
  <c r="K35" i="1" s="1"/>
  <c r="L34" i="1"/>
  <c r="B34" i="1"/>
  <c r="K34" i="1" s="1"/>
  <c r="B33" i="1"/>
  <c r="K33" i="1" s="1"/>
  <c r="B32" i="1"/>
  <c r="K32" i="1" s="1"/>
  <c r="K31" i="1"/>
  <c r="A29" i="1"/>
  <c r="L26" i="1"/>
  <c r="B26" i="1"/>
  <c r="K26" i="1" s="1"/>
  <c r="L25" i="1"/>
  <c r="B25" i="1"/>
  <c r="K25" i="1" s="1"/>
  <c r="L24" i="1"/>
  <c r="B24" i="1"/>
  <c r="K24" i="1" s="1"/>
  <c r="B23" i="1"/>
  <c r="B22" i="1"/>
  <c r="A19" i="1"/>
  <c r="B13" i="1"/>
  <c r="B12" i="1"/>
  <c r="A9" i="1"/>
  <c r="K30" i="1" l="1"/>
  <c r="K37" i="1" s="1"/>
  <c r="O37" i="1" s="1"/>
  <c r="R37" i="1" s="1"/>
  <c r="L27" i="1"/>
  <c r="P27" i="1" s="1"/>
  <c r="S27" i="1" s="1"/>
  <c r="D68" i="1"/>
  <c r="D45" i="1"/>
  <c r="D54" i="1"/>
  <c r="D73" i="1"/>
  <c r="G67" i="1" l="1"/>
  <c r="I67" i="1" s="1"/>
  <c r="K67" i="1" s="1"/>
  <c r="K69" i="1" s="1"/>
  <c r="O69" i="1" s="1"/>
  <c r="R69" i="1" s="1"/>
  <c r="H30" i="1" l="1"/>
  <c r="G62" i="1"/>
  <c r="I62" i="1" s="1"/>
  <c r="K62" i="1" s="1"/>
  <c r="G58" i="1"/>
  <c r="I58" i="1" s="1"/>
  <c r="K58" i="1" s="1"/>
  <c r="G60" i="1"/>
  <c r="I60" i="1" s="1"/>
  <c r="K60" i="1" s="1"/>
  <c r="G53" i="1"/>
  <c r="I53" i="1" s="1"/>
  <c r="K53" i="1" s="1"/>
  <c r="G51" i="1"/>
  <c r="I51" i="1" s="1"/>
  <c r="K51" i="1" s="1"/>
  <c r="G49" i="1"/>
  <c r="I49" i="1" s="1"/>
  <c r="K49" i="1" s="1"/>
  <c r="G40" i="1"/>
  <c r="I40" i="1" s="1"/>
  <c r="K40" i="1" s="1"/>
  <c r="G42" i="1"/>
  <c r="I42" i="1" s="1"/>
  <c r="K42" i="1" s="1"/>
  <c r="G44" i="1"/>
  <c r="I44" i="1" s="1"/>
  <c r="K44" i="1" s="1"/>
  <c r="K55" i="1" l="1"/>
  <c r="O55" i="1" s="1"/>
  <c r="R55" i="1" s="1"/>
  <c r="K46" i="1"/>
  <c r="O46" i="1" s="1"/>
  <c r="R46" i="1" s="1"/>
  <c r="K64" i="1"/>
  <c r="O64" i="1" s="1"/>
  <c r="R64" i="1" s="1"/>
  <c r="J30" i="1"/>
  <c r="L30" i="1" s="1"/>
  <c r="H31" i="1"/>
  <c r="H68" i="1" l="1"/>
  <c r="J68" i="1" s="1"/>
  <c r="L69" i="1" s="1"/>
  <c r="P69" i="1" s="1"/>
  <c r="S69" i="1" s="1"/>
  <c r="H10" i="1"/>
  <c r="G10" i="1"/>
  <c r="H32" i="1"/>
  <c r="J31" i="1"/>
  <c r="L31" i="1" s="1"/>
  <c r="H50" i="1" l="1"/>
  <c r="J50" i="1" s="1"/>
  <c r="L50" i="1" s="1"/>
  <c r="H54" i="1"/>
  <c r="J54" i="1" s="1"/>
  <c r="L54" i="1" s="1"/>
  <c r="H52" i="1"/>
  <c r="J52" i="1" s="1"/>
  <c r="L52" i="1" s="1"/>
  <c r="J32" i="1"/>
  <c r="L32" i="1" s="1"/>
  <c r="L37" i="1" s="1"/>
  <c r="P37" i="1" s="1"/>
  <c r="S37" i="1" s="1"/>
  <c r="H33" i="1"/>
  <c r="J33" i="1" s="1"/>
  <c r="L33" i="1" s="1"/>
  <c r="H41" i="1"/>
  <c r="J41" i="1" s="1"/>
  <c r="L41" i="1" s="1"/>
  <c r="H45" i="1"/>
  <c r="J45" i="1" s="1"/>
  <c r="L45" i="1" s="1"/>
  <c r="H43" i="1"/>
  <c r="J43" i="1" s="1"/>
  <c r="L43" i="1" s="1"/>
  <c r="H11" i="1"/>
  <c r="J10" i="1"/>
  <c r="L10" i="1" s="1"/>
  <c r="G11" i="1"/>
  <c r="I10" i="1"/>
  <c r="H63" i="1"/>
  <c r="J63" i="1" s="1"/>
  <c r="L63" i="1" s="1"/>
  <c r="H61" i="1"/>
  <c r="J61" i="1" s="1"/>
  <c r="L61" i="1" s="1"/>
  <c r="H59" i="1"/>
  <c r="J59" i="1" s="1"/>
  <c r="L59" i="1" s="1"/>
  <c r="I11" i="1" l="1"/>
  <c r="K11" i="1" s="1"/>
  <c r="G12" i="1"/>
  <c r="L46" i="1"/>
  <c r="P46" i="1" s="1"/>
  <c r="S46" i="1" s="1"/>
  <c r="L55" i="1"/>
  <c r="P55" i="1" s="1"/>
  <c r="S55" i="1" s="1"/>
  <c r="G72" i="1"/>
  <c r="I72" i="1" s="1"/>
  <c r="K72" i="1" s="1"/>
  <c r="J11" i="1"/>
  <c r="L11" i="1" s="1"/>
  <c r="H12" i="1"/>
  <c r="L64" i="1"/>
  <c r="P64" i="1" s="1"/>
  <c r="S64" i="1" s="1"/>
  <c r="G20" i="1"/>
  <c r="H13" i="1" l="1"/>
  <c r="J12" i="1"/>
  <c r="L12" i="1" s="1"/>
  <c r="G21" i="1"/>
  <c r="I20" i="1"/>
  <c r="K20" i="1" s="1"/>
  <c r="G13" i="1"/>
  <c r="I12" i="1"/>
  <c r="K12" i="1" s="1"/>
  <c r="I13" i="1" l="1"/>
  <c r="K13" i="1" s="1"/>
  <c r="J13" i="1"/>
  <c r="L13" i="1" s="1"/>
  <c r="G22" i="1"/>
  <c r="I21" i="1"/>
  <c r="K21" i="1" s="1"/>
  <c r="I14" i="1" l="1"/>
  <c r="K14" i="1" s="1"/>
  <c r="J14" i="1"/>
  <c r="L14" i="1" s="1"/>
  <c r="I22" i="1"/>
  <c r="K22" i="1" s="1"/>
  <c r="G23" i="1"/>
  <c r="I23" i="1" s="1"/>
  <c r="K23" i="1" s="1"/>
  <c r="H20" i="1"/>
  <c r="H73" i="1"/>
  <c r="J73" i="1" s="1"/>
  <c r="L73" i="1" s="1"/>
  <c r="I15" i="1" l="1"/>
  <c r="I16" i="1"/>
  <c r="K16" i="1" s="1"/>
  <c r="J15" i="1"/>
  <c r="L15" i="1" s="1"/>
  <c r="J16" i="1"/>
  <c r="L16" i="1" s="1"/>
  <c r="J20" i="1"/>
  <c r="H21" i="1"/>
  <c r="K27" i="1"/>
  <c r="K15" i="1" l="1"/>
  <c r="K17" i="1" s="1"/>
  <c r="L17" i="1"/>
  <c r="L75" i="1" s="1"/>
  <c r="O27" i="1"/>
  <c r="R27" i="1" s="1"/>
  <c r="H22" i="1"/>
  <c r="J21" i="1"/>
  <c r="O17" i="1" l="1"/>
  <c r="R17" i="1" s="1"/>
  <c r="K75" i="1"/>
  <c r="P17" i="1"/>
  <c r="S17" i="1" s="1"/>
  <c r="K77" i="1"/>
  <c r="J22" i="1"/>
  <c r="H23" i="1"/>
  <c r="J23" i="1" s="1"/>
</calcChain>
</file>

<file path=xl/sharedStrings.xml><?xml version="1.0" encoding="utf-8"?>
<sst xmlns="http://schemas.openxmlformats.org/spreadsheetml/2006/main" count="61" uniqueCount="33">
  <si>
    <t>Forgone Revenue and Forgone Revenue Rate Rider Calculations</t>
  </si>
  <si>
    <t>September</t>
  </si>
  <si>
    <t>October</t>
  </si>
  <si>
    <t>November</t>
  </si>
  <si>
    <t>Total</t>
  </si>
  <si>
    <t>May 1, 2016 Interim Rates Fixed Distribution Charge</t>
  </si>
  <si>
    <t>May 1, 2016 Interim Rates Variable Distribution Charge</t>
  </si>
  <si>
    <t>Difference in Fixed Distribution Charge</t>
  </si>
  <si>
    <t>Difference in Variable Distribution Charge</t>
  </si>
  <si>
    <t>Total Forgone
Revenue Fixed Distribution Charge
(F) =(B*E)</t>
  </si>
  <si>
    <t>Total Forgone
Revenue Variable Distribution Charge
(F) =(B*E)</t>
  </si>
  <si>
    <t>Dec 1, 2016</t>
  </si>
  <si>
    <t>Proposed Fixed Distribution Charge Effective</t>
  </si>
  <si>
    <t>Proposed  Variable Distribution Charge Effective</t>
  </si>
  <si>
    <t>Foregone Variable Distribution
Revenue Rate
Rider</t>
  </si>
  <si>
    <t>Foregone Fixed Distribution
Revenue Rate
Rider</t>
  </si>
  <si>
    <t>Customer #'s from OEB-Approved Load Forecast</t>
  </si>
  <si>
    <t>kWh or kW from OEB-Approved Load Forecast</t>
  </si>
  <si>
    <t>check</t>
  </si>
  <si>
    <t>kWh or kW to be recovered over XX Months</t>
  </si>
  <si>
    <t>Year End Customer Count</t>
  </si>
  <si>
    <t>May 1 to Aug 31</t>
  </si>
  <si>
    <t>Average kWh or kW Over Recovery Period</t>
  </si>
  <si>
    <t>May - Actual</t>
  </si>
  <si>
    <t>June - Actual</t>
  </si>
  <si>
    <t>July - LF</t>
  </si>
  <si>
    <t>August - LF</t>
  </si>
  <si>
    <t>May - Actual - Customers</t>
  </si>
  <si>
    <t>May - Actual - kW</t>
  </si>
  <si>
    <t>June - Actual - Customers</t>
  </si>
  <si>
    <t>June - Actual - kW</t>
  </si>
  <si>
    <t>July &amp; Aug - LF</t>
  </si>
  <si>
    <t>kW - 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</si>
</sst>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;&quot;$&quot;\-#,##0.00"/>
    <numFmt numFmtId="166" formatCode="&quot;$&quot;#,##0;&quot;$&quot;\-#,##0"/>
    <numFmt numFmtId="167" formatCode="&quot;$&quot;#,##0.0000;&quot;$&quot;\-#,##0.0000"/>
    <numFmt numFmtId="168" formatCode="&quot;$&quot;#,##0.00"/>
    <numFmt numFmtId="169" formatCode="_-* #,##0.0000_-;\-* #,##0.0000_-;_-* &quot;-&quot;??_-;_-@_-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FF66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4" fontId="5" fillId="0" borderId="0" xfId="1" applyNumberFormat="1" applyFont="1" applyFill="1" applyBorder="1" applyAlignment="1">
      <alignment horizontal="right" vertical="center" wrapText="1"/>
    </xf>
    <xf numFmtId="37" fontId="5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167" fontId="3" fillId="0" borderId="0" xfId="0" applyNumberFormat="1" applyFont="1" applyFill="1" applyBorder="1" applyAlignment="1">
      <alignment horizontal="left" vertical="center"/>
    </xf>
    <xf numFmtId="167" fontId="2" fillId="0" borderId="0" xfId="0" applyNumberFormat="1" applyFont="1" applyFill="1" applyBorder="1" applyAlignment="1">
      <alignment vertical="center" wrapText="1"/>
    </xf>
    <xf numFmtId="167" fontId="3" fillId="0" borderId="0" xfId="0" applyNumberFormat="1" applyFont="1" applyFill="1" applyBorder="1" applyAlignment="1">
      <alignment vertical="center"/>
    </xf>
    <xf numFmtId="167" fontId="3" fillId="0" borderId="0" xfId="0" applyNumberFormat="1" applyFont="1" applyFill="1" applyBorder="1" applyAlignment="1">
      <alignment horizontal="right" vertical="center"/>
    </xf>
    <xf numFmtId="167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165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vertical="center" wrapText="1"/>
    </xf>
    <xf numFmtId="168" fontId="3" fillId="0" borderId="0" xfId="2" applyNumberFormat="1" applyFont="1" applyFill="1" applyBorder="1" applyAlignment="1">
      <alignment horizontal="right" vertical="center" wrapText="1"/>
    </xf>
    <xf numFmtId="168" fontId="3" fillId="0" borderId="0" xfId="2" applyNumberFormat="1" applyFont="1" applyFill="1" applyBorder="1" applyAlignment="1">
      <alignment horizontal="right" vertical="center"/>
    </xf>
    <xf numFmtId="168" fontId="2" fillId="0" borderId="0" xfId="2" applyNumberFormat="1" applyFont="1" applyFill="1" applyBorder="1" applyAlignment="1">
      <alignment horizontal="right" vertical="center" wrapText="1"/>
    </xf>
    <xf numFmtId="168" fontId="3" fillId="0" borderId="0" xfId="2" applyNumberFormat="1" applyFont="1" applyBorder="1" applyAlignment="1">
      <alignment horizontal="right" vertical="center"/>
    </xf>
    <xf numFmtId="168" fontId="3" fillId="0" borderId="0" xfId="2" applyNumberFormat="1" applyFont="1" applyAlignment="1">
      <alignment horizontal="right" vertical="center"/>
    </xf>
    <xf numFmtId="168" fontId="3" fillId="0" borderId="0" xfId="0" applyNumberFormat="1" applyFont="1" applyAlignment="1">
      <alignment horizontal="right" vertical="center"/>
    </xf>
    <xf numFmtId="167" fontId="3" fillId="0" borderId="0" xfId="0" applyNumberFormat="1" applyFont="1" applyFill="1" applyBorder="1" applyAlignment="1">
      <alignment horizontal="left" vertical="center" wrapText="1"/>
    </xf>
    <xf numFmtId="167" fontId="3" fillId="0" borderId="0" xfId="0" applyNumberFormat="1" applyFont="1" applyFill="1" applyBorder="1" applyAlignment="1">
      <alignment vertical="center" wrapText="1"/>
    </xf>
    <xf numFmtId="167" fontId="3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5" fontId="5" fillId="0" borderId="0" xfId="0" quotePrefix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2" fillId="0" borderId="0" xfId="0" applyNumberFormat="1" applyFont="1" applyBorder="1" applyAlignment="1">
      <alignment vertical="center" wrapText="1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vertical="center" wrapText="1"/>
    </xf>
    <xf numFmtId="164" fontId="3" fillId="0" borderId="0" xfId="1" applyNumberFormat="1" applyFont="1" applyFill="1" applyBorder="1" applyAlignment="1">
      <alignment horizontal="left" vertical="center" wrapText="1"/>
    </xf>
    <xf numFmtId="164" fontId="3" fillId="0" borderId="0" xfId="1" applyNumberFormat="1" applyFont="1" applyFill="1" applyBorder="1" applyAlignment="1">
      <alignment vertical="center" wrapText="1"/>
    </xf>
    <xf numFmtId="164" fontId="3" fillId="0" borderId="0" xfId="1" applyNumberFormat="1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164" fontId="6" fillId="0" borderId="0" xfId="1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Border="1" applyAlignment="1">
      <alignment horizontal="right" vertical="center"/>
    </xf>
    <xf numFmtId="43" fontId="3" fillId="0" borderId="0" xfId="0" applyNumberFormat="1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164" fontId="5" fillId="0" borderId="0" xfId="1" applyNumberFormat="1" applyFont="1"/>
    <xf numFmtId="164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1" applyNumberFormat="1" applyFont="1" applyAlignment="1">
      <alignment vertical="center"/>
    </xf>
    <xf numFmtId="16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1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left" vertical="center" wrapText="1"/>
    </xf>
    <xf numFmtId="43" fontId="2" fillId="0" borderId="2" xfId="0" applyNumberFormat="1" applyFont="1" applyBorder="1" applyAlignment="1">
      <alignment vertical="center" wrapText="1"/>
    </xf>
    <xf numFmtId="169" fontId="6" fillId="0" borderId="2" xfId="0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6" fontId="2" fillId="0" borderId="0" xfId="0" applyNumberFormat="1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%20%20Department/2016%20Rate%20Rebasing/Settlement%20Proposal/Settlement_Models/Settlement_Models_Filed/MILTON_EB-2015-0089_SettlementP_Weather_%20Normalization_%20Regression%20Model_2016_by%20_customer_class_201602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riff_Rates_May_1_2016_Milton%20Hydro%20EB-2015-00089%20Decis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ds.ontarioenergyboard.ca/webdrawer/webdrawer.dll/webdrawer/rec/506056/view/North%20Bay%202015%20Load%20Forecast%20Model_Settl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aInit"/>
      <sheetName val="Summary"/>
      <sheetName val="Residential"/>
      <sheetName val="GS &lt; 50 kW"/>
      <sheetName val="GS &gt; 50 kW"/>
      <sheetName val="Rate Class Energy Model"/>
      <sheetName val="Rate Class Customer Model"/>
      <sheetName val="Rate Class Load Model"/>
    </sheetNames>
    <sheetDataSet>
      <sheetData sheetId="0" refreshError="1"/>
      <sheetData sheetId="1">
        <row r="10">
          <cell r="A10" t="str">
            <v xml:space="preserve">Residential </v>
          </cell>
        </row>
        <row r="14">
          <cell r="A14" t="str">
            <v>General Service &lt; 50 kW</v>
          </cell>
        </row>
        <row r="18">
          <cell r="A18" t="str">
            <v>General Service  50 to 999 kW</v>
          </cell>
        </row>
        <row r="23">
          <cell r="A23" t="str">
            <v>General Service 1000 to 4999 kW</v>
          </cell>
        </row>
        <row r="24">
          <cell r="A24" t="str">
            <v xml:space="preserve">  Customers</v>
          </cell>
        </row>
        <row r="28">
          <cell r="A28" t="str">
            <v>Large User</v>
          </cell>
        </row>
        <row r="33">
          <cell r="A33" t="str">
            <v xml:space="preserve">Streetlights </v>
          </cell>
        </row>
        <row r="34">
          <cell r="A34" t="str">
            <v xml:space="preserve">  Connections</v>
          </cell>
        </row>
        <row r="38">
          <cell r="A38" t="str">
            <v>Sentinel Lights</v>
          </cell>
        </row>
        <row r="39">
          <cell r="A39" t="str">
            <v xml:space="preserve">  Connections</v>
          </cell>
        </row>
        <row r="41">
          <cell r="A41" t="str">
            <v xml:space="preserve">  kW</v>
          </cell>
        </row>
        <row r="43">
          <cell r="A43" t="str">
            <v xml:space="preserve">Unmetered Loads </v>
          </cell>
        </row>
        <row r="44">
          <cell r="A44" t="str">
            <v xml:space="preserve">  Connections</v>
          </cell>
        </row>
        <row r="45">
          <cell r="A45" t="str">
            <v xml:space="preserve">  kWh</v>
          </cell>
        </row>
      </sheetData>
      <sheetData sheetId="2">
        <row r="183">
          <cell r="L183">
            <v>27942799.417816814</v>
          </cell>
        </row>
        <row r="184">
          <cell r="L184">
            <v>26800723.700389925</v>
          </cell>
        </row>
        <row r="185">
          <cell r="L185">
            <v>25025682.240067631</v>
          </cell>
        </row>
        <row r="186">
          <cell r="L186">
            <v>23163118.416309085</v>
          </cell>
        </row>
        <row r="189">
          <cell r="H189">
            <v>33876</v>
          </cell>
          <cell r="L189">
            <v>29835738.023640648</v>
          </cell>
        </row>
        <row r="190">
          <cell r="H190">
            <v>34001</v>
          </cell>
          <cell r="L190">
            <v>28767411.956715986</v>
          </cell>
        </row>
        <row r="191">
          <cell r="H191">
            <v>34126</v>
          </cell>
          <cell r="L191">
            <v>23573063.339484219</v>
          </cell>
        </row>
        <row r="192">
          <cell r="H192">
            <v>34251</v>
          </cell>
          <cell r="L192">
            <v>23775698.617014337</v>
          </cell>
        </row>
        <row r="193">
          <cell r="H193">
            <v>34376</v>
          </cell>
          <cell r="L193">
            <v>24374015.07685332</v>
          </cell>
        </row>
        <row r="194">
          <cell r="H194">
            <v>34501</v>
          </cell>
          <cell r="L194">
            <v>28204107.476320628</v>
          </cell>
        </row>
      </sheetData>
      <sheetData sheetId="3">
        <row r="183">
          <cell r="L183">
            <v>8287606.17243913</v>
          </cell>
        </row>
        <row r="184">
          <cell r="L184">
            <v>8098298.2739695534</v>
          </cell>
        </row>
        <row r="185">
          <cell r="L185">
            <v>7767686.5229570512</v>
          </cell>
        </row>
        <row r="186">
          <cell r="L186">
            <v>7236538.6297651073</v>
          </cell>
        </row>
        <row r="189">
          <cell r="H189">
            <v>2616</v>
          </cell>
          <cell r="L189">
            <v>7787809.9138404205</v>
          </cell>
        </row>
        <row r="190">
          <cell r="H190">
            <v>2622</v>
          </cell>
          <cell r="L190">
            <v>7641577.2819088735</v>
          </cell>
        </row>
        <row r="191">
          <cell r="H191">
            <v>2628</v>
          </cell>
          <cell r="L191">
            <v>7040935.1184956273</v>
          </cell>
        </row>
        <row r="192">
          <cell r="H192">
            <v>2633</v>
          </cell>
          <cell r="L192">
            <v>7276904.5160202077</v>
          </cell>
        </row>
        <row r="193">
          <cell r="H193">
            <v>2638</v>
          </cell>
          <cell r="L193">
            <v>7589222.2826142702</v>
          </cell>
        </row>
        <row r="194">
          <cell r="H194">
            <v>2642.0505332703788</v>
          </cell>
          <cell r="L194">
            <v>8288362.0731628779</v>
          </cell>
        </row>
      </sheetData>
      <sheetData sheetId="4">
        <row r="183">
          <cell r="M183">
            <v>17447071.413337208</v>
          </cell>
        </row>
        <row r="184">
          <cell r="M184">
            <v>17064086.544661246</v>
          </cell>
        </row>
        <row r="185">
          <cell r="M185">
            <v>17366503.626905024</v>
          </cell>
        </row>
        <row r="186">
          <cell r="M186">
            <v>16651102.302495565</v>
          </cell>
        </row>
        <row r="189">
          <cell r="I189">
            <v>298</v>
          </cell>
          <cell r="M189">
            <v>17738525.001282688</v>
          </cell>
        </row>
        <row r="190">
          <cell r="I190">
            <v>299</v>
          </cell>
          <cell r="M190">
            <v>17836024.864212226</v>
          </cell>
        </row>
        <row r="191">
          <cell r="I191">
            <v>300</v>
          </cell>
          <cell r="M191">
            <v>16822061.41289464</v>
          </cell>
        </row>
        <row r="192">
          <cell r="I192">
            <v>301</v>
          </cell>
          <cell r="M192">
            <v>16876565.421941858</v>
          </cell>
        </row>
        <row r="193">
          <cell r="I193">
            <v>302</v>
          </cell>
          <cell r="M193">
            <v>17423654.5481438</v>
          </cell>
        </row>
        <row r="194">
          <cell r="I194">
            <v>301.93278392268166</v>
          </cell>
          <cell r="M194">
            <v>17778528.221380565</v>
          </cell>
        </row>
      </sheetData>
      <sheetData sheetId="5">
        <row r="77">
          <cell r="O77">
            <v>1096422.73</v>
          </cell>
        </row>
      </sheetData>
      <sheetData sheetId="6">
        <row r="20">
          <cell r="E20">
            <v>13</v>
          </cell>
          <cell r="F20">
            <v>3</v>
          </cell>
          <cell r="G20">
            <v>3233.7042464999763</v>
          </cell>
          <cell r="H20">
            <v>242.20347610658669</v>
          </cell>
          <cell r="I20">
            <v>178</v>
          </cell>
        </row>
      </sheetData>
      <sheetData sheetId="7">
        <row r="19">
          <cell r="C19">
            <v>245808.10482149263</v>
          </cell>
          <cell r="D19">
            <v>260162.16410264492</v>
          </cell>
          <cell r="E19">
            <v>23290.889535479138</v>
          </cell>
          <cell r="F19">
            <v>403.86488874638457</v>
          </cell>
        </row>
        <row r="40">
          <cell r="B40">
            <v>2.6853674300191472E-3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 Tariff 2016"/>
    </sheetNames>
    <sheetDataSet>
      <sheetData sheetId="0">
        <row r="25">
          <cell r="D25">
            <v>18.61</v>
          </cell>
        </row>
        <row r="29">
          <cell r="D29">
            <v>1.0999999999999999E-2</v>
          </cell>
        </row>
        <row r="60">
          <cell r="D60">
            <v>16.506275542539452</v>
          </cell>
        </row>
        <row r="62">
          <cell r="D62">
            <v>1.7406617844859786E-2</v>
          </cell>
        </row>
        <row r="96">
          <cell r="D96">
            <v>77.98</v>
          </cell>
        </row>
        <row r="97">
          <cell r="D97">
            <v>3.0099963876941223</v>
          </cell>
        </row>
        <row r="131">
          <cell r="D131">
            <v>612.06758430541402</v>
          </cell>
        </row>
        <row r="132">
          <cell r="D132">
            <v>2.1082127647567956</v>
          </cell>
        </row>
        <row r="166">
          <cell r="D166">
            <v>2443.7474808507045</v>
          </cell>
        </row>
        <row r="167">
          <cell r="D167">
            <v>1.4630222001732529</v>
          </cell>
        </row>
        <row r="200">
          <cell r="D200">
            <v>7.8629894402642497</v>
          </cell>
        </row>
        <row r="201">
          <cell r="D201">
            <v>1.6606313576130603E-2</v>
          </cell>
        </row>
        <row r="233">
          <cell r="D233">
            <v>3.4411865619120316</v>
          </cell>
        </row>
        <row r="234">
          <cell r="D234">
            <v>26.149619167754238</v>
          </cell>
        </row>
        <row r="266">
          <cell r="D266">
            <v>2.4044428291719795</v>
          </cell>
        </row>
        <row r="267">
          <cell r="D267">
            <v>10.526509268301446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gone Rev Rate Rider"/>
      <sheetName val="Exhibit 3 Tables"/>
      <sheetName val="Act vs Pred Chart"/>
      <sheetName val="Summary"/>
      <sheetName val="Purchased Power Model"/>
      <sheetName val="Rate Class Energy Model"/>
      <sheetName val="Rate Class Customer Model"/>
      <sheetName val="Rate Class Load Model"/>
      <sheetName val="Weather Normal Values"/>
    </sheetNames>
    <sheetDataSet>
      <sheetData sheetId="0"/>
      <sheetData sheetId="1"/>
      <sheetData sheetId="2" refreshError="1"/>
      <sheetData sheetId="3">
        <row r="19">
          <cell r="A19" t="str">
            <v xml:space="preserve">Residential 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7"/>
  <sheetViews>
    <sheetView tabSelected="1" topLeftCell="A4" zoomScale="80" zoomScaleNormal="80" workbookViewId="0">
      <pane xSplit="1" ySplit="5" topLeftCell="B9" activePane="bottomRight" state="frozen"/>
      <selection activeCell="A4" sqref="A4"/>
      <selection pane="topRight" activeCell="B4" sqref="B4"/>
      <selection pane="bottomLeft" activeCell="A8" sqref="A8"/>
      <selection pane="bottomRight" activeCell="C73" sqref="C73"/>
    </sheetView>
  </sheetViews>
  <sheetFormatPr defaultRowHeight="14.25" x14ac:dyDescent="0.2"/>
  <cols>
    <col min="1" max="1" width="27" customWidth="1"/>
    <col min="2" max="15" width="12.625" customWidth="1"/>
    <col min="16" max="16" width="12.625" style="7" customWidth="1"/>
    <col min="17" max="17" width="12.625" style="104" customWidth="1"/>
    <col min="18" max="18" width="12.625" style="91" customWidth="1"/>
    <col min="19" max="19" width="13.75" style="91" bestFit="1" customWidth="1"/>
  </cols>
  <sheetData>
    <row r="1" spans="1:19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9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9" x14ac:dyDescent="0.2">
      <c r="A3" s="108" t="s">
        <v>0</v>
      </c>
      <c r="B3" s="108"/>
      <c r="C3" s="108"/>
      <c r="D3" s="2"/>
      <c r="E3" s="1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9" ht="15.75" customHeight="1" x14ac:dyDescent="0.2">
      <c r="A4" s="4"/>
      <c r="B4" s="4"/>
      <c r="C4" s="4"/>
      <c r="D4" s="5"/>
      <c r="E4" s="4"/>
      <c r="F4" s="6"/>
      <c r="G4" s="6"/>
      <c r="H4" s="6"/>
      <c r="I4" s="6"/>
      <c r="J4" s="6"/>
      <c r="K4" s="4"/>
      <c r="L4" s="4"/>
      <c r="M4" s="4"/>
      <c r="N4" s="4"/>
      <c r="O4" s="4"/>
    </row>
    <row r="5" spans="1:19" s="67" customFormat="1" ht="76.5" x14ac:dyDescent="0.2">
      <c r="A5" s="31"/>
      <c r="B5" s="9" t="s">
        <v>16</v>
      </c>
      <c r="C5" s="9" t="s">
        <v>17</v>
      </c>
      <c r="D5" s="34" t="s">
        <v>19</v>
      </c>
      <c r="E5" s="34" t="s">
        <v>5</v>
      </c>
      <c r="F5" s="34" t="s">
        <v>6</v>
      </c>
      <c r="G5" s="83" t="s">
        <v>12</v>
      </c>
      <c r="H5" s="83" t="s">
        <v>13</v>
      </c>
      <c r="I5" s="34" t="s">
        <v>7</v>
      </c>
      <c r="J5" s="34" t="s">
        <v>8</v>
      </c>
      <c r="K5" s="9" t="s">
        <v>9</v>
      </c>
      <c r="L5" s="9" t="s">
        <v>10</v>
      </c>
      <c r="M5" s="82" t="s">
        <v>20</v>
      </c>
      <c r="N5" s="66" t="s">
        <v>22</v>
      </c>
      <c r="O5" s="89" t="s">
        <v>15</v>
      </c>
      <c r="P5" s="89" t="s">
        <v>14</v>
      </c>
      <c r="Q5" s="105"/>
      <c r="R5" s="92" t="s">
        <v>18</v>
      </c>
      <c r="S5" s="92"/>
    </row>
    <row r="6" spans="1:19" s="35" customFormat="1" ht="18" customHeight="1" x14ac:dyDescent="0.2">
      <c r="A6" s="33"/>
      <c r="B6" s="9"/>
      <c r="C6" s="9"/>
      <c r="D6" s="34" t="s">
        <v>21</v>
      </c>
      <c r="E6" s="33"/>
      <c r="F6" s="9"/>
      <c r="G6" s="65" t="s">
        <v>11</v>
      </c>
      <c r="H6" s="65" t="s">
        <v>11</v>
      </c>
      <c r="I6" s="9"/>
      <c r="J6" s="9"/>
      <c r="K6" s="9"/>
      <c r="L6" s="9"/>
      <c r="N6" s="9"/>
      <c r="O6" s="10"/>
      <c r="P6" s="93"/>
      <c r="Q6" s="106"/>
      <c r="R6" s="94"/>
      <c r="S6" s="94"/>
    </row>
    <row r="7" spans="1:19" s="35" customFormat="1" ht="18" customHeight="1" x14ac:dyDescent="0.2">
      <c r="A7" s="33"/>
      <c r="B7" s="9"/>
      <c r="C7" s="9"/>
      <c r="D7" s="34" t="s">
        <v>31</v>
      </c>
      <c r="E7" s="33"/>
      <c r="F7" s="9"/>
      <c r="G7" s="65"/>
      <c r="H7" s="65"/>
      <c r="I7" s="9"/>
      <c r="J7" s="9"/>
      <c r="K7" s="9"/>
      <c r="L7" s="9"/>
      <c r="M7" s="84"/>
      <c r="N7" s="9"/>
      <c r="O7" s="10"/>
      <c r="P7" s="93"/>
      <c r="Q7" s="106"/>
      <c r="R7" s="94"/>
      <c r="S7" s="94"/>
    </row>
    <row r="8" spans="1:19" s="35" customFormat="1" ht="18" customHeight="1" x14ac:dyDescent="0.2">
      <c r="A8" s="33"/>
      <c r="B8" s="9"/>
      <c r="C8" s="9"/>
      <c r="D8" s="34">
        <v>2</v>
      </c>
      <c r="E8" s="33"/>
      <c r="F8" s="9"/>
      <c r="G8" s="9"/>
      <c r="H8" s="9"/>
      <c r="I8" s="9"/>
      <c r="J8" s="9"/>
      <c r="K8" s="9"/>
      <c r="L8" s="9"/>
      <c r="M8" s="9"/>
      <c r="N8" s="9"/>
      <c r="O8" s="68">
        <v>8</v>
      </c>
      <c r="P8" s="93"/>
      <c r="Q8" s="106"/>
      <c r="R8" s="94"/>
      <c r="S8" s="94"/>
    </row>
    <row r="9" spans="1:19" s="35" customFormat="1" ht="18" customHeight="1" x14ac:dyDescent="0.2">
      <c r="A9" s="11" t="str">
        <f>+[1]Summary!$A$10</f>
        <v xml:space="preserve">Residential </v>
      </c>
      <c r="B9" s="11"/>
      <c r="C9" s="11"/>
      <c r="D9" s="12"/>
      <c r="E9" s="54"/>
      <c r="F9" s="12"/>
      <c r="G9" s="28"/>
      <c r="H9" s="28"/>
      <c r="I9" s="12"/>
      <c r="J9" s="12"/>
      <c r="K9" s="12"/>
      <c r="L9" s="12"/>
      <c r="M9" s="12"/>
      <c r="N9" s="12"/>
      <c r="O9" s="68"/>
      <c r="P9" s="93"/>
      <c r="Q9" s="106"/>
      <c r="R9" s="94"/>
      <c r="S9" s="94"/>
    </row>
    <row r="10" spans="1:19" s="35" customFormat="1" ht="18" customHeight="1" x14ac:dyDescent="0.2">
      <c r="A10" s="9" t="s">
        <v>23</v>
      </c>
      <c r="B10" s="13">
        <v>33375</v>
      </c>
      <c r="C10" s="14">
        <v>20580362</v>
      </c>
      <c r="D10" s="15"/>
      <c r="E10" s="55">
        <f>15.43+0.08</f>
        <v>15.51</v>
      </c>
      <c r="F10" s="43">
        <v>1.44E-2</v>
      </c>
      <c r="G10" s="80">
        <f>+'[2]COS Tariff 2016'!$D$25</f>
        <v>18.61</v>
      </c>
      <c r="H10" s="43">
        <f>+'[2]COS Tariff 2016'!$D$29</f>
        <v>1.0999999999999999E-2</v>
      </c>
      <c r="I10" s="17">
        <f>+G10-E10</f>
        <v>3.0999999999999996</v>
      </c>
      <c r="J10" s="19">
        <f>+H10-F10</f>
        <v>-3.4000000000000002E-3</v>
      </c>
      <c r="K10" s="18">
        <f>+B10*I10</f>
        <v>103462.49999999999</v>
      </c>
      <c r="L10" s="18">
        <f t="shared" ref="L10:L16" si="0">+J10*C10</f>
        <v>-69973.230800000005</v>
      </c>
      <c r="M10" s="70"/>
      <c r="N10" s="70"/>
      <c r="O10" s="10"/>
      <c r="P10" s="93"/>
      <c r="Q10" s="106"/>
      <c r="R10" s="94"/>
      <c r="S10" s="94"/>
    </row>
    <row r="11" spans="1:19" s="35" customFormat="1" ht="18" customHeight="1" x14ac:dyDescent="0.2">
      <c r="A11" s="9" t="s">
        <v>24</v>
      </c>
      <c r="B11" s="13">
        <v>33515</v>
      </c>
      <c r="C11" s="14">
        <v>30017796</v>
      </c>
      <c r="D11" s="15"/>
      <c r="E11" s="55">
        <f>+E10</f>
        <v>15.51</v>
      </c>
      <c r="F11" s="43">
        <f>+F10</f>
        <v>1.44E-2</v>
      </c>
      <c r="G11" s="80">
        <f>+G10</f>
        <v>18.61</v>
      </c>
      <c r="H11" s="43">
        <f>+H10</f>
        <v>1.0999999999999999E-2</v>
      </c>
      <c r="I11" s="17">
        <f t="shared" ref="I11:I16" si="1">+G11-E11</f>
        <v>3.0999999999999996</v>
      </c>
      <c r="J11" s="19">
        <f t="shared" ref="J11:J16" si="2">+H11-F11</f>
        <v>-3.4000000000000002E-3</v>
      </c>
      <c r="K11" s="18">
        <f t="shared" ref="K11:K16" si="3">+B11*I11</f>
        <v>103896.49999999999</v>
      </c>
      <c r="L11" s="18">
        <f t="shared" si="0"/>
        <v>-102060.50640000001</v>
      </c>
      <c r="M11" s="70"/>
      <c r="N11" s="70"/>
      <c r="O11" s="10"/>
      <c r="P11" s="93"/>
      <c r="Q11" s="106"/>
      <c r="R11" s="94"/>
      <c r="S11" s="94"/>
    </row>
    <row r="12" spans="1:19" s="35" customFormat="1" ht="18" customHeight="1" x14ac:dyDescent="0.2">
      <c r="A12" s="36" t="s">
        <v>25</v>
      </c>
      <c r="B12" s="13">
        <f>+[1]Residential!H189</f>
        <v>33876</v>
      </c>
      <c r="C12" s="14">
        <f>+[1]Residential!L189</f>
        <v>29835738.023640648</v>
      </c>
      <c r="D12" s="31"/>
      <c r="E12" s="55">
        <f t="shared" ref="E12:E16" si="4">+E11</f>
        <v>15.51</v>
      </c>
      <c r="F12" s="43">
        <f t="shared" ref="F12:F16" si="5">+F11</f>
        <v>1.44E-2</v>
      </c>
      <c r="G12" s="80">
        <f t="shared" ref="G12:G16" si="6">+G11</f>
        <v>18.61</v>
      </c>
      <c r="H12" s="43">
        <f t="shared" ref="H12:H16" si="7">+H11</f>
        <v>1.0999999999999999E-2</v>
      </c>
      <c r="I12" s="17">
        <f t="shared" si="1"/>
        <v>3.0999999999999996</v>
      </c>
      <c r="J12" s="19">
        <f t="shared" si="2"/>
        <v>-3.4000000000000002E-3</v>
      </c>
      <c r="K12" s="18">
        <f t="shared" si="3"/>
        <v>105015.59999999999</v>
      </c>
      <c r="L12" s="18">
        <f t="shared" si="0"/>
        <v>-101441.5092803782</v>
      </c>
      <c r="M12" s="70"/>
      <c r="N12" s="71"/>
      <c r="O12" s="10"/>
      <c r="P12" s="93"/>
      <c r="Q12" s="106"/>
      <c r="R12" s="94"/>
      <c r="S12" s="94"/>
    </row>
    <row r="13" spans="1:19" s="35" customFormat="1" ht="18" customHeight="1" x14ac:dyDescent="0.2">
      <c r="A13" s="36" t="s">
        <v>26</v>
      </c>
      <c r="B13" s="13">
        <f>+[1]Residential!H190</f>
        <v>34001</v>
      </c>
      <c r="C13" s="14">
        <f>+[1]Residential!L190</f>
        <v>28767411.956715986</v>
      </c>
      <c r="D13" s="31"/>
      <c r="E13" s="55">
        <f t="shared" si="4"/>
        <v>15.51</v>
      </c>
      <c r="F13" s="43">
        <f t="shared" si="5"/>
        <v>1.44E-2</v>
      </c>
      <c r="G13" s="80">
        <f t="shared" si="6"/>
        <v>18.61</v>
      </c>
      <c r="H13" s="43">
        <f t="shared" si="7"/>
        <v>1.0999999999999999E-2</v>
      </c>
      <c r="I13" s="17">
        <f t="shared" si="1"/>
        <v>3.0999999999999996</v>
      </c>
      <c r="J13" s="19">
        <f t="shared" si="2"/>
        <v>-3.4000000000000002E-3</v>
      </c>
      <c r="K13" s="18">
        <f t="shared" si="3"/>
        <v>105403.09999999999</v>
      </c>
      <c r="L13" s="18">
        <f t="shared" si="0"/>
        <v>-97809.200652834363</v>
      </c>
      <c r="M13" s="70"/>
      <c r="N13" s="71"/>
      <c r="O13" s="10"/>
      <c r="P13" s="93"/>
      <c r="Q13" s="106"/>
      <c r="R13" s="94"/>
      <c r="S13" s="94"/>
    </row>
    <row r="14" spans="1:19" s="35" customFormat="1" ht="18" customHeight="1" x14ac:dyDescent="0.2">
      <c r="A14" s="36" t="s">
        <v>1</v>
      </c>
      <c r="B14" s="13">
        <f>+[1]Residential!H191</f>
        <v>34126</v>
      </c>
      <c r="C14" s="14">
        <f>+[1]Residential!L191</f>
        <v>23573063.339484219</v>
      </c>
      <c r="D14" s="31"/>
      <c r="E14" s="55"/>
      <c r="F14" s="43"/>
      <c r="G14" s="80"/>
      <c r="H14" s="43"/>
      <c r="I14" s="17">
        <f t="shared" ref="I14:I16" si="8">+G14-E14</f>
        <v>0</v>
      </c>
      <c r="J14" s="19">
        <f t="shared" ref="J14:J16" si="9">+H14-F14</f>
        <v>0</v>
      </c>
      <c r="K14" s="18">
        <f t="shared" ref="K14:K16" si="10">+B14*I14</f>
        <v>0</v>
      </c>
      <c r="L14" s="18">
        <f t="shared" ref="L14:L16" si="11">+J14*C14</f>
        <v>0</v>
      </c>
      <c r="M14" s="70"/>
      <c r="N14" s="71"/>
      <c r="O14" s="10"/>
      <c r="P14" s="93"/>
      <c r="Q14" s="106"/>
      <c r="R14" s="94"/>
      <c r="S14" s="94"/>
    </row>
    <row r="15" spans="1:19" s="35" customFormat="1" ht="18" customHeight="1" x14ac:dyDescent="0.2">
      <c r="A15" s="36" t="s">
        <v>2</v>
      </c>
      <c r="B15" s="13">
        <f>+[1]Residential!H192</f>
        <v>34251</v>
      </c>
      <c r="C15" s="14">
        <f>+[1]Residential!L192</f>
        <v>23775698.617014337</v>
      </c>
      <c r="D15" s="31"/>
      <c r="E15" s="55"/>
      <c r="F15" s="43"/>
      <c r="G15" s="80"/>
      <c r="H15" s="43"/>
      <c r="I15" s="17">
        <f t="shared" si="8"/>
        <v>0</v>
      </c>
      <c r="J15" s="19">
        <f t="shared" si="9"/>
        <v>0</v>
      </c>
      <c r="K15" s="18">
        <f t="shared" si="10"/>
        <v>0</v>
      </c>
      <c r="L15" s="18">
        <f t="shared" si="11"/>
        <v>0</v>
      </c>
      <c r="M15" s="70"/>
      <c r="N15" s="71"/>
      <c r="O15" s="10"/>
      <c r="P15" s="93"/>
      <c r="Q15" s="106"/>
      <c r="R15" s="94"/>
      <c r="S15" s="94"/>
    </row>
    <row r="16" spans="1:19" s="35" customFormat="1" ht="18" customHeight="1" x14ac:dyDescent="0.2">
      <c r="A16" s="36" t="s">
        <v>3</v>
      </c>
      <c r="B16" s="13">
        <f>+[1]Residential!H193</f>
        <v>34376</v>
      </c>
      <c r="C16" s="14">
        <f>+[1]Residential!L193</f>
        <v>24374015.07685332</v>
      </c>
      <c r="D16" s="31"/>
      <c r="E16" s="55"/>
      <c r="F16" s="43"/>
      <c r="G16" s="80"/>
      <c r="H16" s="43"/>
      <c r="I16" s="17">
        <f t="shared" si="8"/>
        <v>0</v>
      </c>
      <c r="J16" s="19">
        <f t="shared" si="9"/>
        <v>0</v>
      </c>
      <c r="K16" s="18">
        <f t="shared" si="10"/>
        <v>0</v>
      </c>
      <c r="L16" s="18">
        <f t="shared" si="11"/>
        <v>0</v>
      </c>
      <c r="M16" s="70"/>
      <c r="N16" s="71"/>
      <c r="O16" s="10"/>
      <c r="P16" s="93"/>
      <c r="Q16" s="106"/>
      <c r="R16" s="94"/>
      <c r="S16" s="94"/>
    </row>
    <row r="17" spans="1:19" s="48" customFormat="1" ht="18" customHeight="1" x14ac:dyDescent="0.2">
      <c r="A17" s="64" t="s">
        <v>4</v>
      </c>
      <c r="B17" s="46"/>
      <c r="C17" s="46"/>
      <c r="D17" s="21"/>
      <c r="E17" s="57"/>
      <c r="F17" s="44"/>
      <c r="G17" s="28"/>
      <c r="H17" s="28"/>
      <c r="I17" s="49"/>
      <c r="J17" s="51"/>
      <c r="K17" s="90">
        <f>SUM(K10:K16)</f>
        <v>417777.69999999995</v>
      </c>
      <c r="L17" s="90">
        <f>SUM(L10:L16)</f>
        <v>-371284.44713321258</v>
      </c>
      <c r="M17" s="79">
        <f>+[1]Residential!$H$194</f>
        <v>34501</v>
      </c>
      <c r="N17" s="72">
        <f>+([1]Residential!$L$183+[1]Residential!$L$184+[1]Residential!$L$185+[1]Residential!$L$186+[1]Residential!$L$191+[1]Residential!$L$192+[1]Residential!$L$193+[1]Residential!$L$194)/8</f>
        <v>25357401.035531998</v>
      </c>
      <c r="O17" s="69">
        <f>+K17/M17/$O$8</f>
        <v>1.5136434451175327</v>
      </c>
      <c r="P17" s="95">
        <f>+L17/N17/$O$8</f>
        <v>-1.8302568085198831E-3</v>
      </c>
      <c r="Q17" s="107"/>
      <c r="R17" s="97">
        <f>+M17*O17*$O$8</f>
        <v>417777.69999999995</v>
      </c>
      <c r="S17" s="97">
        <f>+N17*P17*$O$8</f>
        <v>-371284.44713321258</v>
      </c>
    </row>
    <row r="18" spans="1:19" s="48" customFormat="1" ht="18" customHeight="1" x14ac:dyDescent="0.2">
      <c r="A18" s="64"/>
      <c r="B18" s="46"/>
      <c r="C18" s="46"/>
      <c r="D18" s="21"/>
      <c r="E18" s="57"/>
      <c r="F18" s="44"/>
      <c r="G18" s="28"/>
      <c r="H18" s="28"/>
      <c r="I18" s="49"/>
      <c r="J18" s="51"/>
      <c r="K18" s="50"/>
      <c r="L18" s="50"/>
      <c r="M18" s="73"/>
      <c r="N18" s="72"/>
      <c r="O18" s="47"/>
      <c r="P18" s="96"/>
      <c r="Q18" s="107"/>
      <c r="R18" s="97"/>
      <c r="S18" s="97"/>
    </row>
    <row r="19" spans="1:19" s="35" customFormat="1" ht="18" customHeight="1" x14ac:dyDescent="0.2">
      <c r="A19" s="11" t="str">
        <f>+[1]Summary!$A$14</f>
        <v>General Service &lt; 50 kW</v>
      </c>
      <c r="B19" s="11"/>
      <c r="C19" s="11"/>
      <c r="D19" s="12"/>
      <c r="E19" s="57"/>
      <c r="F19" s="44"/>
      <c r="G19" s="28"/>
      <c r="H19" s="28"/>
      <c r="I19" s="12"/>
      <c r="J19" s="41"/>
      <c r="K19" s="12"/>
      <c r="L19" s="12"/>
      <c r="M19" s="74"/>
      <c r="N19" s="74"/>
      <c r="O19" s="10"/>
      <c r="P19" s="93"/>
      <c r="Q19" s="106"/>
      <c r="R19" s="94"/>
      <c r="S19" s="94"/>
    </row>
    <row r="20" spans="1:19" s="35" customFormat="1" ht="18" customHeight="1" x14ac:dyDescent="0.2">
      <c r="A20" s="9" t="s">
        <v>23</v>
      </c>
      <c r="B20" s="20">
        <v>2608</v>
      </c>
      <c r="C20" s="20">
        <v>6413975</v>
      </c>
      <c r="D20" s="16"/>
      <c r="E20" s="55">
        <v>16.420000000000002</v>
      </c>
      <c r="F20" s="52">
        <v>1.7399999999999999E-2</v>
      </c>
      <c r="G20" s="55">
        <f>+'[2]COS Tariff 2016'!$D$60</f>
        <v>16.506275542539452</v>
      </c>
      <c r="H20" s="52">
        <f>+'[2]COS Tariff 2016'!$D$62</f>
        <v>1.7406617844859786E-2</v>
      </c>
      <c r="I20" s="17">
        <f t="shared" ref="I20:I26" si="12">+G20-E20</f>
        <v>8.6275542539450356E-2</v>
      </c>
      <c r="J20" s="19">
        <f t="shared" ref="J20:J26" si="13">+H20-F20</f>
        <v>6.6178448597867257E-6</v>
      </c>
      <c r="K20" s="18">
        <f>+B20*I20</f>
        <v>225.00661494288653</v>
      </c>
      <c r="L20" s="18">
        <v>0</v>
      </c>
      <c r="M20" s="70"/>
      <c r="N20" s="75"/>
      <c r="O20" s="10"/>
      <c r="P20" s="93"/>
      <c r="Q20" s="106"/>
      <c r="R20" s="94"/>
      <c r="S20" s="94"/>
    </row>
    <row r="21" spans="1:19" s="35" customFormat="1" ht="18" customHeight="1" x14ac:dyDescent="0.2">
      <c r="A21" s="9" t="s">
        <v>24</v>
      </c>
      <c r="B21" s="20">
        <v>2625</v>
      </c>
      <c r="C21" s="20">
        <v>7347608</v>
      </c>
      <c r="D21" s="16"/>
      <c r="E21" s="55">
        <v>16.420000000000002</v>
      </c>
      <c r="F21" s="52">
        <v>1.7399999999999999E-2</v>
      </c>
      <c r="G21" s="86">
        <f>+G20</f>
        <v>16.506275542539452</v>
      </c>
      <c r="H21" s="52">
        <f>+H20</f>
        <v>1.7406617844859786E-2</v>
      </c>
      <c r="I21" s="17">
        <f t="shared" si="12"/>
        <v>8.6275542539450356E-2</v>
      </c>
      <c r="J21" s="19">
        <f t="shared" si="13"/>
        <v>6.6178448597867257E-6</v>
      </c>
      <c r="K21" s="18">
        <f t="shared" ref="K21:K26" si="14">+B21*I21</f>
        <v>226.47329916605719</v>
      </c>
      <c r="L21" s="18">
        <v>0</v>
      </c>
      <c r="M21" s="70"/>
      <c r="N21" s="75"/>
      <c r="O21" s="10"/>
      <c r="P21" s="93"/>
      <c r="Q21" s="106"/>
      <c r="R21" s="94"/>
      <c r="S21" s="94"/>
    </row>
    <row r="22" spans="1:19" s="35" customFormat="1" ht="18" customHeight="1" x14ac:dyDescent="0.2">
      <c r="A22" s="36" t="s">
        <v>25</v>
      </c>
      <c r="B22" s="20">
        <f>+'[1]GS &lt; 50 kW'!H189</f>
        <v>2616</v>
      </c>
      <c r="C22" s="20">
        <f>+'[1]GS &lt; 50 kW'!L189</f>
        <v>7787809.9138404205</v>
      </c>
      <c r="D22" s="16"/>
      <c r="E22" s="55">
        <v>16.420000000000002</v>
      </c>
      <c r="F22" s="52">
        <v>1.7399999999999999E-2</v>
      </c>
      <c r="G22" s="86">
        <f t="shared" ref="G22:G23" si="15">+G21</f>
        <v>16.506275542539452</v>
      </c>
      <c r="H22" s="52">
        <f t="shared" ref="H22:H23" si="16">+H21</f>
        <v>1.7406617844859786E-2</v>
      </c>
      <c r="I22" s="17">
        <f t="shared" si="12"/>
        <v>8.6275542539450356E-2</v>
      </c>
      <c r="J22" s="19">
        <f t="shared" si="13"/>
        <v>6.6178448597867257E-6</v>
      </c>
      <c r="K22" s="18">
        <f t="shared" si="14"/>
        <v>225.69681928320213</v>
      </c>
      <c r="L22" s="18">
        <v>0</v>
      </c>
      <c r="M22" s="70"/>
      <c r="N22" s="75"/>
      <c r="O22" s="10"/>
      <c r="P22" s="93"/>
      <c r="Q22" s="106"/>
      <c r="R22" s="94"/>
      <c r="S22" s="94"/>
    </row>
    <row r="23" spans="1:19" s="35" customFormat="1" ht="18" customHeight="1" x14ac:dyDescent="0.2">
      <c r="A23" s="36" t="s">
        <v>26</v>
      </c>
      <c r="B23" s="20">
        <f>+'[1]GS &lt; 50 kW'!H190</f>
        <v>2622</v>
      </c>
      <c r="C23" s="20">
        <f>+'[1]GS &lt; 50 kW'!L190</f>
        <v>7641577.2819088735</v>
      </c>
      <c r="D23" s="16"/>
      <c r="E23" s="55">
        <v>16.420000000000002</v>
      </c>
      <c r="F23" s="52">
        <v>1.7399999999999999E-2</v>
      </c>
      <c r="G23" s="86">
        <f t="shared" si="15"/>
        <v>16.506275542539452</v>
      </c>
      <c r="H23" s="52">
        <f t="shared" si="16"/>
        <v>1.7406617844859786E-2</v>
      </c>
      <c r="I23" s="17">
        <f t="shared" si="12"/>
        <v>8.6275542539450356E-2</v>
      </c>
      <c r="J23" s="19">
        <f t="shared" si="13"/>
        <v>6.6178448597867257E-6</v>
      </c>
      <c r="K23" s="18">
        <f t="shared" si="14"/>
        <v>226.21447253843883</v>
      </c>
      <c r="L23" s="18">
        <v>0</v>
      </c>
      <c r="M23" s="70"/>
      <c r="N23" s="75"/>
      <c r="O23" s="10"/>
      <c r="P23" s="93"/>
      <c r="Q23" s="106"/>
      <c r="R23" s="94"/>
      <c r="S23" s="94"/>
    </row>
    <row r="24" spans="1:19" s="35" customFormat="1" ht="18" customHeight="1" x14ac:dyDescent="0.2">
      <c r="A24" s="36" t="s">
        <v>1</v>
      </c>
      <c r="B24" s="20">
        <f>+'[1]GS &lt; 50 kW'!H191</f>
        <v>2628</v>
      </c>
      <c r="C24" s="20">
        <f>+'[1]GS &lt; 50 kW'!L191</f>
        <v>7040935.1184956273</v>
      </c>
      <c r="D24" s="16"/>
      <c r="E24" s="55"/>
      <c r="F24" s="52"/>
      <c r="G24" s="24"/>
      <c r="H24" s="24"/>
      <c r="I24" s="17">
        <f t="shared" si="12"/>
        <v>0</v>
      </c>
      <c r="J24" s="19">
        <f t="shared" si="13"/>
        <v>0</v>
      </c>
      <c r="K24" s="18">
        <f t="shared" si="14"/>
        <v>0</v>
      </c>
      <c r="L24" s="18">
        <f t="shared" ref="L24:L26" si="17">+J24*C24</f>
        <v>0</v>
      </c>
      <c r="M24" s="70"/>
      <c r="N24" s="75"/>
      <c r="O24" s="10"/>
      <c r="P24" s="93"/>
      <c r="Q24" s="106"/>
      <c r="R24" s="94"/>
      <c r="S24" s="94"/>
    </row>
    <row r="25" spans="1:19" s="35" customFormat="1" ht="18" customHeight="1" x14ac:dyDescent="0.2">
      <c r="A25" s="36" t="s">
        <v>2</v>
      </c>
      <c r="B25" s="20">
        <f>+'[1]GS &lt; 50 kW'!H192</f>
        <v>2633</v>
      </c>
      <c r="C25" s="20">
        <f>+'[1]GS &lt; 50 kW'!L192</f>
        <v>7276904.5160202077</v>
      </c>
      <c r="D25" s="16"/>
      <c r="E25" s="55"/>
      <c r="F25" s="52"/>
      <c r="G25" s="24"/>
      <c r="H25" s="24"/>
      <c r="I25" s="17">
        <f t="shared" si="12"/>
        <v>0</v>
      </c>
      <c r="J25" s="19">
        <f t="shared" si="13"/>
        <v>0</v>
      </c>
      <c r="K25" s="18">
        <f t="shared" si="14"/>
        <v>0</v>
      </c>
      <c r="L25" s="18">
        <f t="shared" si="17"/>
        <v>0</v>
      </c>
      <c r="M25" s="70"/>
      <c r="N25" s="75"/>
      <c r="O25" s="10"/>
      <c r="P25" s="93"/>
      <c r="Q25" s="106"/>
      <c r="R25" s="94"/>
      <c r="S25" s="94"/>
    </row>
    <row r="26" spans="1:19" s="35" customFormat="1" ht="18" customHeight="1" x14ac:dyDescent="0.2">
      <c r="A26" s="36" t="s">
        <v>3</v>
      </c>
      <c r="B26" s="20">
        <f>+'[1]GS &lt; 50 kW'!H193</f>
        <v>2638</v>
      </c>
      <c r="C26" s="20">
        <f>+'[1]GS &lt; 50 kW'!L193</f>
        <v>7589222.2826142702</v>
      </c>
      <c r="D26" s="16"/>
      <c r="E26" s="55"/>
      <c r="F26" s="52"/>
      <c r="G26" s="24"/>
      <c r="H26" s="24"/>
      <c r="I26" s="17">
        <f t="shared" si="12"/>
        <v>0</v>
      </c>
      <c r="J26" s="19">
        <f t="shared" si="13"/>
        <v>0</v>
      </c>
      <c r="K26" s="18">
        <f t="shared" si="14"/>
        <v>0</v>
      </c>
      <c r="L26" s="18">
        <f t="shared" si="17"/>
        <v>0</v>
      </c>
      <c r="M26" s="70"/>
      <c r="N26" s="75"/>
      <c r="O26" s="10"/>
      <c r="P26" s="93"/>
      <c r="Q26" s="106"/>
      <c r="R26" s="94"/>
      <c r="S26" s="94"/>
    </row>
    <row r="27" spans="1:19" s="48" customFormat="1" ht="18" customHeight="1" x14ac:dyDescent="0.2">
      <c r="A27" s="64" t="s">
        <v>4</v>
      </c>
      <c r="B27" s="46"/>
      <c r="C27" s="46"/>
      <c r="D27" s="21"/>
      <c r="E27" s="57"/>
      <c r="F27" s="44"/>
      <c r="G27" s="28"/>
      <c r="H27" s="28"/>
      <c r="I27" s="49"/>
      <c r="J27" s="51"/>
      <c r="K27" s="90">
        <f>SUM(K20:K26)</f>
        <v>903.39120593058465</v>
      </c>
      <c r="L27" s="90">
        <f>SUM(L20:L26)</f>
        <v>0</v>
      </c>
      <c r="M27" s="99">
        <f>+'[1]GS &lt; 50 kW'!$H$194</f>
        <v>2642.0505332703788</v>
      </c>
      <c r="N27" s="100">
        <f>+('[1]GS &lt; 50 kW'!$L$183+'[1]GS &lt; 50 kW'!$L$184+'[1]GS &lt; 50 kW'!$L$185+'[1]GS &lt; 50 kW'!$L$186+'[1]GS &lt; 50 kW'!$L$191+'[1]GS &lt; 50 kW'!$L$192+'[1]GS &lt; 50 kW'!$L$193+'[1]GS &lt; 50 kW'!$L$194)/8</f>
        <v>7698194.1986779775</v>
      </c>
      <c r="O27" s="101">
        <f>+K27/M27/$O$8</f>
        <v>4.2741007153085674E-2</v>
      </c>
      <c r="P27" s="102">
        <f>+L27/N27/$O$8</f>
        <v>0</v>
      </c>
      <c r="Q27" s="107"/>
      <c r="R27" s="103">
        <f>+M27*O27*$O$8</f>
        <v>903.39120593058465</v>
      </c>
      <c r="S27" s="103">
        <f>+N27*P27*$O$8</f>
        <v>0</v>
      </c>
    </row>
    <row r="28" spans="1:19" s="35" customFormat="1" ht="18" customHeight="1" x14ac:dyDescent="0.2">
      <c r="A28" s="22"/>
      <c r="B28" s="22"/>
      <c r="C28" s="22"/>
      <c r="D28" s="16"/>
      <c r="E28" s="55"/>
      <c r="F28" s="52"/>
      <c r="G28" s="24"/>
      <c r="H28" s="24"/>
      <c r="I28" s="16"/>
      <c r="J28" s="61"/>
      <c r="K28" s="16"/>
      <c r="L28" s="16"/>
      <c r="M28" s="75"/>
      <c r="N28" s="75"/>
      <c r="O28" s="10"/>
      <c r="P28" s="93"/>
      <c r="Q28" s="106"/>
      <c r="R28" s="94"/>
      <c r="S28" s="94"/>
    </row>
    <row r="29" spans="1:19" s="35" customFormat="1" ht="18" customHeight="1" x14ac:dyDescent="0.2">
      <c r="A29" s="11" t="str">
        <f>+[1]Summary!$A$18</f>
        <v>General Service  50 to 999 kW</v>
      </c>
      <c r="B29" s="11"/>
      <c r="C29" s="11"/>
      <c r="D29" s="53"/>
      <c r="E29" s="55"/>
      <c r="F29" s="52"/>
      <c r="G29" s="24"/>
      <c r="H29" s="24"/>
      <c r="I29" s="53"/>
      <c r="J29" s="62"/>
      <c r="K29" s="53"/>
      <c r="L29" s="53"/>
      <c r="M29" s="76"/>
      <c r="N29" s="76"/>
      <c r="O29" s="10"/>
      <c r="P29" s="93"/>
      <c r="Q29" s="106"/>
      <c r="R29" s="94"/>
      <c r="S29" s="94"/>
    </row>
    <row r="30" spans="1:19" s="35" customFormat="1" ht="18" customHeight="1" x14ac:dyDescent="0.2">
      <c r="A30" s="9" t="s">
        <v>23</v>
      </c>
      <c r="B30" s="20">
        <v>291</v>
      </c>
      <c r="C30" s="20">
        <f>46704+412+822</f>
        <v>47938</v>
      </c>
      <c r="D30" s="16"/>
      <c r="E30" s="55">
        <v>77.98</v>
      </c>
      <c r="F30" s="52">
        <v>2.5983999999999998</v>
      </c>
      <c r="G30" s="55">
        <f>+'[2]COS Tariff 2016'!$D$96</f>
        <v>77.98</v>
      </c>
      <c r="H30" s="52">
        <f>+'[2]COS Tariff 2016'!$D$97</f>
        <v>3.0099963876941223</v>
      </c>
      <c r="I30" s="17">
        <f t="shared" ref="I30:I36" si="18">+G30-E30</f>
        <v>0</v>
      </c>
      <c r="J30" s="19">
        <f t="shared" ref="J30:J36" si="19">+H30-F30</f>
        <v>0.41159638769412243</v>
      </c>
      <c r="K30" s="18">
        <f>+B30*I30</f>
        <v>0</v>
      </c>
      <c r="L30" s="18">
        <f t="shared" ref="L30:L36" si="20">+J30*C30</f>
        <v>19731.107633280841</v>
      </c>
      <c r="M30" s="70"/>
      <c r="N30" s="75"/>
      <c r="O30" s="10"/>
      <c r="P30" s="93"/>
      <c r="Q30" s="106"/>
      <c r="R30" s="94"/>
      <c r="S30" s="94"/>
    </row>
    <row r="31" spans="1:19" s="35" customFormat="1" ht="18" customHeight="1" x14ac:dyDescent="0.2">
      <c r="A31" s="9" t="s">
        <v>24</v>
      </c>
      <c r="B31" s="20">
        <v>292</v>
      </c>
      <c r="C31" s="20">
        <f>48593+286+861</f>
        <v>49740</v>
      </c>
      <c r="D31" s="16"/>
      <c r="E31" s="55">
        <v>77.98</v>
      </c>
      <c r="F31" s="52">
        <v>2.5983999999999998</v>
      </c>
      <c r="G31" s="86">
        <f>+G30</f>
        <v>77.98</v>
      </c>
      <c r="H31" s="52">
        <f>+H30</f>
        <v>3.0099963876941223</v>
      </c>
      <c r="I31" s="17">
        <f t="shared" si="18"/>
        <v>0</v>
      </c>
      <c r="J31" s="19">
        <f t="shared" si="19"/>
        <v>0.41159638769412243</v>
      </c>
      <c r="K31" s="18">
        <f t="shared" ref="K31:K36" si="21">+B31*I31</f>
        <v>0</v>
      </c>
      <c r="L31" s="18">
        <f t="shared" si="20"/>
        <v>20472.80432390565</v>
      </c>
      <c r="M31" s="70"/>
      <c r="N31" s="75"/>
      <c r="O31" s="10"/>
      <c r="P31" s="93"/>
      <c r="Q31" s="106"/>
      <c r="R31" s="94"/>
      <c r="S31" s="94"/>
    </row>
    <row r="32" spans="1:19" s="35" customFormat="1" ht="18" customHeight="1" x14ac:dyDescent="0.2">
      <c r="A32" s="36" t="s">
        <v>25</v>
      </c>
      <c r="B32" s="20">
        <f>+'[1]GS &gt; 50 kW'!I189</f>
        <v>298</v>
      </c>
      <c r="C32" s="20">
        <f>+'[1]GS &gt; 50 kW'!M189*'[1]Rate Class Load Model'!$B$40</f>
        <v>47634.457295024884</v>
      </c>
      <c r="D32" s="16"/>
      <c r="E32" s="55">
        <v>77.98</v>
      </c>
      <c r="F32" s="52">
        <v>2.5983999999999998</v>
      </c>
      <c r="G32" s="86">
        <f t="shared" ref="G32:G33" si="22">+G31</f>
        <v>77.98</v>
      </c>
      <c r="H32" s="52">
        <f t="shared" ref="H32:H33" si="23">+H31</f>
        <v>3.0099963876941223</v>
      </c>
      <c r="I32" s="17">
        <f t="shared" si="18"/>
        <v>0</v>
      </c>
      <c r="J32" s="19">
        <f t="shared" si="19"/>
        <v>0.41159638769412243</v>
      </c>
      <c r="K32" s="18">
        <f t="shared" si="21"/>
        <v>0</v>
      </c>
      <c r="L32" s="18">
        <f t="shared" si="20"/>
        <v>19606.170552402182</v>
      </c>
      <c r="M32" s="70"/>
      <c r="N32" s="75"/>
      <c r="O32" s="10"/>
      <c r="P32" s="93"/>
      <c r="Q32" s="106"/>
      <c r="R32" s="94"/>
      <c r="S32" s="94"/>
    </row>
    <row r="33" spans="1:19" s="35" customFormat="1" ht="18" customHeight="1" x14ac:dyDescent="0.2">
      <c r="A33" s="36" t="s">
        <v>26</v>
      </c>
      <c r="B33" s="20">
        <f>+'[1]GS &gt; 50 kW'!I190</f>
        <v>299</v>
      </c>
      <c r="C33" s="20">
        <f>+'[1]GS &gt; 50 kW'!M190*'[1]Rate Class Load Model'!$B$40</f>
        <v>47896.280251367192</v>
      </c>
      <c r="D33" s="16"/>
      <c r="E33" s="55">
        <v>77.98</v>
      </c>
      <c r="F33" s="52">
        <v>2.5983999999999998</v>
      </c>
      <c r="G33" s="86">
        <f t="shared" si="22"/>
        <v>77.98</v>
      </c>
      <c r="H33" s="52">
        <f t="shared" si="23"/>
        <v>3.0099963876941223</v>
      </c>
      <c r="I33" s="17">
        <f t="shared" si="18"/>
        <v>0</v>
      </c>
      <c r="J33" s="19">
        <f t="shared" si="19"/>
        <v>0.41159638769412243</v>
      </c>
      <c r="K33" s="18">
        <f t="shared" si="21"/>
        <v>0</v>
      </c>
      <c r="L33" s="18">
        <f t="shared" si="20"/>
        <v>19713.935935448069</v>
      </c>
      <c r="M33" s="70"/>
      <c r="N33" s="75"/>
      <c r="O33" s="10"/>
      <c r="P33" s="93"/>
      <c r="Q33" s="106"/>
      <c r="R33" s="94"/>
      <c r="S33" s="94"/>
    </row>
    <row r="34" spans="1:19" s="35" customFormat="1" ht="18" customHeight="1" x14ac:dyDescent="0.2">
      <c r="A34" s="36" t="s">
        <v>1</v>
      </c>
      <c r="B34" s="20">
        <f>+'[1]GS &gt; 50 kW'!I191</f>
        <v>300</v>
      </c>
      <c r="C34" s="20">
        <f>+'[1]GS &gt; 50 kW'!M191*'[1]Rate Class Load Model'!$B$40</f>
        <v>45173.415823969146</v>
      </c>
      <c r="D34" s="16"/>
      <c r="E34" s="55"/>
      <c r="F34" s="52"/>
      <c r="G34" s="24"/>
      <c r="H34" s="24"/>
      <c r="I34" s="17">
        <f t="shared" si="18"/>
        <v>0</v>
      </c>
      <c r="J34" s="19">
        <f t="shared" si="19"/>
        <v>0</v>
      </c>
      <c r="K34" s="18">
        <f t="shared" si="21"/>
        <v>0</v>
      </c>
      <c r="L34" s="18">
        <f t="shared" si="20"/>
        <v>0</v>
      </c>
      <c r="M34" s="70"/>
      <c r="N34" s="75"/>
      <c r="O34" s="10"/>
      <c r="P34" s="93"/>
      <c r="Q34" s="106"/>
      <c r="R34" s="94"/>
      <c r="S34" s="94"/>
    </row>
    <row r="35" spans="1:19" s="35" customFormat="1" ht="18" customHeight="1" x14ac:dyDescent="0.2">
      <c r="A35" s="36" t="s">
        <v>2</v>
      </c>
      <c r="B35" s="20">
        <f>+'[1]GS &gt; 50 kW'!I192</f>
        <v>301</v>
      </c>
      <c r="C35" s="20">
        <f>+'[1]GS &gt; 50 kW'!M192*'[1]Rate Class Load Model'!$B$40</f>
        <v>45319.779114670011</v>
      </c>
      <c r="D35" s="16"/>
      <c r="E35" s="55"/>
      <c r="F35" s="52"/>
      <c r="G35" s="24"/>
      <c r="H35" s="24"/>
      <c r="I35" s="17">
        <f t="shared" si="18"/>
        <v>0</v>
      </c>
      <c r="J35" s="19">
        <f t="shared" si="19"/>
        <v>0</v>
      </c>
      <c r="K35" s="18">
        <f t="shared" si="21"/>
        <v>0</v>
      </c>
      <c r="L35" s="18">
        <f t="shared" si="20"/>
        <v>0</v>
      </c>
      <c r="M35" s="70"/>
      <c r="N35" s="75"/>
      <c r="O35" s="10"/>
      <c r="P35" s="93"/>
      <c r="Q35" s="106"/>
      <c r="R35" s="94"/>
      <c r="S35" s="94"/>
    </row>
    <row r="36" spans="1:19" s="35" customFormat="1" ht="18" customHeight="1" x14ac:dyDescent="0.2">
      <c r="A36" s="36" t="s">
        <v>3</v>
      </c>
      <c r="B36" s="20">
        <f>+'[1]GS &gt; 50 kW'!I193</f>
        <v>302</v>
      </c>
      <c r="C36" s="20">
        <f>+'[1]GS &gt; 50 kW'!M193*'[1]Rate Class Load Model'!$B$40</f>
        <v>46788.91443549034</v>
      </c>
      <c r="D36" s="16"/>
      <c r="E36" s="55"/>
      <c r="F36" s="52"/>
      <c r="G36" s="24"/>
      <c r="H36" s="24"/>
      <c r="I36" s="17">
        <f t="shared" si="18"/>
        <v>0</v>
      </c>
      <c r="J36" s="19">
        <f t="shared" si="19"/>
        <v>0</v>
      </c>
      <c r="K36" s="18">
        <f t="shared" si="21"/>
        <v>0</v>
      </c>
      <c r="L36" s="18">
        <f t="shared" si="20"/>
        <v>0</v>
      </c>
      <c r="M36" s="70"/>
      <c r="N36" s="75"/>
      <c r="O36" s="10"/>
      <c r="P36" s="93"/>
      <c r="Q36" s="106"/>
      <c r="R36" s="94"/>
      <c r="S36" s="94"/>
    </row>
    <row r="37" spans="1:19" s="48" customFormat="1" ht="18" customHeight="1" x14ac:dyDescent="0.2">
      <c r="A37" s="64" t="s">
        <v>4</v>
      </c>
      <c r="B37" s="46"/>
      <c r="C37" s="46"/>
      <c r="D37" s="21"/>
      <c r="E37" s="57"/>
      <c r="F37" s="44"/>
      <c r="G37" s="28"/>
      <c r="H37" s="28"/>
      <c r="I37" s="49"/>
      <c r="J37" s="51"/>
      <c r="K37" s="90">
        <f>SUM(K30:K36)</f>
        <v>0</v>
      </c>
      <c r="L37" s="90">
        <f>SUM(L30:L36)</f>
        <v>79524.018445036738</v>
      </c>
      <c r="M37" s="99">
        <f>+'[1]GS &gt; 50 kW'!$I$194</f>
        <v>301.93278392268166</v>
      </c>
      <c r="N37" s="100">
        <f>(('[1]GS &gt; 50 kW'!$M$183+'[1]GS &gt; 50 kW'!$M$184+'[1]GS &gt; 50 kW'!$M$185+'[1]GS &gt; 50 kW'!$M$186+'[1]GS &gt; 50 kW'!$M$191+'[1]GS &gt; 50 kW'!$M$192+'[1]GS &gt; 50 kW'!$M$193+'[1]GS &gt; 50 kW'!$M$194)/8)*'[1]Rate Class Load Model'!$B$40</f>
        <v>46131.112572024358</v>
      </c>
      <c r="O37" s="101">
        <f>+K37/M37/$O$8</f>
        <v>0</v>
      </c>
      <c r="P37" s="102">
        <f>+L37/N37/$O$8</f>
        <v>0.21548368880350582</v>
      </c>
      <c r="Q37" s="107"/>
      <c r="R37" s="103">
        <f>+M37*O37*$O$8</f>
        <v>0</v>
      </c>
      <c r="S37" s="103">
        <f>+N37*P37*$O$8</f>
        <v>79524.018445036738</v>
      </c>
    </row>
    <row r="38" spans="1:19" s="35" customFormat="1" ht="18" customHeight="1" x14ac:dyDescent="0.2">
      <c r="A38" s="22"/>
      <c r="B38" s="22"/>
      <c r="C38" s="22"/>
      <c r="D38" s="16"/>
      <c r="E38" s="55"/>
      <c r="F38" s="52"/>
      <c r="G38" s="24"/>
      <c r="H38" s="24"/>
      <c r="I38" s="16"/>
      <c r="J38" s="61"/>
      <c r="K38" s="16"/>
      <c r="L38" s="16"/>
      <c r="M38" s="75"/>
      <c r="N38" s="75"/>
      <c r="O38" s="10"/>
      <c r="P38" s="93"/>
      <c r="Q38" s="106"/>
      <c r="R38" s="94"/>
      <c r="S38" s="94"/>
    </row>
    <row r="39" spans="1:19" s="35" customFormat="1" ht="18" customHeight="1" x14ac:dyDescent="0.2">
      <c r="A39" s="11" t="str">
        <f>+[1]Summary!$A$23</f>
        <v>General Service 1000 to 4999 kW</v>
      </c>
      <c r="B39" s="11"/>
      <c r="C39" s="11"/>
      <c r="D39" s="53"/>
      <c r="E39" s="55"/>
      <c r="F39" s="52"/>
      <c r="G39" s="24"/>
      <c r="H39" s="24"/>
      <c r="I39" s="53"/>
      <c r="J39" s="62"/>
      <c r="K39" s="53"/>
      <c r="L39" s="53"/>
      <c r="M39" s="76"/>
      <c r="N39" s="76"/>
      <c r="O39" s="10"/>
      <c r="P39" s="93"/>
      <c r="Q39" s="106"/>
      <c r="R39" s="94"/>
      <c r="S39" s="94"/>
    </row>
    <row r="40" spans="1:19" s="35" customFormat="1" ht="18" customHeight="1" x14ac:dyDescent="0.2">
      <c r="A40" s="88" t="s">
        <v>27</v>
      </c>
      <c r="B40" s="87">
        <v>13</v>
      </c>
      <c r="C40" s="87"/>
      <c r="D40" s="15"/>
      <c r="E40" s="55">
        <v>899.32</v>
      </c>
      <c r="F40" s="43"/>
      <c r="G40" s="55">
        <f>+'[2]COS Tariff 2016'!$D$131</f>
        <v>612.06758430541402</v>
      </c>
      <c r="H40" s="80"/>
      <c r="I40" s="17">
        <f t="shared" ref="I40" si="24">+G40-E40</f>
        <v>-287.25241569458603</v>
      </c>
      <c r="J40" s="19"/>
      <c r="K40" s="18">
        <f>+B40*I40</f>
        <v>-3734.2814040296184</v>
      </c>
      <c r="L40" s="18"/>
      <c r="M40" s="70"/>
      <c r="N40" s="70"/>
      <c r="O40" s="81"/>
      <c r="P40" s="93"/>
      <c r="Q40" s="106"/>
      <c r="R40" s="94"/>
      <c r="S40" s="94"/>
    </row>
    <row r="41" spans="1:19" s="35" customFormat="1" ht="18" customHeight="1" x14ac:dyDescent="0.2">
      <c r="A41" s="88" t="s">
        <v>28</v>
      </c>
      <c r="B41" s="87"/>
      <c r="C41" s="87">
        <v>23201</v>
      </c>
      <c r="D41" s="15"/>
      <c r="E41" s="55"/>
      <c r="F41" s="43">
        <v>2.8380000000000001</v>
      </c>
      <c r="G41" s="80"/>
      <c r="H41" s="43">
        <f>+'[2]COS Tariff 2016'!$D$132</f>
        <v>2.1082127647567956</v>
      </c>
      <c r="I41" s="19"/>
      <c r="J41" s="19">
        <f>+H41-F41</f>
        <v>-0.72978723524320444</v>
      </c>
      <c r="K41" s="18"/>
      <c r="L41" s="18">
        <f>+J41*C41</f>
        <v>-16931.793644877587</v>
      </c>
      <c r="M41" s="70"/>
      <c r="N41" s="70"/>
      <c r="O41" s="10"/>
      <c r="P41" s="98"/>
      <c r="Q41" s="106"/>
      <c r="R41" s="94"/>
      <c r="S41" s="94"/>
    </row>
    <row r="42" spans="1:19" s="35" customFormat="1" ht="18" customHeight="1" x14ac:dyDescent="0.2">
      <c r="A42" s="88" t="s">
        <v>29</v>
      </c>
      <c r="B42" s="87">
        <v>13</v>
      </c>
      <c r="C42" s="87"/>
      <c r="D42" s="15"/>
      <c r="E42" s="55">
        <v>899.32</v>
      </c>
      <c r="F42" s="43"/>
      <c r="G42" s="55">
        <f>+'[2]COS Tariff 2016'!$D$131</f>
        <v>612.06758430541402</v>
      </c>
      <c r="H42" s="80"/>
      <c r="I42" s="17">
        <f t="shared" ref="I42" si="25">+G42-E42</f>
        <v>-287.25241569458603</v>
      </c>
      <c r="J42" s="19"/>
      <c r="K42" s="18">
        <f>+B42*I42</f>
        <v>-3734.2814040296184</v>
      </c>
      <c r="L42" s="18"/>
      <c r="M42" s="70"/>
      <c r="N42" s="70"/>
      <c r="O42" s="81"/>
      <c r="P42" s="93"/>
      <c r="Q42" s="106"/>
      <c r="R42" s="94"/>
      <c r="S42" s="94"/>
    </row>
    <row r="43" spans="1:19" s="35" customFormat="1" ht="18" customHeight="1" x14ac:dyDescent="0.2">
      <c r="A43" s="88" t="s">
        <v>30</v>
      </c>
      <c r="B43" s="87"/>
      <c r="C43" s="87">
        <v>21879</v>
      </c>
      <c r="D43" s="15"/>
      <c r="E43" s="55"/>
      <c r="F43" s="43">
        <v>2.8380000000000001</v>
      </c>
      <c r="G43" s="80"/>
      <c r="H43" s="43">
        <f>+'[2]COS Tariff 2016'!$D$132</f>
        <v>2.1082127647567956</v>
      </c>
      <c r="I43" s="19"/>
      <c r="J43" s="19">
        <f>+H43-F43</f>
        <v>-0.72978723524320444</v>
      </c>
      <c r="K43" s="18"/>
      <c r="L43" s="18">
        <f>+J43*C43</f>
        <v>-15967.014919886069</v>
      </c>
      <c r="M43" s="70"/>
      <c r="N43" s="70"/>
      <c r="O43" s="10"/>
      <c r="P43" s="98"/>
      <c r="Q43" s="106"/>
      <c r="R43" s="94"/>
      <c r="S43" s="94"/>
    </row>
    <row r="44" spans="1:19" s="35" customFormat="1" ht="18" customHeight="1" x14ac:dyDescent="0.2">
      <c r="A44" s="34" t="str">
        <f>+[1]Summary!$A$24</f>
        <v xml:space="preserve">  Customers</v>
      </c>
      <c r="B44" s="23">
        <f>+'[1]Rate Class Customer Model'!$E$20</f>
        <v>13</v>
      </c>
      <c r="C44" s="37"/>
      <c r="D44" s="15"/>
      <c r="E44" s="55">
        <v>899.32</v>
      </c>
      <c r="F44" s="43"/>
      <c r="G44" s="55">
        <f>+'[2]COS Tariff 2016'!$D$131</f>
        <v>612.06758430541402</v>
      </c>
      <c r="H44" s="80"/>
      <c r="I44" s="17">
        <f t="shared" ref="I44" si="26">+G44-E44</f>
        <v>-287.25241569458603</v>
      </c>
      <c r="J44" s="19"/>
      <c r="K44" s="18">
        <f>+B44*I44*$D$8</f>
        <v>-7468.5628080592369</v>
      </c>
      <c r="L44" s="18"/>
      <c r="M44" s="70"/>
      <c r="N44" s="70"/>
      <c r="O44" s="81"/>
      <c r="P44" s="93"/>
      <c r="Q44" s="106"/>
      <c r="R44" s="94"/>
      <c r="S44" s="94"/>
    </row>
    <row r="45" spans="1:19" s="35" customFormat="1" ht="18" customHeight="1" x14ac:dyDescent="0.2">
      <c r="A45" s="34" t="s">
        <v>32</v>
      </c>
      <c r="B45" s="24"/>
      <c r="C45" s="25">
        <f>+'[1]Rate Class Load Model'!$C$19/12</f>
        <v>20484.008735124386</v>
      </c>
      <c r="D45" s="15">
        <f>+C45*$D$8</f>
        <v>40968.017470248771</v>
      </c>
      <c r="E45" s="55"/>
      <c r="F45" s="43">
        <v>2.8380000000000001</v>
      </c>
      <c r="G45" s="80"/>
      <c r="H45" s="43">
        <f>+'[2]COS Tariff 2016'!$D$132</f>
        <v>2.1082127647567956</v>
      </c>
      <c r="I45" s="19"/>
      <c r="J45" s="19">
        <f>+H45-F45</f>
        <v>-0.72978723524320444</v>
      </c>
      <c r="K45" s="18"/>
      <c r="L45" s="18">
        <f>+J45*D45</f>
        <v>-29897.93620300815</v>
      </c>
      <c r="M45" s="70"/>
      <c r="N45" s="70"/>
      <c r="O45" s="10"/>
      <c r="P45" s="98"/>
      <c r="Q45" s="106"/>
      <c r="R45" s="94"/>
      <c r="S45" s="94"/>
    </row>
    <row r="46" spans="1:19" s="35" customFormat="1" ht="18" customHeight="1" x14ac:dyDescent="0.2">
      <c r="A46" s="34"/>
      <c r="B46" s="24"/>
      <c r="C46" s="25"/>
      <c r="D46" s="15"/>
      <c r="E46" s="55"/>
      <c r="F46" s="43"/>
      <c r="G46" s="80"/>
      <c r="H46" s="43"/>
      <c r="I46" s="19"/>
      <c r="J46" s="19"/>
      <c r="K46" s="90">
        <f>SUM(K40:K45)</f>
        <v>-14937.125616118474</v>
      </c>
      <c r="L46" s="90">
        <f>SUM(L40:L45)</f>
        <v>-62796.744767771801</v>
      </c>
      <c r="M46" s="99">
        <f>+'[1]Rate Class Customer Model'!$E$20</f>
        <v>13</v>
      </c>
      <c r="N46" s="100">
        <f>+'[1]Rate Class Load Model'!$C$19/12</f>
        <v>20484.008735124386</v>
      </c>
      <c r="O46" s="101">
        <f>+K46/M46/$O$8</f>
        <v>-143.62620784729302</v>
      </c>
      <c r="P46" s="102">
        <f>+L46/N46/$O$8</f>
        <v>-0.38320590454111664</v>
      </c>
      <c r="Q46" s="107"/>
      <c r="R46" s="103">
        <f>+M46*O46*$O$8</f>
        <v>-14937.125616118474</v>
      </c>
      <c r="S46" s="103">
        <f>+N46*P46*$O$8</f>
        <v>-62796.744767771794</v>
      </c>
    </row>
    <row r="47" spans="1:19" s="35" customFormat="1" ht="18" customHeight="1" x14ac:dyDescent="0.2">
      <c r="A47" s="16"/>
      <c r="B47" s="24"/>
      <c r="C47" s="25"/>
      <c r="D47" s="15"/>
      <c r="E47" s="55"/>
      <c r="F47" s="43"/>
      <c r="G47" s="80"/>
      <c r="H47" s="43"/>
      <c r="I47" s="19"/>
      <c r="J47" s="19"/>
      <c r="K47" s="18"/>
      <c r="L47" s="18"/>
      <c r="M47" s="70"/>
      <c r="N47" s="70"/>
      <c r="O47" s="10"/>
      <c r="P47" s="93"/>
      <c r="Q47" s="106"/>
      <c r="R47" s="94"/>
      <c r="S47" s="94"/>
    </row>
    <row r="48" spans="1:19" s="35" customFormat="1" ht="18" customHeight="1" x14ac:dyDescent="0.2">
      <c r="A48" s="22" t="str">
        <f>+[1]Summary!$A$28</f>
        <v>Large User</v>
      </c>
      <c r="B48" s="23"/>
      <c r="C48" s="25"/>
      <c r="D48" s="15"/>
      <c r="E48" s="55"/>
      <c r="F48" s="43"/>
      <c r="G48" s="80"/>
      <c r="H48" s="43"/>
      <c r="I48" s="19"/>
      <c r="J48" s="19"/>
      <c r="K48" s="18"/>
      <c r="L48" s="18"/>
      <c r="M48" s="70"/>
      <c r="N48" s="70"/>
      <c r="O48" s="10"/>
      <c r="P48" s="93"/>
      <c r="Q48" s="106"/>
      <c r="R48" s="94"/>
      <c r="S48" s="94"/>
    </row>
    <row r="49" spans="1:19" s="35" customFormat="1" ht="18" customHeight="1" x14ac:dyDescent="0.2">
      <c r="A49" s="88" t="s">
        <v>27</v>
      </c>
      <c r="B49" s="23">
        <v>3</v>
      </c>
      <c r="C49" s="25"/>
      <c r="D49" s="15"/>
      <c r="E49" s="55">
        <v>3755.43</v>
      </c>
      <c r="F49" s="43"/>
      <c r="G49" s="55">
        <f>+'[2]COS Tariff 2016'!$D$166</f>
        <v>2443.7474808507045</v>
      </c>
      <c r="H49" s="43"/>
      <c r="I49" s="17">
        <f t="shared" ref="I49" si="27">+G49-E49</f>
        <v>-1311.6825191492953</v>
      </c>
      <c r="J49" s="19"/>
      <c r="K49" s="18">
        <f>+B49*I49</f>
        <v>-3935.047557447886</v>
      </c>
      <c r="L49" s="18"/>
      <c r="M49" s="70"/>
      <c r="N49" s="70"/>
      <c r="O49" s="81"/>
      <c r="P49" s="93"/>
      <c r="Q49" s="106"/>
      <c r="R49" s="94"/>
      <c r="S49" s="94"/>
    </row>
    <row r="50" spans="1:19" s="35" customFormat="1" ht="18" customHeight="1" x14ac:dyDescent="0.2">
      <c r="A50" s="88" t="s">
        <v>28</v>
      </c>
      <c r="B50" s="23"/>
      <c r="C50" s="25">
        <v>21165</v>
      </c>
      <c r="D50" s="15"/>
      <c r="E50" s="55"/>
      <c r="F50" s="43">
        <v>2.2483</v>
      </c>
      <c r="G50" s="80"/>
      <c r="H50" s="43">
        <f>+'[2]COS Tariff 2016'!$D$167</f>
        <v>1.4630222001732529</v>
      </c>
      <c r="I50" s="19"/>
      <c r="J50" s="19">
        <f t="shared" ref="J50" si="28">+H50-F50</f>
        <v>-0.78527779982674706</v>
      </c>
      <c r="K50" s="18"/>
      <c r="L50" s="18">
        <f>+J50*C50</f>
        <v>-16620.404633333103</v>
      </c>
      <c r="M50" s="70"/>
      <c r="N50" s="70"/>
      <c r="O50" s="10"/>
      <c r="P50" s="98"/>
      <c r="Q50" s="106"/>
      <c r="R50" s="94"/>
      <c r="S50" s="94"/>
    </row>
    <row r="51" spans="1:19" s="35" customFormat="1" ht="18" customHeight="1" x14ac:dyDescent="0.2">
      <c r="A51" s="88" t="s">
        <v>29</v>
      </c>
      <c r="B51" s="23">
        <v>3</v>
      </c>
      <c r="C51" s="25"/>
      <c r="D51" s="15"/>
      <c r="E51" s="55">
        <v>3755.43</v>
      </c>
      <c r="F51" s="43"/>
      <c r="G51" s="55">
        <f>+'[2]COS Tariff 2016'!$D$166</f>
        <v>2443.7474808507045</v>
      </c>
      <c r="H51" s="43"/>
      <c r="I51" s="17">
        <f t="shared" ref="I51" si="29">+G51-E51</f>
        <v>-1311.6825191492953</v>
      </c>
      <c r="J51" s="19"/>
      <c r="K51" s="18">
        <f>+B51*I51</f>
        <v>-3935.047557447886</v>
      </c>
      <c r="L51" s="18"/>
      <c r="M51" s="70"/>
      <c r="N51" s="70"/>
      <c r="O51" s="81"/>
      <c r="P51" s="93"/>
      <c r="Q51" s="106"/>
      <c r="R51" s="94"/>
      <c r="S51" s="94"/>
    </row>
    <row r="52" spans="1:19" s="35" customFormat="1" ht="18" customHeight="1" x14ac:dyDescent="0.2">
      <c r="A52" s="88" t="s">
        <v>30</v>
      </c>
      <c r="B52" s="23"/>
      <c r="C52" s="25">
        <v>21768</v>
      </c>
      <c r="D52" s="15"/>
      <c r="E52" s="55"/>
      <c r="F52" s="43">
        <v>2.2483</v>
      </c>
      <c r="G52" s="80"/>
      <c r="H52" s="43">
        <f>+'[2]COS Tariff 2016'!$D$167</f>
        <v>1.4630222001732529</v>
      </c>
      <c r="I52" s="19"/>
      <c r="J52" s="19">
        <f t="shared" ref="J52" si="30">+H52-F52</f>
        <v>-0.78527779982674706</v>
      </c>
      <c r="K52" s="18"/>
      <c r="L52" s="18">
        <f>+J52*C52</f>
        <v>-17093.92714662863</v>
      </c>
      <c r="M52" s="70"/>
      <c r="N52" s="70"/>
      <c r="O52" s="10"/>
      <c r="P52" s="98"/>
      <c r="Q52" s="106"/>
      <c r="R52" s="94"/>
      <c r="S52" s="94"/>
    </row>
    <row r="53" spans="1:19" s="35" customFormat="1" ht="18" customHeight="1" x14ac:dyDescent="0.2">
      <c r="A53" s="34" t="str">
        <f>+[1]Summary!$A$24</f>
        <v xml:space="preserve">  Customers</v>
      </c>
      <c r="B53" s="23">
        <f>+'[1]Rate Class Customer Model'!$F$20</f>
        <v>3</v>
      </c>
      <c r="C53" s="25"/>
      <c r="D53" s="15"/>
      <c r="E53" s="55">
        <v>3755.43</v>
      </c>
      <c r="F53" s="43"/>
      <c r="G53" s="55">
        <f>+'[2]COS Tariff 2016'!$D$166</f>
        <v>2443.7474808507045</v>
      </c>
      <c r="H53" s="43"/>
      <c r="I53" s="17">
        <f t="shared" ref="I53" si="31">+G53-E53</f>
        <v>-1311.6825191492953</v>
      </c>
      <c r="J53" s="19"/>
      <c r="K53" s="18">
        <f>+B53*I53*$D$8</f>
        <v>-7870.095114895772</v>
      </c>
      <c r="L53" s="18"/>
      <c r="M53" s="70"/>
      <c r="N53" s="70"/>
      <c r="O53" s="81"/>
      <c r="P53" s="93"/>
      <c r="Q53" s="106"/>
      <c r="R53" s="94"/>
      <c r="S53" s="94"/>
    </row>
    <row r="54" spans="1:19" s="35" customFormat="1" ht="18" customHeight="1" x14ac:dyDescent="0.2">
      <c r="A54" s="34" t="s">
        <v>32</v>
      </c>
      <c r="B54" s="24"/>
      <c r="C54" s="25">
        <f>+'[1]Rate Class Load Model'!$D$19/12</f>
        <v>21680.180341887077</v>
      </c>
      <c r="D54" s="15">
        <f>+C54*$D$8</f>
        <v>43360.360683774154</v>
      </c>
      <c r="E54" s="55"/>
      <c r="F54" s="43">
        <v>2.2483</v>
      </c>
      <c r="G54" s="80"/>
      <c r="H54" s="43">
        <f>+'[2]COS Tariff 2016'!$D$167</f>
        <v>1.4630222001732529</v>
      </c>
      <c r="I54" s="19"/>
      <c r="J54" s="19">
        <f t="shared" ref="J54" si="32">+H54-F54</f>
        <v>-0.78527779982674706</v>
      </c>
      <c r="K54" s="18"/>
      <c r="L54" s="18">
        <f>+J54*D54</f>
        <v>-34049.928637448356</v>
      </c>
      <c r="M54" s="70"/>
      <c r="N54" s="70"/>
      <c r="O54" s="10"/>
      <c r="P54" s="98"/>
      <c r="Q54" s="106"/>
      <c r="R54" s="94"/>
      <c r="S54" s="94"/>
    </row>
    <row r="55" spans="1:19" s="35" customFormat="1" ht="18" customHeight="1" x14ac:dyDescent="0.2">
      <c r="A55" s="34"/>
      <c r="B55" s="24"/>
      <c r="C55" s="25"/>
      <c r="D55" s="15"/>
      <c r="E55" s="55"/>
      <c r="F55" s="43"/>
      <c r="G55" s="80"/>
      <c r="H55" s="43"/>
      <c r="I55" s="19"/>
      <c r="J55" s="19"/>
      <c r="K55" s="90">
        <f>SUM(K49:K54)</f>
        <v>-15740.190229791544</v>
      </c>
      <c r="L55" s="90">
        <f>SUM(L49:L54)</f>
        <v>-67764.260417410085</v>
      </c>
      <c r="M55" s="99">
        <f>+'[1]Rate Class Customer Model'!$F$20</f>
        <v>3</v>
      </c>
      <c r="N55" s="100">
        <f>+'[1]Rate Class Load Model'!$D$19/12</f>
        <v>21680.180341887077</v>
      </c>
      <c r="O55" s="101">
        <f>+K55/M55/$O$8</f>
        <v>-655.84125957464767</v>
      </c>
      <c r="P55" s="102">
        <f>+L55/N55/$O$8</f>
        <v>-0.39070397102789839</v>
      </c>
      <c r="Q55" s="107"/>
      <c r="R55" s="103">
        <f>+M55*O55*$O$8</f>
        <v>-15740.190229791544</v>
      </c>
      <c r="S55" s="103">
        <f>+N55*P55*$O$8</f>
        <v>-67764.260417410085</v>
      </c>
    </row>
    <row r="56" spans="1:19" s="35" customFormat="1" ht="18" customHeight="1" x14ac:dyDescent="0.2">
      <c r="A56" s="33"/>
      <c r="B56" s="38"/>
      <c r="C56" s="39"/>
      <c r="D56" s="15"/>
      <c r="E56" s="56"/>
      <c r="F56" s="43"/>
      <c r="G56" s="80"/>
      <c r="H56" s="38"/>
      <c r="I56" s="33"/>
      <c r="J56" s="40"/>
      <c r="K56" s="18"/>
      <c r="L56" s="18"/>
      <c r="M56" s="70"/>
      <c r="N56" s="71"/>
      <c r="O56" s="10"/>
      <c r="P56" s="93"/>
      <c r="Q56" s="106"/>
      <c r="R56" s="94"/>
      <c r="S56" s="94"/>
    </row>
    <row r="57" spans="1:19" s="35" customFormat="1" ht="18" customHeight="1" x14ac:dyDescent="0.2">
      <c r="A57" s="11" t="str">
        <f>+[1]Summary!$A$33</f>
        <v xml:space="preserve">Streetlights </v>
      </c>
      <c r="B57" s="26"/>
      <c r="C57" s="27"/>
      <c r="D57" s="53"/>
      <c r="E57" s="55"/>
      <c r="F57" s="52"/>
      <c r="G57" s="80"/>
      <c r="H57" s="24"/>
      <c r="I57" s="53"/>
      <c r="J57" s="62"/>
      <c r="K57" s="53"/>
      <c r="L57" s="53"/>
      <c r="M57" s="76"/>
      <c r="N57" s="76"/>
      <c r="O57" s="10"/>
      <c r="P57" s="93"/>
      <c r="Q57" s="106"/>
      <c r="R57" s="94"/>
      <c r="S57" s="94"/>
    </row>
    <row r="58" spans="1:19" s="35" customFormat="1" ht="18" customHeight="1" x14ac:dyDescent="0.2">
      <c r="A58" s="88" t="s">
        <v>27</v>
      </c>
      <c r="B58" s="23">
        <v>3163</v>
      </c>
      <c r="C58" s="25"/>
      <c r="D58" s="53"/>
      <c r="E58" s="55">
        <v>2.04</v>
      </c>
      <c r="F58" s="43"/>
      <c r="G58" s="55">
        <f>+'[2]COS Tariff 2016'!$D$266</f>
        <v>2.4044428291719795</v>
      </c>
      <c r="H58" s="80"/>
      <c r="I58" s="17">
        <f t="shared" ref="I58" si="33">+G58-E58</f>
        <v>0.36444282917197945</v>
      </c>
      <c r="J58" s="19"/>
      <c r="K58" s="18">
        <f>+B58*I58</f>
        <v>1152.732668670971</v>
      </c>
      <c r="L58" s="18"/>
      <c r="M58" s="76"/>
      <c r="N58" s="76"/>
      <c r="O58" s="10"/>
      <c r="P58" s="93"/>
      <c r="Q58" s="106"/>
      <c r="R58" s="94"/>
      <c r="S58" s="94"/>
    </row>
    <row r="59" spans="1:19" s="35" customFormat="1" ht="18" customHeight="1" x14ac:dyDescent="0.2">
      <c r="A59" s="88" t="s">
        <v>28</v>
      </c>
      <c r="B59" s="23"/>
      <c r="C59" s="25">
        <v>1809</v>
      </c>
      <c r="D59" s="53"/>
      <c r="E59" s="55"/>
      <c r="F59" s="43">
        <v>8.9309999999999992</v>
      </c>
      <c r="G59" s="80"/>
      <c r="H59" s="43">
        <f>+'[2]COS Tariff 2016'!$D$267</f>
        <v>10.526509268301446</v>
      </c>
      <c r="I59" s="19"/>
      <c r="J59" s="19">
        <f t="shared" ref="J59" si="34">+H59-F59</f>
        <v>1.5955092683014467</v>
      </c>
      <c r="K59" s="18"/>
      <c r="L59" s="18">
        <f>+J59*C59</f>
        <v>2886.2762663573171</v>
      </c>
      <c r="M59" s="76"/>
      <c r="N59" s="76"/>
      <c r="O59" s="10"/>
      <c r="P59" s="93"/>
      <c r="Q59" s="106"/>
      <c r="R59" s="94"/>
      <c r="S59" s="94"/>
    </row>
    <row r="60" spans="1:19" s="35" customFormat="1" ht="18" customHeight="1" x14ac:dyDescent="0.2">
      <c r="A60" s="88" t="s">
        <v>29</v>
      </c>
      <c r="B60" s="23">
        <v>3164</v>
      </c>
      <c r="C60" s="25"/>
      <c r="D60" s="53"/>
      <c r="E60" s="55">
        <v>2.04</v>
      </c>
      <c r="F60" s="43"/>
      <c r="G60" s="55">
        <f>+'[2]COS Tariff 2016'!$D$266</f>
        <v>2.4044428291719795</v>
      </c>
      <c r="H60" s="80"/>
      <c r="I60" s="17">
        <f t="shared" ref="I60" si="35">+G60-E60</f>
        <v>0.36444282917197945</v>
      </c>
      <c r="J60" s="19"/>
      <c r="K60" s="18">
        <f>+B60*I60</f>
        <v>1153.097111500143</v>
      </c>
      <c r="L60" s="18"/>
      <c r="M60" s="76"/>
      <c r="N60" s="76"/>
      <c r="O60" s="10"/>
      <c r="P60" s="93"/>
      <c r="Q60" s="106"/>
      <c r="R60" s="94"/>
      <c r="S60" s="94"/>
    </row>
    <row r="61" spans="1:19" s="35" customFormat="1" ht="18" customHeight="1" x14ac:dyDescent="0.2">
      <c r="A61" s="88" t="s">
        <v>30</v>
      </c>
      <c r="B61" s="23"/>
      <c r="C61" s="25">
        <v>1810</v>
      </c>
      <c r="D61" s="53"/>
      <c r="E61" s="55"/>
      <c r="F61" s="43">
        <v>8.9309999999999992</v>
      </c>
      <c r="G61" s="80"/>
      <c r="H61" s="43">
        <f>+'[2]COS Tariff 2016'!$D$267</f>
        <v>10.526509268301446</v>
      </c>
      <c r="I61" s="19"/>
      <c r="J61" s="19">
        <f t="shared" ref="J61" si="36">+H61-F61</f>
        <v>1.5955092683014467</v>
      </c>
      <c r="K61" s="18"/>
      <c r="L61" s="18">
        <f>+J61*C61</f>
        <v>2887.8717756256183</v>
      </c>
      <c r="M61" s="76"/>
      <c r="N61" s="76"/>
      <c r="O61" s="10"/>
      <c r="P61" s="93"/>
      <c r="Q61" s="106"/>
      <c r="R61" s="94"/>
      <c r="S61" s="94"/>
    </row>
    <row r="62" spans="1:19" s="35" customFormat="1" ht="18" customHeight="1" x14ac:dyDescent="0.2">
      <c r="A62" s="34" t="str">
        <f>+[1]Summary!$A$34</f>
        <v xml:space="preserve">  Connections</v>
      </c>
      <c r="B62" s="23">
        <f>+'[1]Rate Class Customer Model'!$G$20</f>
        <v>3233.7042464999763</v>
      </c>
      <c r="C62" s="25"/>
      <c r="D62" s="15"/>
      <c r="E62" s="55">
        <v>2.04</v>
      </c>
      <c r="F62" s="43"/>
      <c r="G62" s="55">
        <f>+'[2]COS Tariff 2016'!$D$266</f>
        <v>2.4044428291719795</v>
      </c>
      <c r="H62" s="80"/>
      <c r="I62" s="17">
        <f t="shared" ref="I62" si="37">+G62-E62</f>
        <v>0.36444282917197945</v>
      </c>
      <c r="J62" s="19"/>
      <c r="K62" s="18">
        <f>+B62*I62*$D$8</f>
        <v>2357.000648599791</v>
      </c>
      <c r="L62" s="18"/>
      <c r="M62" s="70"/>
      <c r="N62" s="70"/>
      <c r="O62" s="81"/>
      <c r="P62" s="93"/>
      <c r="Q62" s="106"/>
      <c r="R62" s="94"/>
      <c r="S62" s="94"/>
    </row>
    <row r="63" spans="1:19" s="35" customFormat="1" ht="18" customHeight="1" x14ac:dyDescent="0.2">
      <c r="A63" s="34" t="s">
        <v>32</v>
      </c>
      <c r="B63" s="24"/>
      <c r="C63" s="25">
        <f>+'[1]Rate Class Load Model'!$E$19/12</f>
        <v>1940.9074612899283</v>
      </c>
      <c r="D63" s="15">
        <f>+C63*$D$8</f>
        <v>3881.8149225798566</v>
      </c>
      <c r="E63" s="55"/>
      <c r="F63" s="43">
        <v>8.9309999999999992</v>
      </c>
      <c r="G63" s="80"/>
      <c r="H63" s="43">
        <f>+'[2]COS Tariff 2016'!$D$267</f>
        <v>10.526509268301446</v>
      </c>
      <c r="I63" s="19"/>
      <c r="J63" s="19">
        <f t="shared" ref="J63" si="38">+H63-F63</f>
        <v>1.5955092683014467</v>
      </c>
      <c r="K63" s="18"/>
      <c r="L63" s="18">
        <f>+J63*D63</f>
        <v>6193.4716868070236</v>
      </c>
      <c r="M63" s="70"/>
      <c r="N63" s="70"/>
      <c r="O63" s="10"/>
      <c r="P63" s="98"/>
      <c r="Q63" s="106"/>
      <c r="R63" s="94"/>
      <c r="S63" s="94"/>
    </row>
    <row r="64" spans="1:19" s="35" customFormat="1" ht="18" customHeight="1" x14ac:dyDescent="0.2">
      <c r="A64" s="34"/>
      <c r="B64" s="24"/>
      <c r="C64" s="25"/>
      <c r="D64" s="15"/>
      <c r="E64" s="55"/>
      <c r="F64" s="43"/>
      <c r="G64" s="80"/>
      <c r="H64" s="43"/>
      <c r="I64" s="19"/>
      <c r="J64" s="19"/>
      <c r="K64" s="90">
        <f>SUM(K58:K63)</f>
        <v>4662.8304287709052</v>
      </c>
      <c r="L64" s="90">
        <f>SUM(L58:L63)</f>
        <v>11967.619728789959</v>
      </c>
      <c r="M64" s="99">
        <f>+'[1]Rate Class Customer Model'!$G$20</f>
        <v>3233.7042464999763</v>
      </c>
      <c r="N64" s="100">
        <f>+'[1]Rate Class Load Model'!$E$19/12</f>
        <v>1940.9074612899283</v>
      </c>
      <c r="O64" s="101">
        <f>+K64/M64/$O$8</f>
        <v>0.18024338627356515</v>
      </c>
      <c r="P64" s="102">
        <f>+L64/N64/$O$8</f>
        <v>0.77074899032256494</v>
      </c>
      <c r="Q64" s="107"/>
      <c r="R64" s="103">
        <f>+M64*O64*$O$8</f>
        <v>4662.8304287709052</v>
      </c>
      <c r="S64" s="103">
        <f>+N64*P64*$O$8</f>
        <v>11967.619728789959</v>
      </c>
    </row>
    <row r="65" spans="1:19" s="35" customFormat="1" ht="18" customHeight="1" x14ac:dyDescent="0.2">
      <c r="A65" s="33"/>
      <c r="B65" s="38"/>
      <c r="C65" s="39"/>
      <c r="D65" s="15"/>
      <c r="E65" s="56"/>
      <c r="F65" s="43"/>
      <c r="G65" s="80"/>
      <c r="H65" s="38"/>
      <c r="I65" s="33"/>
      <c r="J65" s="40"/>
      <c r="K65" s="18"/>
      <c r="L65" s="18"/>
      <c r="M65" s="70"/>
      <c r="N65" s="71"/>
      <c r="O65" s="10"/>
      <c r="P65" s="93"/>
      <c r="Q65" s="106"/>
      <c r="R65" s="94"/>
      <c r="S65" s="94"/>
    </row>
    <row r="66" spans="1:19" s="35" customFormat="1" ht="18" customHeight="1" x14ac:dyDescent="0.2">
      <c r="A66" s="11" t="str">
        <f>+[1]Summary!$A$38</f>
        <v>Sentinel Lights</v>
      </c>
      <c r="B66" s="26"/>
      <c r="C66" s="27"/>
      <c r="D66" s="53"/>
      <c r="E66" s="55"/>
      <c r="F66" s="52"/>
      <c r="G66" s="80"/>
      <c r="H66" s="24"/>
      <c r="I66" s="53"/>
      <c r="J66" s="62"/>
      <c r="K66" s="53"/>
      <c r="L66" s="53"/>
      <c r="M66" s="76"/>
      <c r="N66" s="76"/>
      <c r="O66" s="10"/>
      <c r="P66" s="93"/>
      <c r="Q66" s="106"/>
      <c r="R66" s="94"/>
      <c r="S66" s="94"/>
    </row>
    <row r="67" spans="1:19" s="35" customFormat="1" ht="18" customHeight="1" x14ac:dyDescent="0.2">
      <c r="A67" s="16" t="str">
        <f>+[1]Summary!$A$39</f>
        <v xml:space="preserve">  Connections</v>
      </c>
      <c r="B67" s="23">
        <f>+'[1]Rate Class Customer Model'!$H$20</f>
        <v>242.20347610658669</v>
      </c>
      <c r="C67" s="25"/>
      <c r="D67" s="15">
        <f>'[3]Foregone Rev Rate Rider'!$R$43</f>
        <v>0</v>
      </c>
      <c r="E67" s="55">
        <v>2.4300000000000002</v>
      </c>
      <c r="F67" s="43"/>
      <c r="G67" s="55">
        <f>+'[2]COS Tariff 2016'!$D$233</f>
        <v>3.4411865619120316</v>
      </c>
      <c r="H67" s="80"/>
      <c r="I67" s="17">
        <f t="shared" ref="I67" si="39">+G67-E67</f>
        <v>1.0111865619120315</v>
      </c>
      <c r="J67" s="19"/>
      <c r="K67" s="50">
        <f>+B67*I67*4</f>
        <v>979.65160114944911</v>
      </c>
      <c r="L67" s="18"/>
      <c r="M67" s="70"/>
      <c r="N67" s="70"/>
      <c r="O67" s="81"/>
      <c r="P67" s="93"/>
      <c r="Q67" s="106"/>
      <c r="R67" s="94"/>
      <c r="S67" s="94"/>
    </row>
    <row r="68" spans="1:19" s="35" customFormat="1" ht="18" customHeight="1" x14ac:dyDescent="0.2">
      <c r="A68" s="16" t="str">
        <f>+[1]Summary!$A$41</f>
        <v xml:space="preserve">  kW</v>
      </c>
      <c r="B68" s="24"/>
      <c r="C68" s="25">
        <f>+'[1]Rate Class Load Model'!$F$19/12</f>
        <v>33.655407395532045</v>
      </c>
      <c r="D68" s="15">
        <f>+C68*$D$8</f>
        <v>67.310814791064089</v>
      </c>
      <c r="E68" s="55"/>
      <c r="F68" s="43">
        <v>18.465599999999998</v>
      </c>
      <c r="G68" s="80"/>
      <c r="H68" s="43">
        <f>+'[2]COS Tariff 2016'!$D$234</f>
        <v>26.149619167754238</v>
      </c>
      <c r="I68" s="19"/>
      <c r="J68" s="19">
        <f t="shared" ref="J68" si="40">+H68-F68</f>
        <v>7.68401916775424</v>
      </c>
      <c r="K68" s="18"/>
      <c r="L68" s="50">
        <f>+J68*C68*4</f>
        <v>1034.4351821033842</v>
      </c>
      <c r="M68" s="70"/>
      <c r="N68" s="70"/>
      <c r="O68" s="81"/>
      <c r="P68" s="98"/>
      <c r="Q68" s="106"/>
      <c r="R68" s="94"/>
      <c r="S68" s="94"/>
    </row>
    <row r="69" spans="1:19" s="35" customFormat="1" ht="18" customHeight="1" x14ac:dyDescent="0.2">
      <c r="A69" s="16"/>
      <c r="B69" s="24"/>
      <c r="C69" s="25"/>
      <c r="D69" s="15"/>
      <c r="E69" s="55"/>
      <c r="F69" s="43"/>
      <c r="G69" s="80"/>
      <c r="H69" s="43"/>
      <c r="I69" s="19"/>
      <c r="J69" s="19"/>
      <c r="K69" s="90">
        <f>SUM(K67:K68)</f>
        <v>979.65160114944911</v>
      </c>
      <c r="L69" s="90">
        <f>SUM(L67:L68)</f>
        <v>1034.4351821033842</v>
      </c>
      <c r="M69" s="99">
        <f>+'[1]Rate Class Customer Model'!$H$20</f>
        <v>242.20347610658669</v>
      </c>
      <c r="N69" s="100">
        <f>+'[1]Rate Class Load Model'!$F$19/12</f>
        <v>33.655407395532045</v>
      </c>
      <c r="O69" s="101">
        <f>+K69/M69/$O$8</f>
        <v>0.50559328095601574</v>
      </c>
      <c r="P69" s="102">
        <f>+L69/N69/$O$8</f>
        <v>3.8420095838771204</v>
      </c>
      <c r="Q69" s="107"/>
      <c r="R69" s="103">
        <f>+M69*O69*$O$8</f>
        <v>979.65160114944911</v>
      </c>
      <c r="S69" s="103">
        <f>+N69*P69*$O$8</f>
        <v>1034.4351821033842</v>
      </c>
    </row>
    <row r="70" spans="1:19" s="35" customFormat="1" ht="18" customHeight="1" x14ac:dyDescent="0.2">
      <c r="A70" s="33"/>
      <c r="B70" s="38"/>
      <c r="C70" s="39"/>
      <c r="D70" s="15"/>
      <c r="E70" s="56"/>
      <c r="F70" s="43"/>
      <c r="G70" s="80"/>
      <c r="H70" s="38"/>
      <c r="I70" s="33"/>
      <c r="J70" s="40"/>
      <c r="K70" s="18"/>
      <c r="L70" s="18"/>
      <c r="M70" s="70"/>
      <c r="N70" s="71"/>
      <c r="O70" s="10"/>
      <c r="P70" s="93"/>
      <c r="Q70" s="106"/>
      <c r="R70" s="94"/>
      <c r="S70" s="94"/>
    </row>
    <row r="71" spans="1:19" s="35" customFormat="1" ht="18" customHeight="1" x14ac:dyDescent="0.2">
      <c r="A71" s="11" t="str">
        <f>+[1]Summary!$A$43</f>
        <v xml:space="preserve">Unmetered Loads </v>
      </c>
      <c r="B71" s="26"/>
      <c r="C71" s="27"/>
      <c r="D71" s="53"/>
      <c r="E71" s="55"/>
      <c r="F71" s="52"/>
      <c r="G71" s="80"/>
      <c r="H71" s="24"/>
      <c r="I71" s="53"/>
      <c r="J71" s="62"/>
      <c r="K71" s="53"/>
      <c r="L71" s="53"/>
      <c r="M71" s="76"/>
      <c r="N71" s="76"/>
      <c r="O71" s="10"/>
      <c r="P71" s="93"/>
      <c r="Q71" s="106"/>
      <c r="R71" s="94"/>
      <c r="S71" s="94"/>
    </row>
    <row r="72" spans="1:19" s="35" customFormat="1" ht="18" customHeight="1" x14ac:dyDescent="0.2">
      <c r="A72" s="16" t="str">
        <f>+[1]Summary!$A$44</f>
        <v xml:space="preserve">  Connections</v>
      </c>
      <c r="B72" s="23">
        <f>+'[1]Rate Class Customer Model'!$I$20</f>
        <v>178</v>
      </c>
      <c r="C72" s="25"/>
      <c r="D72" s="15">
        <f>'[3]Foregone Rev Rate Rider'!$R$48</f>
        <v>0</v>
      </c>
      <c r="E72" s="55">
        <v>7.86</v>
      </c>
      <c r="F72" s="43"/>
      <c r="G72" s="55">
        <f>+'[2]COS Tariff 2016'!$D$200</f>
        <v>7.8629894402642497</v>
      </c>
      <c r="H72" s="80"/>
      <c r="I72" s="17">
        <f t="shared" ref="I72" si="41">+G72-E72</f>
        <v>2.98944026424941E-3</v>
      </c>
      <c r="J72" s="19"/>
      <c r="K72" s="50">
        <f>+B72*I72*4-2</f>
        <v>0.12848146814557992</v>
      </c>
      <c r="L72" s="18"/>
      <c r="M72" s="70"/>
      <c r="N72" s="70"/>
      <c r="O72" s="81"/>
      <c r="P72" s="93"/>
      <c r="Q72" s="106"/>
      <c r="R72" s="94"/>
      <c r="S72" s="94"/>
    </row>
    <row r="73" spans="1:19" s="35" customFormat="1" ht="18" customHeight="1" x14ac:dyDescent="0.2">
      <c r="A73" s="16" t="str">
        <f>+[1]Summary!$A$45</f>
        <v xml:space="preserve">  kWh</v>
      </c>
      <c r="B73" s="24"/>
      <c r="C73" s="25">
        <f>+'[1]Rate Class Energy Model'!$O$77/12</f>
        <v>91368.560833333337</v>
      </c>
      <c r="D73" s="15">
        <f>+C73*$D$8</f>
        <v>182737.12166666667</v>
      </c>
      <c r="E73" s="55"/>
      <c r="F73" s="43">
        <v>1.66E-2</v>
      </c>
      <c r="G73" s="80"/>
      <c r="H73" s="43">
        <f>+'[2]COS Tariff 2016'!$D$201</f>
        <v>1.6606313576130603E-2</v>
      </c>
      <c r="I73" s="19"/>
      <c r="J73" s="19">
        <f t="shared" ref="J73" si="42">+H73-F73</f>
        <v>6.3135761306024052E-6</v>
      </c>
      <c r="K73" s="18"/>
      <c r="L73" s="50">
        <f>+J73*C73*4-2</f>
        <v>0.30744945905930843</v>
      </c>
      <c r="M73" s="70"/>
      <c r="N73" s="70"/>
      <c r="O73" s="10"/>
      <c r="P73" s="98"/>
      <c r="Q73" s="106"/>
      <c r="R73" s="94"/>
      <c r="S73" s="94"/>
    </row>
    <row r="74" spans="1:19" s="35" customFormat="1" ht="18" customHeight="1" x14ac:dyDescent="0.2">
      <c r="A74" s="33"/>
      <c r="B74" s="38"/>
      <c r="C74" s="39"/>
      <c r="D74" s="31"/>
      <c r="E74" s="56"/>
      <c r="F74" s="43"/>
      <c r="G74" s="80"/>
      <c r="H74" s="38"/>
      <c r="I74" s="33"/>
      <c r="J74" s="40"/>
      <c r="K74" s="18"/>
      <c r="L74" s="18"/>
      <c r="M74" s="70"/>
      <c r="N74" s="71"/>
      <c r="O74" s="10"/>
      <c r="P74" s="98"/>
      <c r="Q74" s="106"/>
      <c r="R74" s="94"/>
      <c r="S74" s="94"/>
    </row>
    <row r="75" spans="1:19" s="35" customFormat="1" ht="18" customHeight="1" thickBot="1" x14ac:dyDescent="0.25">
      <c r="A75" s="12" t="s">
        <v>4</v>
      </c>
      <c r="B75" s="28"/>
      <c r="C75" s="28"/>
      <c r="D75" s="53"/>
      <c r="E75" s="55"/>
      <c r="F75" s="52"/>
      <c r="G75" s="80"/>
      <c r="H75" s="24"/>
      <c r="I75" s="53"/>
      <c r="J75" s="62"/>
      <c r="K75" s="85">
        <f>+K17+K27+K37+K46+K55+K64+K69+K72</f>
        <v>393646.38587140897</v>
      </c>
      <c r="L75" s="85">
        <f>+L17+L27+L37+L46+L55+L64+L69+L73</f>
        <v>-409319.07151300536</v>
      </c>
      <c r="M75" s="70"/>
      <c r="N75" s="71"/>
      <c r="O75" s="10"/>
      <c r="P75" s="93"/>
      <c r="Q75" s="106"/>
      <c r="R75" s="94"/>
      <c r="S75" s="94"/>
    </row>
    <row r="76" spans="1:19" s="35" customFormat="1" ht="18" customHeight="1" thickTop="1" x14ac:dyDescent="0.2">
      <c r="A76" s="29"/>
      <c r="B76" s="30"/>
      <c r="C76" s="30"/>
      <c r="D76" s="31"/>
      <c r="E76" s="58"/>
      <c r="F76" s="43"/>
      <c r="G76" s="80"/>
      <c r="H76" s="38"/>
      <c r="I76" s="32"/>
      <c r="J76" s="42"/>
      <c r="K76" s="29"/>
      <c r="L76" s="29"/>
      <c r="M76" s="77"/>
      <c r="N76" s="77"/>
      <c r="O76" s="29"/>
      <c r="P76" s="93"/>
      <c r="Q76" s="106"/>
      <c r="R76" s="94"/>
      <c r="S76" s="94"/>
    </row>
    <row r="77" spans="1:19" s="35" customFormat="1" ht="18" customHeight="1" x14ac:dyDescent="0.2">
      <c r="A77" s="29"/>
      <c r="B77" s="29"/>
      <c r="C77" s="29"/>
      <c r="D77" s="15"/>
      <c r="E77" s="58"/>
      <c r="F77" s="43"/>
      <c r="G77" s="80"/>
      <c r="H77" s="38"/>
      <c r="I77" s="32"/>
      <c r="J77" s="42"/>
      <c r="K77" s="109">
        <f>+K75+L75</f>
        <v>-15672.685641596385</v>
      </c>
      <c r="L77" s="109"/>
      <c r="M77" s="77"/>
      <c r="N77" s="77"/>
      <c r="O77" s="29"/>
      <c r="P77" s="93"/>
      <c r="Q77" s="106"/>
      <c r="R77" s="94"/>
      <c r="S77" s="94"/>
    </row>
    <row r="78" spans="1:19" s="35" customFormat="1" ht="18" customHeight="1" x14ac:dyDescent="0.2">
      <c r="A78" s="29"/>
      <c r="B78" s="29"/>
      <c r="C78" s="29"/>
      <c r="D78" s="15"/>
      <c r="E78" s="58"/>
      <c r="F78" s="43"/>
      <c r="G78" s="80"/>
      <c r="H78" s="38"/>
      <c r="I78" s="32"/>
      <c r="J78" s="42"/>
      <c r="K78" s="29"/>
      <c r="L78" s="29"/>
      <c r="M78" s="77"/>
      <c r="N78" s="77"/>
      <c r="O78" s="29"/>
      <c r="P78" s="93"/>
      <c r="Q78" s="106"/>
      <c r="R78" s="94"/>
      <c r="S78" s="94"/>
    </row>
    <row r="79" spans="1:19" s="35" customFormat="1" ht="18" customHeight="1" x14ac:dyDescent="0.2">
      <c r="A79" s="29"/>
      <c r="B79" s="29"/>
      <c r="C79" s="29"/>
      <c r="D79" s="15"/>
      <c r="E79" s="58"/>
      <c r="F79" s="38"/>
      <c r="G79" s="80"/>
      <c r="H79" s="38"/>
      <c r="I79" s="32"/>
      <c r="J79" s="42"/>
      <c r="K79" s="29"/>
      <c r="L79" s="29"/>
      <c r="M79" s="77"/>
      <c r="N79" s="77"/>
      <c r="O79" s="29"/>
      <c r="P79" s="93"/>
      <c r="Q79" s="106"/>
      <c r="R79" s="94"/>
      <c r="S79" s="94"/>
    </row>
    <row r="80" spans="1:19" s="35" customFormat="1" ht="18" customHeight="1" x14ac:dyDescent="0.2">
      <c r="A80" s="4"/>
      <c r="B80" s="4"/>
      <c r="C80" s="4"/>
      <c r="D80" s="5"/>
      <c r="E80" s="59"/>
      <c r="F80" s="45"/>
      <c r="G80" s="80"/>
      <c r="H80" s="45"/>
      <c r="I80" s="6"/>
      <c r="J80" s="63"/>
      <c r="K80" s="4"/>
      <c r="L80" s="4"/>
      <c r="M80" s="78"/>
      <c r="N80" s="78"/>
      <c r="O80" s="4"/>
      <c r="P80" s="93"/>
      <c r="Q80" s="106"/>
      <c r="R80" s="94"/>
      <c r="S80" s="94"/>
    </row>
    <row r="81" spans="1:15" x14ac:dyDescent="0.2">
      <c r="A81" s="4"/>
      <c r="B81" s="4"/>
      <c r="C81" s="4"/>
      <c r="D81" s="5"/>
      <c r="E81" s="59"/>
      <c r="F81" s="45"/>
      <c r="G81" s="45"/>
      <c r="H81" s="45"/>
      <c r="I81" s="6"/>
      <c r="J81" s="63"/>
      <c r="K81" s="4"/>
      <c r="L81" s="4"/>
      <c r="M81" s="78"/>
      <c r="N81" s="78"/>
      <c r="O81" s="4"/>
    </row>
    <row r="82" spans="1:15" x14ac:dyDescent="0.2">
      <c r="A82" s="4"/>
      <c r="B82" s="4"/>
      <c r="C82" s="4"/>
      <c r="D82" s="5"/>
      <c r="E82" s="59"/>
      <c r="F82" s="45"/>
      <c r="G82" s="45"/>
      <c r="H82" s="45"/>
      <c r="I82" s="6"/>
      <c r="J82" s="63"/>
      <c r="K82" s="4"/>
      <c r="L82" s="4"/>
      <c r="M82" s="78"/>
      <c r="N82" s="78"/>
      <c r="O82" s="4"/>
    </row>
    <row r="83" spans="1:15" x14ac:dyDescent="0.2">
      <c r="A83" s="4"/>
      <c r="B83" s="4"/>
      <c r="C83" s="4"/>
      <c r="D83" s="5"/>
      <c r="E83" s="60"/>
      <c r="F83" s="45"/>
      <c r="G83" s="45"/>
      <c r="H83" s="45"/>
      <c r="I83" s="6"/>
      <c r="J83" s="63"/>
      <c r="K83" s="4"/>
      <c r="L83" s="4"/>
      <c r="M83" s="78"/>
      <c r="N83" s="78"/>
      <c r="O83" s="4"/>
    </row>
    <row r="84" spans="1:15" x14ac:dyDescent="0.2">
      <c r="A84" s="4"/>
      <c r="B84" s="4"/>
      <c r="C84" s="4"/>
      <c r="D84" s="5"/>
      <c r="E84" s="60"/>
      <c r="F84" s="45"/>
      <c r="G84" s="45"/>
      <c r="H84" s="45"/>
      <c r="I84" s="6"/>
      <c r="J84" s="6"/>
      <c r="K84" s="4"/>
      <c r="L84" s="4"/>
      <c r="M84" s="78"/>
      <c r="N84" s="78"/>
      <c r="O84" s="4"/>
    </row>
    <row r="85" spans="1:15" x14ac:dyDescent="0.2">
      <c r="A85" s="4"/>
      <c r="B85" s="4"/>
      <c r="C85" s="4"/>
      <c r="D85" s="5"/>
      <c r="E85" s="60"/>
      <c r="F85" s="45"/>
      <c r="G85" s="45"/>
      <c r="H85" s="45"/>
      <c r="I85" s="6"/>
      <c r="J85" s="6"/>
      <c r="K85" s="4"/>
      <c r="L85" s="4"/>
      <c r="M85" s="78"/>
      <c r="N85" s="78"/>
      <c r="O85" s="4"/>
    </row>
    <row r="86" spans="1:15" x14ac:dyDescent="0.2">
      <c r="A86" s="4"/>
      <c r="B86" s="4"/>
      <c r="C86" s="4"/>
      <c r="D86" s="5"/>
      <c r="E86" s="60"/>
      <c r="F86" s="45"/>
      <c r="G86" s="45"/>
      <c r="H86" s="45"/>
      <c r="I86" s="6"/>
      <c r="J86" s="6"/>
      <c r="K86" s="4"/>
      <c r="L86" s="4"/>
      <c r="M86" s="78"/>
      <c r="N86" s="78"/>
      <c r="O86" s="4"/>
    </row>
    <row r="87" spans="1:15" x14ac:dyDescent="0.2">
      <c r="A87" s="4"/>
      <c r="B87" s="4"/>
      <c r="C87" s="4"/>
      <c r="D87" s="5"/>
      <c r="E87" s="60"/>
      <c r="F87" s="45"/>
      <c r="G87" s="6"/>
      <c r="H87" s="6"/>
      <c r="I87" s="6"/>
      <c r="J87" s="6"/>
      <c r="K87" s="4"/>
      <c r="L87" s="4"/>
      <c r="M87" s="78"/>
      <c r="N87" s="78"/>
      <c r="O87" s="4"/>
    </row>
    <row r="88" spans="1:15" x14ac:dyDescent="0.2">
      <c r="A88" s="4"/>
      <c r="B88" s="4"/>
      <c r="C88" s="4"/>
      <c r="D88" s="5"/>
      <c r="E88" s="60"/>
      <c r="F88" s="45"/>
      <c r="G88" s="6"/>
      <c r="H88" s="6"/>
      <c r="I88" s="6"/>
      <c r="J88" s="6"/>
      <c r="K88" s="4"/>
      <c r="L88" s="4"/>
      <c r="M88" s="78"/>
      <c r="N88" s="78"/>
      <c r="O88" s="4"/>
    </row>
    <row r="89" spans="1:15" x14ac:dyDescent="0.2">
      <c r="A89" s="4"/>
      <c r="B89" s="4"/>
      <c r="C89" s="4"/>
      <c r="D89" s="5"/>
      <c r="E89" s="60"/>
      <c r="F89" s="45"/>
      <c r="G89" s="6"/>
      <c r="H89" s="6"/>
      <c r="I89" s="6"/>
      <c r="J89" s="6"/>
      <c r="K89" s="4"/>
      <c r="L89" s="4"/>
      <c r="M89" s="78"/>
      <c r="N89" s="78"/>
      <c r="O89" s="4"/>
    </row>
    <row r="90" spans="1:15" x14ac:dyDescent="0.2">
      <c r="A90" s="4"/>
      <c r="B90" s="4"/>
      <c r="C90" s="4"/>
      <c r="D90" s="5"/>
      <c r="E90" s="60"/>
      <c r="F90" s="45"/>
      <c r="G90" s="6"/>
      <c r="H90" s="6"/>
      <c r="I90" s="6"/>
      <c r="J90" s="6"/>
      <c r="K90" s="4"/>
      <c r="L90" s="4"/>
      <c r="M90" s="78"/>
      <c r="N90" s="78"/>
      <c r="O90" s="4"/>
    </row>
    <row r="91" spans="1:15" x14ac:dyDescent="0.2">
      <c r="A91" s="4"/>
      <c r="B91" s="4"/>
      <c r="C91" s="4"/>
      <c r="D91" s="5"/>
      <c r="E91" s="60"/>
      <c r="F91" s="45"/>
      <c r="G91" s="6"/>
      <c r="H91" s="6"/>
      <c r="I91" s="6"/>
      <c r="J91" s="6"/>
      <c r="K91" s="4"/>
      <c r="L91" s="4"/>
      <c r="M91" s="78"/>
      <c r="N91" s="78"/>
      <c r="O91" s="4"/>
    </row>
    <row r="92" spans="1:15" x14ac:dyDescent="0.2">
      <c r="A92" s="4"/>
      <c r="B92" s="4"/>
      <c r="C92" s="4"/>
      <c r="D92" s="5"/>
      <c r="E92" s="60"/>
      <c r="F92" s="45"/>
      <c r="G92" s="6"/>
      <c r="H92" s="6"/>
      <c r="I92" s="6"/>
      <c r="J92" s="6"/>
      <c r="K92" s="4"/>
      <c r="L92" s="4"/>
      <c r="M92" s="78"/>
      <c r="N92" s="78"/>
      <c r="O92" s="4"/>
    </row>
    <row r="93" spans="1:15" x14ac:dyDescent="0.2">
      <c r="A93" s="4"/>
      <c r="B93" s="4"/>
      <c r="C93" s="4"/>
      <c r="D93" s="5"/>
      <c r="E93" s="60"/>
      <c r="F93" s="45"/>
      <c r="G93" s="6"/>
      <c r="H93" s="6"/>
      <c r="I93" s="6"/>
      <c r="J93" s="6"/>
      <c r="K93" s="4"/>
      <c r="L93" s="4"/>
      <c r="M93" s="78"/>
      <c r="N93" s="78"/>
      <c r="O93" s="4"/>
    </row>
    <row r="94" spans="1:15" x14ac:dyDescent="0.2">
      <c r="A94" s="4"/>
      <c r="B94" s="4"/>
      <c r="C94" s="4"/>
      <c r="D94" s="5"/>
      <c r="E94" s="8"/>
      <c r="F94" s="45"/>
      <c r="G94" s="6"/>
      <c r="H94" s="6"/>
      <c r="I94" s="6"/>
      <c r="J94" s="6"/>
      <c r="K94" s="4"/>
      <c r="L94" s="4"/>
      <c r="M94" s="78"/>
      <c r="N94" s="78"/>
      <c r="O94" s="4"/>
    </row>
    <row r="95" spans="1:15" x14ac:dyDescent="0.2">
      <c r="A95" s="4"/>
      <c r="B95" s="4"/>
      <c r="C95" s="4"/>
      <c r="D95" s="5"/>
      <c r="E95" s="8"/>
      <c r="F95" s="45"/>
      <c r="G95" s="6"/>
      <c r="H95" s="6"/>
      <c r="I95" s="6"/>
      <c r="J95" s="6"/>
      <c r="K95" s="4"/>
      <c r="L95" s="4"/>
      <c r="M95" s="78"/>
      <c r="N95" s="78"/>
      <c r="O95" s="4"/>
    </row>
    <row r="96" spans="1:15" x14ac:dyDescent="0.2">
      <c r="A96" s="4"/>
      <c r="B96" s="4"/>
      <c r="C96" s="4"/>
      <c r="D96" s="5"/>
      <c r="E96" s="4"/>
      <c r="F96" s="6"/>
      <c r="G96" s="6"/>
      <c r="H96" s="6"/>
      <c r="I96" s="6"/>
      <c r="J96" s="6"/>
      <c r="K96" s="4"/>
      <c r="L96" s="4"/>
      <c r="M96" s="4"/>
      <c r="N96" s="4"/>
      <c r="O96" s="4"/>
    </row>
    <row r="97" spans="1:15" x14ac:dyDescent="0.2">
      <c r="A97" s="4"/>
      <c r="B97" s="4"/>
      <c r="C97" s="4"/>
      <c r="D97" s="5"/>
      <c r="E97" s="4"/>
      <c r="F97" s="6"/>
      <c r="G97" s="6"/>
      <c r="H97" s="6"/>
      <c r="I97" s="6"/>
      <c r="J97" s="6"/>
      <c r="K97" s="4"/>
      <c r="L97" s="4"/>
      <c r="M97" s="4"/>
      <c r="N97" s="4"/>
      <c r="O97" s="4"/>
    </row>
    <row r="98" spans="1:15" x14ac:dyDescent="0.2">
      <c r="A98" s="4"/>
      <c r="B98" s="4"/>
      <c r="C98" s="4"/>
      <c r="D98" s="5"/>
      <c r="E98" s="4"/>
      <c r="F98" s="6"/>
      <c r="G98" s="6"/>
      <c r="H98" s="6"/>
      <c r="I98" s="6"/>
      <c r="J98" s="6"/>
      <c r="K98" s="4"/>
      <c r="L98" s="4"/>
      <c r="M98" s="4"/>
      <c r="N98" s="4"/>
      <c r="O98" s="4"/>
    </row>
    <row r="99" spans="1:15" x14ac:dyDescent="0.2">
      <c r="A99" s="4"/>
      <c r="B99" s="4"/>
      <c r="C99" s="4"/>
      <c r="D99" s="5"/>
      <c r="E99" s="4"/>
      <c r="F99" s="6"/>
      <c r="G99" s="6"/>
      <c r="H99" s="6"/>
      <c r="I99" s="6"/>
      <c r="J99" s="6"/>
      <c r="K99" s="4"/>
      <c r="L99" s="4"/>
      <c r="M99" s="4"/>
      <c r="N99" s="4"/>
      <c r="O99" s="4"/>
    </row>
    <row r="100" spans="1:15" x14ac:dyDescent="0.2">
      <c r="A100" s="4"/>
      <c r="B100" s="4"/>
      <c r="C100" s="4"/>
      <c r="D100" s="5"/>
      <c r="E100" s="4"/>
      <c r="F100" s="6"/>
      <c r="G100" s="6"/>
      <c r="H100" s="6"/>
      <c r="I100" s="6"/>
      <c r="J100" s="6"/>
      <c r="K100" s="4"/>
      <c r="L100" s="4"/>
      <c r="M100" s="4"/>
      <c r="N100" s="4"/>
      <c r="O100" s="4"/>
    </row>
    <row r="101" spans="1:15" x14ac:dyDescent="0.2">
      <c r="A101" s="4"/>
      <c r="B101" s="4"/>
      <c r="C101" s="4"/>
      <c r="D101" s="5"/>
      <c r="E101" s="4"/>
      <c r="F101" s="6"/>
      <c r="G101" s="6"/>
      <c r="H101" s="6"/>
      <c r="I101" s="6"/>
      <c r="J101" s="6"/>
      <c r="K101" s="4"/>
      <c r="L101" s="4"/>
      <c r="M101" s="4"/>
      <c r="N101" s="4"/>
      <c r="O101" s="4"/>
    </row>
    <row r="102" spans="1:15" x14ac:dyDescent="0.2">
      <c r="A102" s="4"/>
      <c r="B102" s="4"/>
      <c r="C102" s="4"/>
      <c r="D102" s="5"/>
      <c r="E102" s="4"/>
      <c r="F102" s="6"/>
      <c r="G102" s="6"/>
      <c r="H102" s="6"/>
      <c r="I102" s="6"/>
      <c r="J102" s="6"/>
      <c r="K102" s="4"/>
      <c r="L102" s="4"/>
      <c r="M102" s="4"/>
      <c r="N102" s="4"/>
      <c r="O102" s="4"/>
    </row>
    <row r="103" spans="1:15" x14ac:dyDescent="0.2">
      <c r="A103" s="4"/>
      <c r="B103" s="4"/>
      <c r="C103" s="4"/>
      <c r="D103" s="5"/>
      <c r="E103" s="4"/>
      <c r="F103" s="6"/>
      <c r="G103" s="6"/>
      <c r="H103" s="6"/>
      <c r="I103" s="6"/>
      <c r="J103" s="6"/>
      <c r="K103" s="4"/>
      <c r="L103" s="4"/>
      <c r="M103" s="4"/>
      <c r="N103" s="4"/>
      <c r="O103" s="4"/>
    </row>
    <row r="104" spans="1:15" x14ac:dyDescent="0.2">
      <c r="A104" s="4"/>
      <c r="B104" s="4"/>
      <c r="C104" s="4"/>
      <c r="D104" s="5"/>
      <c r="E104" s="4"/>
      <c r="F104" s="6"/>
      <c r="G104" s="6"/>
      <c r="H104" s="6"/>
      <c r="I104" s="6"/>
      <c r="J104" s="6"/>
      <c r="K104" s="4"/>
      <c r="L104" s="4"/>
      <c r="M104" s="4"/>
      <c r="N104" s="4"/>
      <c r="O104" s="4"/>
    </row>
    <row r="105" spans="1:15" x14ac:dyDescent="0.2">
      <c r="A105" s="4"/>
      <c r="B105" s="4"/>
      <c r="C105" s="4"/>
      <c r="D105" s="5"/>
      <c r="E105" s="4"/>
      <c r="F105" s="6"/>
      <c r="G105" s="6"/>
      <c r="H105" s="6"/>
      <c r="I105" s="6"/>
      <c r="J105" s="6"/>
      <c r="K105" s="4"/>
      <c r="L105" s="4"/>
      <c r="M105" s="4"/>
      <c r="N105" s="4"/>
      <c r="O105" s="4"/>
    </row>
    <row r="106" spans="1:15" x14ac:dyDescent="0.2">
      <c r="A106" s="4"/>
      <c r="B106" s="4"/>
      <c r="C106" s="4"/>
      <c r="D106" s="5"/>
      <c r="E106" s="4"/>
      <c r="F106" s="6"/>
      <c r="G106" s="6"/>
      <c r="H106" s="6"/>
      <c r="I106" s="6"/>
      <c r="J106" s="6"/>
      <c r="K106" s="4"/>
      <c r="L106" s="4"/>
      <c r="M106" s="4"/>
      <c r="N106" s="4"/>
      <c r="O106" s="4"/>
    </row>
    <row r="107" spans="1:15" x14ac:dyDescent="0.2">
      <c r="A107" s="4"/>
      <c r="B107" s="4"/>
      <c r="C107" s="4"/>
      <c r="D107" s="5"/>
      <c r="E107" s="4"/>
      <c r="F107" s="6"/>
      <c r="G107" s="6"/>
      <c r="H107" s="6"/>
      <c r="I107" s="6"/>
      <c r="J107" s="6"/>
      <c r="K107" s="4"/>
      <c r="L107" s="4"/>
      <c r="M107" s="4"/>
      <c r="N107" s="4"/>
      <c r="O107" s="4"/>
    </row>
    <row r="108" spans="1:15" x14ac:dyDescent="0.2">
      <c r="A108" s="4"/>
      <c r="B108" s="4"/>
      <c r="C108" s="4"/>
      <c r="D108" s="5"/>
      <c r="E108" s="4"/>
      <c r="F108" s="6"/>
      <c r="G108" s="6"/>
      <c r="H108" s="6"/>
      <c r="I108" s="6"/>
      <c r="J108" s="6"/>
      <c r="K108" s="4"/>
      <c r="L108" s="4"/>
      <c r="M108" s="4"/>
      <c r="N108" s="4"/>
      <c r="O108" s="4"/>
    </row>
    <row r="109" spans="1:15" x14ac:dyDescent="0.2">
      <c r="A109" s="4"/>
      <c r="B109" s="4"/>
      <c r="C109" s="4"/>
      <c r="D109" s="5"/>
      <c r="E109" s="4"/>
      <c r="F109" s="6"/>
      <c r="G109" s="6"/>
      <c r="H109" s="6"/>
      <c r="I109" s="6"/>
      <c r="J109" s="6"/>
      <c r="K109" s="4"/>
      <c r="L109" s="4"/>
      <c r="M109" s="4"/>
      <c r="N109" s="4"/>
      <c r="O109" s="4"/>
    </row>
    <row r="110" spans="1:15" x14ac:dyDescent="0.2">
      <c r="A110" s="4"/>
      <c r="B110" s="4"/>
      <c r="C110" s="4"/>
      <c r="D110" s="5"/>
      <c r="E110" s="4"/>
      <c r="F110" s="6"/>
      <c r="G110" s="6"/>
      <c r="H110" s="6"/>
      <c r="I110" s="6"/>
      <c r="J110" s="6"/>
      <c r="K110" s="4"/>
      <c r="L110" s="4"/>
      <c r="M110" s="4"/>
      <c r="N110" s="4"/>
      <c r="O110" s="4"/>
    </row>
    <row r="111" spans="1:15" x14ac:dyDescent="0.2">
      <c r="A111" s="4"/>
      <c r="B111" s="4"/>
      <c r="C111" s="4"/>
      <c r="D111" s="5"/>
      <c r="E111" s="4"/>
      <c r="F111" s="6"/>
      <c r="G111" s="6"/>
      <c r="H111" s="6"/>
      <c r="I111" s="6"/>
      <c r="J111" s="6"/>
      <c r="K111" s="4"/>
      <c r="L111" s="4"/>
      <c r="M111" s="4"/>
      <c r="N111" s="4"/>
      <c r="O111" s="4"/>
    </row>
    <row r="112" spans="1:15" x14ac:dyDescent="0.2">
      <c r="A112" s="4"/>
      <c r="B112" s="4"/>
      <c r="C112" s="4"/>
      <c r="D112" s="5"/>
      <c r="E112" s="4"/>
      <c r="F112" s="6"/>
      <c r="G112" s="6"/>
      <c r="H112" s="6"/>
      <c r="I112" s="6"/>
      <c r="J112" s="6"/>
      <c r="K112" s="4"/>
      <c r="L112" s="4"/>
      <c r="M112" s="4"/>
      <c r="N112" s="4"/>
      <c r="O112" s="4"/>
    </row>
    <row r="113" spans="1:15" x14ac:dyDescent="0.2">
      <c r="A113" s="4"/>
      <c r="B113" s="4"/>
      <c r="C113" s="4"/>
      <c r="D113" s="5"/>
      <c r="E113" s="4"/>
      <c r="F113" s="6"/>
      <c r="G113" s="6"/>
      <c r="H113" s="6"/>
      <c r="I113" s="6"/>
      <c r="J113" s="6"/>
      <c r="K113" s="4"/>
      <c r="L113" s="4"/>
      <c r="M113" s="4"/>
      <c r="N113" s="4"/>
      <c r="O113" s="4"/>
    </row>
    <row r="114" spans="1:15" x14ac:dyDescent="0.2">
      <c r="A114" s="4"/>
      <c r="B114" s="4"/>
      <c r="C114" s="4"/>
      <c r="D114" s="5"/>
      <c r="E114" s="4"/>
      <c r="F114" s="6"/>
      <c r="G114" s="6"/>
      <c r="H114" s="6"/>
      <c r="I114" s="6"/>
      <c r="J114" s="6"/>
      <c r="K114" s="4"/>
      <c r="L114" s="4"/>
      <c r="M114" s="4"/>
      <c r="N114" s="4"/>
      <c r="O114" s="4"/>
    </row>
    <row r="115" spans="1:15" x14ac:dyDescent="0.2">
      <c r="A115" s="4"/>
      <c r="B115" s="4"/>
      <c r="C115" s="4"/>
      <c r="D115" s="5"/>
      <c r="E115" s="4"/>
      <c r="F115" s="6"/>
      <c r="G115" s="6"/>
      <c r="H115" s="6"/>
      <c r="I115" s="6"/>
      <c r="J115" s="6"/>
      <c r="K115" s="4"/>
      <c r="L115" s="4"/>
      <c r="M115" s="4"/>
      <c r="N115" s="4"/>
      <c r="O115" s="4"/>
    </row>
    <row r="116" spans="1:15" x14ac:dyDescent="0.2">
      <c r="A116" s="4"/>
      <c r="B116" s="4"/>
      <c r="C116" s="4"/>
      <c r="D116" s="5"/>
      <c r="E116" s="4"/>
      <c r="F116" s="6"/>
      <c r="G116" s="6"/>
      <c r="H116" s="6"/>
      <c r="I116" s="6"/>
      <c r="J116" s="6"/>
      <c r="K116" s="4"/>
      <c r="L116" s="4"/>
      <c r="M116" s="4"/>
      <c r="N116" s="4"/>
      <c r="O116" s="4"/>
    </row>
    <row r="117" spans="1:15" x14ac:dyDescent="0.2">
      <c r="A117" s="4"/>
      <c r="B117" s="4"/>
      <c r="C117" s="4"/>
      <c r="D117" s="5"/>
      <c r="E117" s="4"/>
      <c r="F117" s="6"/>
      <c r="G117" s="6"/>
      <c r="H117" s="6"/>
      <c r="I117" s="6"/>
      <c r="J117" s="6"/>
      <c r="K117" s="4"/>
      <c r="L117" s="4"/>
      <c r="M117" s="4"/>
      <c r="N117" s="4"/>
      <c r="O117" s="4"/>
    </row>
  </sheetData>
  <mergeCells count="2">
    <mergeCell ref="A3:C3"/>
    <mergeCell ref="K77:L77"/>
  </mergeCells>
  <pageMargins left="0.25" right="0.25" top="0.75" bottom="0.75" header="0.3" footer="0.3"/>
  <pageSetup scale="52" orientation="landscape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McKenzie</dc:creator>
  <cp:lastModifiedBy>Cameron McKenzie</cp:lastModifiedBy>
  <cp:lastPrinted>2016-08-11T13:27:10Z</cp:lastPrinted>
  <dcterms:created xsi:type="dcterms:W3CDTF">2016-05-05T12:07:30Z</dcterms:created>
  <dcterms:modified xsi:type="dcterms:W3CDTF">2016-08-11T21:17:05Z</dcterms:modified>
</cp:coreProperties>
</file>