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8.xml" ContentType="application/vnd.openxmlformats-officedocument.drawing+xml"/>
  <Override PartName="/xl/comments12.xml" ContentType="application/vnd.openxmlformats-officedocument.spreadsheetml.comments+xml"/>
  <Override PartName="/xl/drawings/drawing9.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codeName="ThisWorkbook" defaultThemeVersion="124226"/>
  <mc:AlternateContent xmlns:mc="http://schemas.openxmlformats.org/markup-compatibility/2006">
    <mc:Choice Requires="x15">
      <x15ac:absPath xmlns:x15ac="http://schemas.microsoft.com/office/spreadsheetml/2010/11/ac" url="R:\IRM Applications\2017 Application\Filed Aug 15\"/>
    </mc:Choice>
  </mc:AlternateContent>
  <bookViews>
    <workbookView xWindow="0" yWindow="0" windowWidth="28800" windowHeight="11985" tabRatio="926" firstSheet="1" activeTab="13"/>
  </bookViews>
  <sheets>
    <sheet name="Contents Navigator" sheetId="62" r:id="rId1"/>
    <sheet name="Input Output Flow Chart" sheetId="63" r:id="rId2"/>
    <sheet name="1.  LRAMVA Summary" sheetId="43" r:id="rId3"/>
    <sheet name="2.  CDM Allocation" sheetId="44" r:id="rId4"/>
    <sheet name="3.  Distribution Rates" sheetId="45" r:id="rId5"/>
    <sheet name="4.  2011-14 LRAM" sheetId="46" r:id="rId6"/>
    <sheet name="5.  2015 LRAM" sheetId="54" r:id="rId7"/>
    <sheet name="5-b. 2016 LRAM" sheetId="57" state="hidden" r:id="rId8"/>
    <sheet name="5-c.  2017 LRAM" sheetId="58" state="hidden" r:id="rId9"/>
    <sheet name="5-d.  2018 LRAM" sheetId="59" state="hidden" r:id="rId10"/>
    <sheet name="5-e.  2019 LRAM" sheetId="60" state="hidden" r:id="rId11"/>
    <sheet name="5-f.  2020 LRAM" sheetId="61" state="hidden" r:id="rId12"/>
    <sheet name="6.  Persistence Rates" sheetId="3" r:id="rId13"/>
    <sheet name="7.  Carrying Charges" sheetId="47" r:id="rId14"/>
  </sheets>
  <externalReferences>
    <externalReference r:id="rId15"/>
  </externalReferences>
  <definedNames>
    <definedName name="_xlnm.Print_Area" localSheetId="2">'1.  LRAMVA Summary'!$A$1:$L$39</definedName>
    <definedName name="_xlnm.Print_Area" localSheetId="3">'2.  CDM Allocation'!$A$1:$L$141</definedName>
    <definedName name="_xlnm.Print_Area" localSheetId="4">'3.  Distribution Rates'!$A$1:$M$42</definedName>
    <definedName name="_xlnm.Print_Area" localSheetId="5">'4.  2011-14 LRAM'!$A$1:$P$324</definedName>
    <definedName name="_xlnm.Print_Area" localSheetId="6">'5.  2015 LRAM'!$A$1:$P$132</definedName>
    <definedName name="_xlnm.Print_Area" localSheetId="12">'6.  Persistence Rates'!$A$1:$W$49</definedName>
    <definedName name="_xlnm.Print_Area" localSheetId="13">'7.  Carrying Charges'!$A$1:$S$165</definedName>
    <definedName name="_xlnm.Print_Area" localSheetId="0">'Contents Navigator'!$A$1:$H$37</definedName>
    <definedName name="_xlnm.Print_Area" localSheetId="1">'Input Output Flow Chart'!$A$1:$M$28</definedName>
    <definedName name="_xlnm.Print_Titles" localSheetId="3">'2.  CDM Allocation'!$1:$1</definedName>
    <definedName name="_xlnm.Print_Titles" localSheetId="5">'4.  2011-14 LRAM'!$C:$D,'4.  2011-14 LRAM'!$1:$1</definedName>
    <definedName name="_xlnm.Print_Titles" localSheetId="6">'5.  2015 LRAM'!$1:$1</definedName>
    <definedName name="_xlnm.Print_Titles" localSheetId="13">'7.  Carrying Charges'!$1:$1</definedName>
    <definedName name="Targets">'[1]LDC Targets'!$A$3:$D$83</definedName>
  </definedNames>
  <calcPr calcId="152511"/>
</workbook>
</file>

<file path=xl/calcChain.xml><?xml version="1.0" encoding="utf-8"?>
<calcChain xmlns="http://schemas.openxmlformats.org/spreadsheetml/2006/main">
  <c r="V48" i="3" l="1"/>
  <c r="V47" i="3"/>
  <c r="U47" i="3"/>
  <c r="V46" i="3"/>
  <c r="U46" i="3"/>
  <c r="T46" i="3"/>
  <c r="V45" i="3"/>
  <c r="U45" i="3"/>
  <c r="T45" i="3"/>
  <c r="S45" i="3"/>
  <c r="V44" i="3"/>
  <c r="U44" i="3"/>
  <c r="T44" i="3"/>
  <c r="S44" i="3"/>
  <c r="R44" i="3"/>
  <c r="I48" i="3"/>
  <c r="I47" i="3"/>
  <c r="H47" i="3"/>
  <c r="I46" i="3"/>
  <c r="H46" i="3"/>
  <c r="G46" i="3"/>
  <c r="I45" i="3"/>
  <c r="H45" i="3"/>
  <c r="G45" i="3"/>
  <c r="F45" i="3"/>
  <c r="I44" i="3"/>
  <c r="H44" i="3"/>
  <c r="G44" i="3"/>
  <c r="F44" i="3"/>
  <c r="E44" i="3"/>
  <c r="I117" i="44"/>
  <c r="H117" i="44"/>
  <c r="G117" i="44"/>
  <c r="F117" i="44"/>
  <c r="E117" i="44"/>
  <c r="D117" i="44"/>
  <c r="C117" i="44"/>
  <c r="I104" i="44"/>
  <c r="H104" i="44"/>
  <c r="G104" i="44"/>
  <c r="F104" i="44"/>
  <c r="E104" i="44"/>
  <c r="D104" i="44"/>
  <c r="C104" i="44"/>
  <c r="I65" i="44"/>
  <c r="H65" i="44"/>
  <c r="G65" i="44"/>
  <c r="F65" i="44"/>
  <c r="E65" i="44"/>
  <c r="D65" i="44"/>
  <c r="C65" i="44"/>
  <c r="I52" i="44"/>
  <c r="H52" i="44"/>
  <c r="G52" i="44"/>
  <c r="F52" i="44"/>
  <c r="E52" i="44"/>
  <c r="D52" i="44"/>
  <c r="C52" i="44"/>
  <c r="I39" i="44"/>
  <c r="H39" i="44"/>
  <c r="G39" i="44"/>
  <c r="F39" i="44"/>
  <c r="E39" i="44"/>
  <c r="D39" i="44"/>
  <c r="C39" i="44"/>
  <c r="E36" i="43" l="1"/>
  <c r="E30" i="43"/>
  <c r="D36" i="43"/>
  <c r="D30" i="43"/>
  <c r="C36" i="43"/>
  <c r="C30" i="43"/>
  <c r="K36" i="43" l="1"/>
  <c r="K33" i="43"/>
  <c r="K24" i="43"/>
  <c r="K27" i="43"/>
  <c r="E32" i="43"/>
  <c r="D32" i="43"/>
  <c r="E23" i="43"/>
  <c r="H9" i="43" l="1"/>
  <c r="K30" i="43" l="1"/>
  <c r="U22" i="47" l="1"/>
  <c r="E82" i="44" l="1"/>
  <c r="E97" i="44"/>
  <c r="E92" i="44"/>
  <c r="D92" i="44"/>
  <c r="K77" i="44"/>
  <c r="E114" i="44" l="1"/>
  <c r="E101" i="44"/>
  <c r="E88" i="44"/>
  <c r="E75" i="44"/>
  <c r="E62" i="44"/>
  <c r="E49" i="44"/>
  <c r="E36" i="44"/>
  <c r="J114" i="54"/>
  <c r="S20" i="3" l="1"/>
  <c r="S19" i="3"/>
  <c r="R19" i="3"/>
  <c r="S18" i="3"/>
  <c r="R18" i="3"/>
  <c r="Q18" i="3"/>
  <c r="G20" i="3"/>
  <c r="G19" i="3"/>
  <c r="G18" i="3"/>
  <c r="F19" i="3"/>
  <c r="F18" i="3"/>
  <c r="D18" i="3"/>
  <c r="E18" i="3"/>
  <c r="J69" i="46" l="1"/>
  <c r="S72" i="46"/>
  <c r="R34" i="46"/>
  <c r="I67" i="46"/>
  <c r="J115" i="54" l="1"/>
  <c r="I113" i="54"/>
  <c r="H113" i="54"/>
  <c r="I225" i="46"/>
  <c r="I226" i="46" s="1"/>
  <c r="H225" i="46"/>
  <c r="H226" i="46" s="1"/>
  <c r="I145" i="46"/>
  <c r="I146" i="46" s="1"/>
  <c r="I68" i="46"/>
  <c r="M28" i="3" l="1"/>
  <c r="N322" i="46" s="1"/>
  <c r="L28" i="3"/>
  <c r="N321" i="46" s="1"/>
  <c r="K28" i="3"/>
  <c r="N320" i="46" s="1"/>
  <c r="J28" i="3"/>
  <c r="N319" i="46" s="1"/>
  <c r="I28" i="3"/>
  <c r="N318" i="46" s="1"/>
  <c r="H28" i="3"/>
  <c r="N317" i="46" s="1"/>
  <c r="L235" i="46"/>
  <c r="I159" i="46"/>
  <c r="I156" i="46"/>
  <c r="J147" i="46"/>
  <c r="H27" i="3"/>
  <c r="N236" i="46" s="1"/>
  <c r="H26" i="3"/>
  <c r="N156" i="46" s="1"/>
  <c r="H25" i="3"/>
  <c r="N77" i="46" s="1"/>
  <c r="G27" i="3"/>
  <c r="H235" i="46" s="1"/>
  <c r="G26" i="3"/>
  <c r="N155" i="46" s="1"/>
  <c r="G25" i="3"/>
  <c r="N76" i="46" s="1"/>
  <c r="I78" i="46"/>
  <c r="T27" i="3"/>
  <c r="L236" i="46" s="1"/>
  <c r="U27" i="3"/>
  <c r="L237" i="46" s="1"/>
  <c r="V27" i="3"/>
  <c r="L238" i="46" s="1"/>
  <c r="W27" i="3"/>
  <c r="L239" i="46" s="1"/>
  <c r="X27" i="3"/>
  <c r="M240" i="46" s="1"/>
  <c r="Y27" i="3"/>
  <c r="L241" i="46" s="1"/>
  <c r="S27" i="3"/>
  <c r="M235" i="46" s="1"/>
  <c r="I27" i="3"/>
  <c r="H237" i="46" s="1"/>
  <c r="J27" i="3"/>
  <c r="I238" i="46" s="1"/>
  <c r="K27" i="3"/>
  <c r="I239" i="46" s="1"/>
  <c r="L27" i="3"/>
  <c r="N240" i="46" s="1"/>
  <c r="M27" i="3"/>
  <c r="N241" i="46" s="1"/>
  <c r="K26" i="3"/>
  <c r="N159" i="46" s="1"/>
  <c r="M26" i="3"/>
  <c r="I161" i="46" s="1"/>
  <c r="Y28" i="3"/>
  <c r="L322" i="46" s="1"/>
  <c r="Y26" i="3"/>
  <c r="L161" i="46" s="1"/>
  <c r="W26" i="3"/>
  <c r="L159" i="46" s="1"/>
  <c r="U26" i="3"/>
  <c r="M157" i="46" s="1"/>
  <c r="U25" i="3"/>
  <c r="M78" i="46" s="1"/>
  <c r="W25" i="3"/>
  <c r="L80" i="46" s="1"/>
  <c r="Y25" i="3"/>
  <c r="L82" i="46" s="1"/>
  <c r="U28" i="3"/>
  <c r="L318" i="46" s="1"/>
  <c r="V28" i="3"/>
  <c r="L319" i="46" s="1"/>
  <c r="W28" i="3"/>
  <c r="M320" i="46" s="1"/>
  <c r="X28" i="3"/>
  <c r="M321" i="46" s="1"/>
  <c r="T25" i="3"/>
  <c r="L77" i="46" s="1"/>
  <c r="V25" i="3"/>
  <c r="L79" i="46" s="1"/>
  <c r="X25" i="3"/>
  <c r="M81" i="46" s="1"/>
  <c r="T26" i="3"/>
  <c r="L156" i="46" s="1"/>
  <c r="V26" i="3"/>
  <c r="L158" i="46" s="1"/>
  <c r="X26" i="3"/>
  <c r="L160" i="46" s="1"/>
  <c r="T28" i="3"/>
  <c r="L317" i="46" s="1"/>
  <c r="L26" i="3"/>
  <c r="I160" i="46" s="1"/>
  <c r="I26" i="3"/>
  <c r="I157" i="46" s="1"/>
  <c r="J26" i="3"/>
  <c r="I158" i="46" s="1"/>
  <c r="J25" i="3"/>
  <c r="I79" i="46" s="1"/>
  <c r="I25" i="3"/>
  <c r="N78" i="46" s="1"/>
  <c r="K25" i="3"/>
  <c r="N80" i="46" s="1"/>
  <c r="L25" i="3"/>
  <c r="I81" i="46" s="1"/>
  <c r="M25" i="3"/>
  <c r="N82" i="46" s="1"/>
  <c r="L240" i="46" l="1"/>
  <c r="L157" i="46"/>
  <c r="M160" i="46"/>
  <c r="L81" i="46"/>
  <c r="M77" i="46"/>
  <c r="M79" i="46"/>
  <c r="M80" i="46"/>
  <c r="H236" i="46"/>
  <c r="I241" i="46"/>
  <c r="N157" i="46"/>
  <c r="I155" i="46"/>
  <c r="I76" i="46"/>
  <c r="I77" i="46"/>
  <c r="N79" i="46"/>
  <c r="L78" i="46"/>
  <c r="M82" i="46"/>
  <c r="H238" i="46"/>
  <c r="M241" i="46"/>
  <c r="H241" i="46"/>
  <c r="N235" i="46"/>
  <c r="L321" i="46"/>
  <c r="N161" i="46"/>
  <c r="I82" i="46"/>
  <c r="M159" i="46"/>
  <c r="I236" i="46"/>
  <c r="M322" i="46"/>
  <c r="L320" i="46"/>
  <c r="M317" i="46"/>
  <c r="M318" i="46"/>
  <c r="M319" i="46"/>
  <c r="M236" i="46"/>
  <c r="M237" i="46"/>
  <c r="M238" i="46"/>
  <c r="M239" i="46"/>
  <c r="M156" i="46"/>
  <c r="M158" i="46"/>
  <c r="M161" i="46"/>
  <c r="H239" i="46"/>
  <c r="I240" i="46"/>
  <c r="H240" i="46"/>
  <c r="N237" i="46"/>
  <c r="I235" i="46"/>
  <c r="N238" i="46"/>
  <c r="N239" i="46"/>
  <c r="I237" i="46"/>
  <c r="N158" i="46"/>
  <c r="N160" i="46"/>
  <c r="N81" i="46"/>
  <c r="I80" i="46"/>
  <c r="M128" i="54" l="1"/>
  <c r="L128" i="54"/>
  <c r="M129" i="54"/>
  <c r="L129" i="54"/>
  <c r="M130" i="54"/>
  <c r="L130" i="54"/>
  <c r="M127" i="54"/>
  <c r="L127" i="54"/>
  <c r="J308" i="46"/>
  <c r="J309" i="46" s="1"/>
  <c r="F25" i="3"/>
  <c r="E25" i="3"/>
  <c r="K69" i="46"/>
  <c r="K70" i="46" s="1"/>
  <c r="K51" i="44"/>
  <c r="J321" i="46" l="1"/>
  <c r="J320" i="46"/>
  <c r="J319" i="46"/>
  <c r="J318" i="46"/>
  <c r="J317" i="46"/>
  <c r="J322" i="46"/>
  <c r="K78" i="46"/>
  <c r="K77" i="46"/>
  <c r="K82" i="46"/>
  <c r="K81" i="46"/>
  <c r="K80" i="46"/>
  <c r="K79" i="46"/>
  <c r="K114" i="54"/>
  <c r="H67" i="46"/>
  <c r="H68" i="46" s="1"/>
  <c r="S26" i="3"/>
  <c r="R26" i="3"/>
  <c r="S25" i="3"/>
  <c r="K76" i="46" s="1"/>
  <c r="R25" i="3"/>
  <c r="L75" i="46" s="1"/>
  <c r="F26" i="3"/>
  <c r="N75" i="46"/>
  <c r="N74" i="46"/>
  <c r="K308" i="46"/>
  <c r="K309" i="46" s="1"/>
  <c r="I306" i="46"/>
  <c r="I307" i="46" s="1"/>
  <c r="H306" i="46"/>
  <c r="H307" i="46" s="1"/>
  <c r="K227" i="46"/>
  <c r="K228" i="46" s="1"/>
  <c r="J227" i="46"/>
  <c r="J228" i="46" s="1"/>
  <c r="K147" i="46"/>
  <c r="K148" i="46" s="1"/>
  <c r="J148" i="46"/>
  <c r="J70" i="46"/>
  <c r="H145" i="46"/>
  <c r="H146" i="46" s="1"/>
  <c r="I130" i="54" l="1"/>
  <c r="N130" i="54"/>
  <c r="N127" i="54"/>
  <c r="I127" i="54"/>
  <c r="L155" i="46"/>
  <c r="M155" i="46"/>
  <c r="L76" i="46"/>
  <c r="M76" i="46"/>
  <c r="I319" i="46"/>
  <c r="I318" i="46"/>
  <c r="I317" i="46"/>
  <c r="I322" i="46"/>
  <c r="I321" i="46"/>
  <c r="I320" i="46"/>
  <c r="K322" i="46"/>
  <c r="K320" i="46"/>
  <c r="K317" i="46"/>
  <c r="K321" i="46"/>
  <c r="K319" i="46"/>
  <c r="K318" i="46"/>
  <c r="H322" i="46"/>
  <c r="H321" i="46"/>
  <c r="H320" i="46"/>
  <c r="H319" i="46"/>
  <c r="H318" i="46"/>
  <c r="H317" i="46"/>
  <c r="K160" i="46"/>
  <c r="K161" i="46"/>
  <c r="K159" i="46"/>
  <c r="K158" i="46"/>
  <c r="K157" i="46"/>
  <c r="K156" i="46"/>
  <c r="K155" i="46"/>
  <c r="J159" i="46"/>
  <c r="J158" i="46"/>
  <c r="J157" i="46"/>
  <c r="J161" i="46"/>
  <c r="J156" i="46"/>
  <c r="J155" i="46"/>
  <c r="J160" i="46"/>
  <c r="H156" i="46"/>
  <c r="H155" i="46"/>
  <c r="H157" i="46"/>
  <c r="H161" i="46"/>
  <c r="H160" i="46"/>
  <c r="H159" i="46"/>
  <c r="H158" i="46"/>
  <c r="J77" i="46"/>
  <c r="J76" i="46"/>
  <c r="J82" i="46"/>
  <c r="J81" i="46"/>
  <c r="J80" i="46"/>
  <c r="J79" i="46"/>
  <c r="J78" i="46"/>
  <c r="H82" i="46"/>
  <c r="H81" i="46"/>
  <c r="H80" i="46"/>
  <c r="H79" i="46"/>
  <c r="H78" i="46"/>
  <c r="H77" i="46"/>
  <c r="H76" i="46"/>
  <c r="H130" i="54"/>
  <c r="K115" i="54"/>
  <c r="J241" i="46"/>
  <c r="J237" i="46"/>
  <c r="J239" i="46"/>
  <c r="J240" i="46"/>
  <c r="J236" i="46"/>
  <c r="J235" i="46"/>
  <c r="J238" i="46"/>
  <c r="K238" i="46"/>
  <c r="K240" i="46"/>
  <c r="K239" i="46"/>
  <c r="K241" i="46"/>
  <c r="K237" i="46"/>
  <c r="K236" i="46"/>
  <c r="K235" i="46"/>
  <c r="K154" i="46"/>
  <c r="I154" i="46"/>
  <c r="P114" i="54"/>
  <c r="H127" i="54"/>
  <c r="P113" i="54"/>
  <c r="M75" i="46"/>
  <c r="J154" i="46"/>
  <c r="K75" i="46"/>
  <c r="J75" i="46"/>
  <c r="I74" i="46"/>
  <c r="I75" i="46"/>
  <c r="H75" i="46"/>
  <c r="H74" i="46"/>
  <c r="K103" i="44"/>
  <c r="K127" i="54" l="1"/>
  <c r="K130" i="54"/>
  <c r="K129" i="54"/>
  <c r="K128" i="54"/>
  <c r="J130" i="54"/>
  <c r="J128" i="54"/>
  <c r="J127" i="54"/>
  <c r="J129" i="54"/>
  <c r="F105" i="44"/>
  <c r="C105" i="44"/>
  <c r="E105" i="44"/>
  <c r="D105" i="44"/>
  <c r="I105" i="44"/>
  <c r="H105" i="44"/>
  <c r="G105" i="44"/>
  <c r="H101" i="47"/>
  <c r="H102" i="47"/>
  <c r="H100" i="47"/>
  <c r="H86" i="47"/>
  <c r="H87" i="47"/>
  <c r="H85" i="47"/>
  <c r="H83" i="47"/>
  <c r="H84" i="47"/>
  <c r="H82" i="47"/>
  <c r="H79" i="47"/>
  <c r="H76" i="47"/>
  <c r="H70" i="47"/>
  <c r="H67" i="47"/>
  <c r="H64" i="47"/>
  <c r="H61" i="47"/>
  <c r="H72" i="47"/>
  <c r="H71" i="47"/>
  <c r="H69" i="47"/>
  <c r="H68" i="47"/>
  <c r="H66" i="47"/>
  <c r="H65" i="47"/>
  <c r="H63" i="47"/>
  <c r="H62" i="47"/>
  <c r="H46" i="47"/>
  <c r="H55" i="47"/>
  <c r="H52" i="47"/>
  <c r="H49" i="47"/>
  <c r="H57" i="47"/>
  <c r="H56" i="47"/>
  <c r="H54" i="47"/>
  <c r="H53" i="47"/>
  <c r="H51" i="47"/>
  <c r="H50" i="47"/>
  <c r="H48" i="47"/>
  <c r="H47" i="47"/>
  <c r="H42" i="47"/>
  <c r="H41" i="47"/>
  <c r="H40" i="47"/>
  <c r="H39" i="47"/>
  <c r="H38" i="47"/>
  <c r="H37" i="47"/>
  <c r="H36" i="47"/>
  <c r="H35" i="47"/>
  <c r="H34" i="47"/>
  <c r="H26" i="47"/>
  <c r="H27" i="47"/>
  <c r="H25" i="47"/>
  <c r="H23" i="47"/>
  <c r="H24" i="47"/>
  <c r="H22" i="47"/>
  <c r="H20" i="47"/>
  <c r="H21" i="47"/>
  <c r="H19" i="47"/>
  <c r="K90" i="44"/>
  <c r="K38" i="44"/>
  <c r="K104" i="44" l="1"/>
  <c r="E91" i="44"/>
  <c r="D91" i="44"/>
  <c r="C91" i="44"/>
  <c r="F91" i="44"/>
  <c r="F92" i="44" s="1"/>
  <c r="G91" i="44"/>
  <c r="G92" i="44" s="1"/>
  <c r="H91" i="44"/>
  <c r="H92" i="44" s="1"/>
  <c r="I91" i="44"/>
  <c r="I92" i="44" s="1"/>
  <c r="C26" i="44"/>
  <c r="H26" i="44"/>
  <c r="G26" i="44"/>
  <c r="D26" i="44"/>
  <c r="F26" i="44"/>
  <c r="E26" i="44"/>
  <c r="I26" i="44"/>
  <c r="E69" i="44"/>
  <c r="K91" i="44" l="1"/>
  <c r="H121" i="47"/>
  <c r="H122" i="47"/>
  <c r="H123" i="47"/>
  <c r="H124" i="47"/>
  <c r="H125" i="47"/>
  <c r="H126" i="47"/>
  <c r="H127" i="47"/>
  <c r="H128" i="47"/>
  <c r="H129" i="47"/>
  <c r="H130" i="47"/>
  <c r="H131" i="47"/>
  <c r="H132" i="47"/>
  <c r="H136" i="47"/>
  <c r="H137" i="47"/>
  <c r="H138" i="47"/>
  <c r="H139" i="47"/>
  <c r="H140" i="47"/>
  <c r="H141" i="47"/>
  <c r="H142" i="47"/>
  <c r="H143" i="47"/>
  <c r="H144" i="47"/>
  <c r="H145" i="47"/>
  <c r="H146" i="47"/>
  <c r="H147" i="47"/>
  <c r="H151" i="47"/>
  <c r="H152" i="47"/>
  <c r="H153" i="47"/>
  <c r="H154" i="47"/>
  <c r="H155" i="47"/>
  <c r="H156" i="47"/>
  <c r="H157" i="47"/>
  <c r="H158" i="47"/>
  <c r="H159" i="47"/>
  <c r="H160" i="47"/>
  <c r="H161" i="47"/>
  <c r="H162" i="47"/>
  <c r="D19" i="45"/>
  <c r="P85" i="61" l="1"/>
  <c r="P86" i="61"/>
  <c r="P87" i="61"/>
  <c r="P91" i="61"/>
  <c r="P63" i="61"/>
  <c r="P64" i="61"/>
  <c r="P65" i="61"/>
  <c r="P66" i="61"/>
  <c r="P70" i="61"/>
  <c r="P46" i="60"/>
  <c r="P47" i="60"/>
  <c r="P48" i="60"/>
  <c r="P50" i="60"/>
  <c r="H111" i="57"/>
  <c r="H121" i="44" l="1"/>
  <c r="G121" i="44"/>
  <c r="F121" i="44"/>
  <c r="E121" i="44"/>
  <c r="K116" i="44"/>
  <c r="H108" i="44"/>
  <c r="G108" i="44"/>
  <c r="F108" i="44"/>
  <c r="E108" i="44"/>
  <c r="H95" i="44"/>
  <c r="G95" i="44"/>
  <c r="F95" i="44"/>
  <c r="F43" i="44"/>
  <c r="G43" i="44"/>
  <c r="H43" i="44"/>
  <c r="E43" i="44"/>
  <c r="E56" i="44"/>
  <c r="D118" i="44" l="1"/>
  <c r="E118" i="44"/>
  <c r="F118" i="44"/>
  <c r="G118" i="44"/>
  <c r="H118" i="44"/>
  <c r="I118" i="44"/>
  <c r="K95" i="44"/>
  <c r="K108" i="44"/>
  <c r="K121" i="44"/>
  <c r="F56" i="44"/>
  <c r="K117" i="44" l="1"/>
  <c r="C118" i="44"/>
  <c r="H116" i="47"/>
  <c r="H117" i="47"/>
  <c r="H115" i="47"/>
  <c r="H113" i="47"/>
  <c r="H114" i="47"/>
  <c r="H112" i="47"/>
  <c r="H110" i="47"/>
  <c r="H111" i="47"/>
  <c r="H109" i="47"/>
  <c r="H107" i="47"/>
  <c r="H108" i="47"/>
  <c r="H106" i="47"/>
  <c r="H98" i="47"/>
  <c r="H99" i="47"/>
  <c r="H97" i="47"/>
  <c r="H95" i="47"/>
  <c r="H96" i="47"/>
  <c r="H94" i="47"/>
  <c r="H92" i="47"/>
  <c r="H93" i="47"/>
  <c r="H91" i="47"/>
  <c r="C119" i="44" l="1"/>
  <c r="K118" i="44"/>
  <c r="H32" i="47"/>
  <c r="H33" i="47"/>
  <c r="H31" i="47"/>
  <c r="P43" i="47"/>
  <c r="P45" i="47" s="1"/>
  <c r="P58" i="47" s="1"/>
  <c r="P60" i="47" s="1"/>
  <c r="P73" i="47" s="1"/>
  <c r="P75" i="47" s="1"/>
  <c r="P88" i="47" s="1"/>
  <c r="P90" i="47" s="1"/>
  <c r="P103" i="47" s="1"/>
  <c r="P105" i="47" s="1"/>
  <c r="P118" i="47" s="1"/>
  <c r="P120" i="47" s="1"/>
  <c r="P133" i="47" s="1"/>
  <c r="P135" i="47" s="1"/>
  <c r="P148" i="47" s="1"/>
  <c r="P150" i="47" s="1"/>
  <c r="P163" i="47" s="1"/>
  <c r="P28" i="47"/>
  <c r="H17" i="47"/>
  <c r="H18" i="47"/>
  <c r="H16" i="47"/>
  <c r="K19" i="45" l="1"/>
  <c r="K33" i="45" s="1"/>
  <c r="J19" i="45"/>
  <c r="I19" i="45"/>
  <c r="H19" i="45"/>
  <c r="G19" i="45"/>
  <c r="F19" i="45"/>
  <c r="E19" i="45"/>
  <c r="G34" i="45" l="1"/>
  <c r="I230" i="46" s="1"/>
  <c r="I233" i="46" s="1"/>
  <c r="G33" i="45"/>
  <c r="J116" i="59"/>
  <c r="J127" i="58"/>
  <c r="H33" i="45"/>
  <c r="H311" i="46" s="1"/>
  <c r="D119" i="44"/>
  <c r="E33" i="45"/>
  <c r="E34" i="45"/>
  <c r="D133" i="44" s="1"/>
  <c r="D22" i="43" s="1"/>
  <c r="E35" i="45"/>
  <c r="E36" i="45"/>
  <c r="F133" i="44" s="1"/>
  <c r="F22" i="43" s="1"/>
  <c r="E37" i="45"/>
  <c r="G133" i="44" s="1"/>
  <c r="G22" i="43" s="1"/>
  <c r="E38" i="45"/>
  <c r="M72" i="46" s="1"/>
  <c r="E39" i="45"/>
  <c r="I133" i="44" s="1"/>
  <c r="I22" i="43" s="1"/>
  <c r="F33" i="45"/>
  <c r="H150" i="46" s="1"/>
  <c r="H152" i="46" s="1"/>
  <c r="F34" i="45"/>
  <c r="F35" i="45"/>
  <c r="J150" i="46" s="1"/>
  <c r="J152" i="46" s="1"/>
  <c r="F36" i="45"/>
  <c r="F37" i="45"/>
  <c r="L150" i="46" s="1"/>
  <c r="L152" i="46" s="1"/>
  <c r="F38" i="45"/>
  <c r="F39" i="45"/>
  <c r="N150" i="46" s="1"/>
  <c r="N152" i="46" s="1"/>
  <c r="Q25" i="3"/>
  <c r="L74" i="46" s="1"/>
  <c r="G35" i="45"/>
  <c r="J230" i="46" s="1"/>
  <c r="G36" i="45"/>
  <c r="K230" i="46" s="1"/>
  <c r="G37" i="45"/>
  <c r="L230" i="46" s="1"/>
  <c r="G38" i="45"/>
  <c r="G39" i="45"/>
  <c r="N230" i="46" s="1"/>
  <c r="M154" i="46"/>
  <c r="H34" i="45"/>
  <c r="I311" i="46" s="1"/>
  <c r="H35" i="45"/>
  <c r="H36" i="45"/>
  <c r="H37" i="45"/>
  <c r="L311" i="46" s="1"/>
  <c r="H38" i="45"/>
  <c r="M311" i="46" s="1"/>
  <c r="H39" i="45"/>
  <c r="I33" i="45"/>
  <c r="H118" i="54" s="1"/>
  <c r="I34" i="45"/>
  <c r="I118" i="54" s="1"/>
  <c r="I37" i="45"/>
  <c r="L118" i="54" s="1"/>
  <c r="I38" i="45"/>
  <c r="M118" i="54" s="1"/>
  <c r="I39" i="45"/>
  <c r="N118" i="54" s="1"/>
  <c r="J33" i="45"/>
  <c r="H116" i="57" s="1"/>
  <c r="J34" i="45"/>
  <c r="I116" i="57" s="1"/>
  <c r="I111" i="57"/>
  <c r="P111" i="57" s="1"/>
  <c r="J35" i="45"/>
  <c r="J116" i="57" s="1"/>
  <c r="J112" i="57"/>
  <c r="J36" i="45"/>
  <c r="K116" i="57" s="1"/>
  <c r="K112" i="57"/>
  <c r="K113" i="57" s="1"/>
  <c r="J37" i="45"/>
  <c r="L116" i="57" s="1"/>
  <c r="L122" i="57" s="1"/>
  <c r="J38" i="45"/>
  <c r="M116" i="57" s="1"/>
  <c r="J39" i="45"/>
  <c r="N116" i="57" s="1"/>
  <c r="N122" i="57" s="1"/>
  <c r="H117" i="58"/>
  <c r="N125" i="57"/>
  <c r="H112" i="58"/>
  <c r="K34" i="45"/>
  <c r="I117" i="58" s="1"/>
  <c r="I112" i="58"/>
  <c r="K35" i="45"/>
  <c r="J117" i="58" s="1"/>
  <c r="J113" i="58"/>
  <c r="J114" i="58" s="1"/>
  <c r="K36" i="45"/>
  <c r="K117" i="58" s="1"/>
  <c r="K113" i="58"/>
  <c r="P113" i="58" s="1"/>
  <c r="K37" i="45"/>
  <c r="L117" i="58" s="1"/>
  <c r="K38" i="45"/>
  <c r="M117" i="58" s="1"/>
  <c r="K39" i="45"/>
  <c r="N117" i="58" s="1"/>
  <c r="N124" i="58" s="1"/>
  <c r="H116" i="59"/>
  <c r="N127" i="58"/>
  <c r="H111" i="59"/>
  <c r="I116" i="59"/>
  <c r="I111" i="59"/>
  <c r="J112" i="59"/>
  <c r="J113" i="59" s="1"/>
  <c r="K116" i="59"/>
  <c r="K112" i="59"/>
  <c r="L116" i="59"/>
  <c r="M116" i="59"/>
  <c r="N116" i="59"/>
  <c r="N124" i="59" s="1"/>
  <c r="H116" i="60"/>
  <c r="H111" i="60"/>
  <c r="I116" i="60"/>
  <c r="I111" i="60"/>
  <c r="J116" i="60"/>
  <c r="J112" i="60"/>
  <c r="J113" i="60" s="1"/>
  <c r="K116" i="60"/>
  <c r="K114" i="58"/>
  <c r="K112" i="60"/>
  <c r="L116" i="60"/>
  <c r="M116" i="60"/>
  <c r="M121" i="60" s="1"/>
  <c r="N116" i="60"/>
  <c r="N125" i="60" s="1"/>
  <c r="H116" i="61"/>
  <c r="H128" i="57"/>
  <c r="N129" i="58"/>
  <c r="N128" i="59"/>
  <c r="H111" i="61"/>
  <c r="I116" i="61"/>
  <c r="I111" i="61"/>
  <c r="J116" i="61"/>
  <c r="L128" i="60"/>
  <c r="J112" i="61"/>
  <c r="J113" i="61" s="1"/>
  <c r="K116" i="61"/>
  <c r="K112" i="61"/>
  <c r="K113" i="61" s="1"/>
  <c r="L116" i="61"/>
  <c r="M116" i="61"/>
  <c r="M122" i="61" s="1"/>
  <c r="M128" i="60"/>
  <c r="N116" i="61"/>
  <c r="P117" i="60"/>
  <c r="P118" i="60"/>
  <c r="P119" i="60"/>
  <c r="P120" i="60"/>
  <c r="P117" i="61"/>
  <c r="P118" i="61"/>
  <c r="P119" i="61"/>
  <c r="P120" i="61"/>
  <c r="P106" i="61"/>
  <c r="P105" i="61"/>
  <c r="P104" i="61"/>
  <c r="P103" i="61"/>
  <c r="P102" i="61"/>
  <c r="P101" i="61"/>
  <c r="P100" i="61"/>
  <c r="P99" i="61"/>
  <c r="P98" i="61"/>
  <c r="P97" i="61"/>
  <c r="P96" i="61"/>
  <c r="P95" i="61"/>
  <c r="P94" i="61"/>
  <c r="P93" i="61"/>
  <c r="P83" i="61"/>
  <c r="P79" i="61"/>
  <c r="P78" i="61"/>
  <c r="P77" i="61"/>
  <c r="P76" i="61"/>
  <c r="P75" i="61"/>
  <c r="P74" i="61"/>
  <c r="P73" i="61"/>
  <c r="P72" i="61"/>
  <c r="P56" i="61"/>
  <c r="P55" i="61"/>
  <c r="P54" i="61"/>
  <c r="P53" i="61"/>
  <c r="P52" i="61"/>
  <c r="P50" i="61"/>
  <c r="P48" i="61"/>
  <c r="P47" i="61"/>
  <c r="P46" i="61"/>
  <c r="P44" i="61"/>
  <c r="P43" i="61"/>
  <c r="P42" i="61"/>
  <c r="P41" i="61"/>
  <c r="P40" i="61"/>
  <c r="P39" i="61"/>
  <c r="P38" i="61"/>
  <c r="P36" i="61"/>
  <c r="P35" i="61"/>
  <c r="P34" i="61"/>
  <c r="P33" i="61"/>
  <c r="P32" i="61"/>
  <c r="P31" i="61"/>
  <c r="P30" i="61"/>
  <c r="P29" i="61"/>
  <c r="P28" i="61"/>
  <c r="P26" i="61"/>
  <c r="P25" i="61"/>
  <c r="P24" i="61"/>
  <c r="P23" i="61"/>
  <c r="P22" i="61"/>
  <c r="P21" i="61"/>
  <c r="P20" i="61"/>
  <c r="P19" i="61"/>
  <c r="P18" i="61"/>
  <c r="P17" i="61"/>
  <c r="P106" i="60"/>
  <c r="P105" i="60"/>
  <c r="P104" i="60"/>
  <c r="P103" i="60"/>
  <c r="P102" i="60"/>
  <c r="P101" i="60"/>
  <c r="P100" i="60"/>
  <c r="P99" i="60"/>
  <c r="P98" i="60"/>
  <c r="P97" i="60"/>
  <c r="P96" i="60"/>
  <c r="P95" i="60"/>
  <c r="P94" i="60"/>
  <c r="P93" i="60"/>
  <c r="P91" i="60"/>
  <c r="P87" i="60"/>
  <c r="P86" i="60"/>
  <c r="P85" i="60"/>
  <c r="P83" i="60"/>
  <c r="P79" i="60"/>
  <c r="P78" i="60"/>
  <c r="P77" i="60"/>
  <c r="P76" i="60"/>
  <c r="P75" i="60"/>
  <c r="P74" i="60"/>
  <c r="P73" i="60"/>
  <c r="P72" i="60"/>
  <c r="P70" i="60"/>
  <c r="P66" i="60"/>
  <c r="P65" i="60"/>
  <c r="P64" i="60"/>
  <c r="P63" i="60"/>
  <c r="P56" i="60"/>
  <c r="P55" i="60"/>
  <c r="P54" i="60"/>
  <c r="P53" i="60"/>
  <c r="P52" i="60"/>
  <c r="P44" i="60"/>
  <c r="P43" i="60"/>
  <c r="P42" i="60"/>
  <c r="P41" i="60"/>
  <c r="P40" i="60"/>
  <c r="P39" i="60"/>
  <c r="P38" i="60"/>
  <c r="P36" i="60"/>
  <c r="P35" i="60"/>
  <c r="P34" i="60"/>
  <c r="P33" i="60"/>
  <c r="P32" i="60"/>
  <c r="P31" i="60"/>
  <c r="P30" i="60"/>
  <c r="P29" i="60"/>
  <c r="P28" i="60"/>
  <c r="P26" i="60"/>
  <c r="P25" i="60"/>
  <c r="P24" i="60"/>
  <c r="P23" i="60"/>
  <c r="P22" i="60"/>
  <c r="P21" i="60"/>
  <c r="P20" i="60"/>
  <c r="P19" i="60"/>
  <c r="P18" i="60"/>
  <c r="P17" i="60"/>
  <c r="P117" i="59"/>
  <c r="P118" i="59"/>
  <c r="P119" i="59"/>
  <c r="P120" i="59"/>
  <c r="P118" i="58"/>
  <c r="P119" i="58"/>
  <c r="P120" i="58"/>
  <c r="P121" i="58"/>
  <c r="P106" i="59"/>
  <c r="P105" i="59"/>
  <c r="P104" i="59"/>
  <c r="P103" i="59"/>
  <c r="P102" i="59"/>
  <c r="P101" i="59"/>
  <c r="P100" i="59"/>
  <c r="P99" i="59"/>
  <c r="P98" i="59"/>
  <c r="P97" i="59"/>
  <c r="P96" i="59"/>
  <c r="P95" i="59"/>
  <c r="P94" i="59"/>
  <c r="P93" i="59"/>
  <c r="P91" i="59"/>
  <c r="P87" i="59"/>
  <c r="P86" i="59"/>
  <c r="P85" i="59"/>
  <c r="P83" i="59"/>
  <c r="P79" i="59"/>
  <c r="P78" i="59"/>
  <c r="P77" i="59"/>
  <c r="P76" i="59"/>
  <c r="P75" i="59"/>
  <c r="P74" i="59"/>
  <c r="P73" i="59"/>
  <c r="P72" i="59"/>
  <c r="P70" i="59"/>
  <c r="P66" i="59"/>
  <c r="P65" i="59"/>
  <c r="P64" i="59"/>
  <c r="P63" i="59"/>
  <c r="P56" i="59"/>
  <c r="P55" i="59"/>
  <c r="P54" i="59"/>
  <c r="P53" i="59"/>
  <c r="P52" i="59"/>
  <c r="P50" i="59"/>
  <c r="P48" i="59"/>
  <c r="P47" i="59"/>
  <c r="P46" i="59"/>
  <c r="P44" i="59"/>
  <c r="P43" i="59"/>
  <c r="P42" i="59"/>
  <c r="P41" i="59"/>
  <c r="P40" i="59"/>
  <c r="P39" i="59"/>
  <c r="P38" i="59"/>
  <c r="P36" i="59"/>
  <c r="P35" i="59"/>
  <c r="P34" i="59"/>
  <c r="P33" i="59"/>
  <c r="P32" i="59"/>
  <c r="P31" i="59"/>
  <c r="P30" i="59"/>
  <c r="P29" i="59"/>
  <c r="P28" i="59"/>
  <c r="P26" i="59"/>
  <c r="P25" i="59"/>
  <c r="P24" i="59"/>
  <c r="P23" i="59"/>
  <c r="P22" i="59"/>
  <c r="P21" i="59"/>
  <c r="P20" i="59"/>
  <c r="P19" i="59"/>
  <c r="P18" i="59"/>
  <c r="P17" i="59"/>
  <c r="P119" i="57"/>
  <c r="P117" i="57"/>
  <c r="P118" i="57"/>
  <c r="P120" i="57"/>
  <c r="P107" i="58"/>
  <c r="P106" i="58"/>
  <c r="P105" i="58"/>
  <c r="P104" i="58"/>
  <c r="P103" i="58"/>
  <c r="P102" i="58"/>
  <c r="P101" i="58"/>
  <c r="P100" i="58"/>
  <c r="P99" i="58"/>
  <c r="P98" i="58"/>
  <c r="P97" i="58"/>
  <c r="P96" i="58"/>
  <c r="P95" i="58"/>
  <c r="P94" i="58"/>
  <c r="P92" i="58"/>
  <c r="P88" i="58"/>
  <c r="P87" i="58"/>
  <c r="P86" i="58"/>
  <c r="P84" i="58"/>
  <c r="P80" i="58"/>
  <c r="P79" i="58"/>
  <c r="P78" i="58"/>
  <c r="P77" i="58"/>
  <c r="P76" i="58"/>
  <c r="P75" i="58"/>
  <c r="P74" i="58"/>
  <c r="P73" i="58"/>
  <c r="P71" i="58"/>
  <c r="P67" i="58"/>
  <c r="P66" i="58"/>
  <c r="P65" i="58"/>
  <c r="P64" i="58"/>
  <c r="P57" i="58"/>
  <c r="P56" i="58"/>
  <c r="P55" i="58"/>
  <c r="P54" i="58"/>
  <c r="P53" i="58"/>
  <c r="P51" i="58"/>
  <c r="P49" i="58"/>
  <c r="P48" i="58"/>
  <c r="P47" i="58"/>
  <c r="P45" i="58"/>
  <c r="P44" i="58"/>
  <c r="P43" i="58"/>
  <c r="P42" i="58"/>
  <c r="P41" i="58"/>
  <c r="P40" i="58"/>
  <c r="P39" i="58"/>
  <c r="P38" i="58"/>
  <c r="P36" i="58"/>
  <c r="P35" i="58"/>
  <c r="P34" i="58"/>
  <c r="P33" i="58"/>
  <c r="P32" i="58"/>
  <c r="P31" i="58"/>
  <c r="P30" i="58"/>
  <c r="P29" i="58"/>
  <c r="P28" i="58"/>
  <c r="P26" i="58"/>
  <c r="P25" i="58"/>
  <c r="P24" i="58"/>
  <c r="P23" i="58"/>
  <c r="P22" i="58"/>
  <c r="P21" i="58"/>
  <c r="P20" i="58"/>
  <c r="P19" i="58"/>
  <c r="P18" i="58"/>
  <c r="P17" i="58"/>
  <c r="I36" i="45"/>
  <c r="K118" i="54" s="1"/>
  <c r="P106" i="57"/>
  <c r="P105" i="57"/>
  <c r="P104" i="57"/>
  <c r="P103" i="57"/>
  <c r="P102" i="57"/>
  <c r="P101" i="57"/>
  <c r="P100" i="57"/>
  <c r="P99" i="57"/>
  <c r="P98" i="57"/>
  <c r="P97" i="57"/>
  <c r="P96" i="57"/>
  <c r="P95" i="57"/>
  <c r="P94" i="57"/>
  <c r="P93" i="57"/>
  <c r="P91" i="57"/>
  <c r="P87" i="57"/>
  <c r="P86" i="57"/>
  <c r="P85" i="57"/>
  <c r="P83" i="57"/>
  <c r="P79" i="57"/>
  <c r="P78" i="57"/>
  <c r="P77" i="57"/>
  <c r="P76" i="57"/>
  <c r="P75" i="57"/>
  <c r="P74" i="57"/>
  <c r="P73" i="57"/>
  <c r="P72" i="57"/>
  <c r="P70" i="57"/>
  <c r="P66" i="57"/>
  <c r="P65" i="57"/>
  <c r="P64" i="57"/>
  <c r="P63" i="57"/>
  <c r="P56" i="57"/>
  <c r="P55" i="57"/>
  <c r="P54" i="57"/>
  <c r="P53" i="57"/>
  <c r="P52" i="57"/>
  <c r="P50" i="57"/>
  <c r="P48" i="57"/>
  <c r="P47" i="57"/>
  <c r="P46" i="57"/>
  <c r="P44" i="57"/>
  <c r="P43" i="57"/>
  <c r="P42" i="57"/>
  <c r="P41" i="57"/>
  <c r="P40" i="57"/>
  <c r="P39" i="57"/>
  <c r="P38" i="57"/>
  <c r="P36" i="57"/>
  <c r="P35" i="57"/>
  <c r="P34" i="57"/>
  <c r="P33" i="57"/>
  <c r="P32" i="57"/>
  <c r="P31" i="57"/>
  <c r="P30" i="57"/>
  <c r="P29" i="57"/>
  <c r="P28" i="57"/>
  <c r="P26" i="57"/>
  <c r="P25" i="57"/>
  <c r="P24" i="57"/>
  <c r="P23" i="57"/>
  <c r="P22" i="57"/>
  <c r="P21" i="57"/>
  <c r="P20" i="57"/>
  <c r="P19" i="57"/>
  <c r="P18" i="57"/>
  <c r="P17" i="57"/>
  <c r="P30" i="54"/>
  <c r="P31" i="54"/>
  <c r="P32" i="54"/>
  <c r="P33" i="54"/>
  <c r="P34" i="54"/>
  <c r="P40" i="54"/>
  <c r="P41" i="54"/>
  <c r="P42" i="54"/>
  <c r="P48" i="54"/>
  <c r="P49" i="54"/>
  <c r="P50" i="54"/>
  <c r="P52" i="54"/>
  <c r="P54" i="54"/>
  <c r="P55" i="54"/>
  <c r="P56" i="54"/>
  <c r="P57" i="54"/>
  <c r="P58" i="54"/>
  <c r="P65" i="54"/>
  <c r="P66" i="54"/>
  <c r="P67" i="54"/>
  <c r="P68" i="54"/>
  <c r="P74" i="54"/>
  <c r="P75" i="54"/>
  <c r="P76" i="54"/>
  <c r="P77" i="54"/>
  <c r="P78" i="54"/>
  <c r="P79" i="54"/>
  <c r="P80" i="54"/>
  <c r="P81" i="54"/>
  <c r="P87" i="54"/>
  <c r="P88" i="54"/>
  <c r="P89" i="54"/>
  <c r="P95" i="54"/>
  <c r="P96" i="54"/>
  <c r="P97" i="54"/>
  <c r="P98" i="54"/>
  <c r="P99" i="54"/>
  <c r="P100" i="54"/>
  <c r="P101" i="54"/>
  <c r="P102" i="54"/>
  <c r="P103" i="54"/>
  <c r="P104" i="54"/>
  <c r="P105" i="54"/>
  <c r="P106" i="54"/>
  <c r="P107" i="54"/>
  <c r="P108" i="54"/>
  <c r="P20" i="54"/>
  <c r="P21" i="54"/>
  <c r="P22" i="54"/>
  <c r="P23" i="54"/>
  <c r="P24" i="54"/>
  <c r="P19" i="54"/>
  <c r="P104" i="46"/>
  <c r="P103" i="46"/>
  <c r="H20" i="46"/>
  <c r="P302" i="46"/>
  <c r="P301" i="46"/>
  <c r="P295" i="46"/>
  <c r="P294" i="46"/>
  <c r="P293" i="46"/>
  <c r="P292" i="46"/>
  <c r="P291" i="46"/>
  <c r="P286" i="46"/>
  <c r="P280" i="46"/>
  <c r="P279" i="46"/>
  <c r="P278" i="46"/>
  <c r="P277" i="46"/>
  <c r="P276" i="46"/>
  <c r="P270" i="46"/>
  <c r="P269" i="46"/>
  <c r="P268" i="46"/>
  <c r="P267" i="46"/>
  <c r="P266" i="46"/>
  <c r="P265" i="46"/>
  <c r="P264" i="46"/>
  <c r="P263" i="46"/>
  <c r="P257" i="46"/>
  <c r="P256" i="46"/>
  <c r="P255" i="46"/>
  <c r="P254" i="46"/>
  <c r="P253" i="46"/>
  <c r="P252" i="46"/>
  <c r="P251" i="46"/>
  <c r="P250" i="46"/>
  <c r="P249" i="46"/>
  <c r="P221" i="46"/>
  <c r="P220" i="46"/>
  <c r="P215" i="46"/>
  <c r="P214" i="46"/>
  <c r="P213" i="46"/>
  <c r="P212" i="46"/>
  <c r="P211" i="46"/>
  <c r="P206" i="46"/>
  <c r="P200" i="46"/>
  <c r="P199" i="46"/>
  <c r="P198" i="46"/>
  <c r="P197" i="46"/>
  <c r="P196" i="46"/>
  <c r="P190" i="46"/>
  <c r="P189" i="46"/>
  <c r="P188" i="46"/>
  <c r="P187" i="46"/>
  <c r="P186" i="46"/>
  <c r="P185" i="46"/>
  <c r="P184" i="46"/>
  <c r="P183" i="46"/>
  <c r="P177" i="46"/>
  <c r="P176" i="46"/>
  <c r="P175" i="46"/>
  <c r="P174" i="46"/>
  <c r="P173" i="46"/>
  <c r="P172" i="46"/>
  <c r="P171" i="46"/>
  <c r="P170" i="46"/>
  <c r="P169" i="46"/>
  <c r="G56" i="44"/>
  <c r="H56" i="44"/>
  <c r="P141" i="46"/>
  <c r="P140" i="46"/>
  <c r="P134" i="46"/>
  <c r="P133" i="46"/>
  <c r="P132" i="46"/>
  <c r="P131" i="46"/>
  <c r="P130" i="46"/>
  <c r="P125" i="46"/>
  <c r="P119" i="46"/>
  <c r="P118" i="46"/>
  <c r="P117" i="46"/>
  <c r="P116" i="46"/>
  <c r="P115" i="46"/>
  <c r="P110" i="46"/>
  <c r="P109" i="46"/>
  <c r="P108" i="46"/>
  <c r="P107" i="46"/>
  <c r="P106" i="46"/>
  <c r="P105" i="46"/>
  <c r="P98" i="46"/>
  <c r="P97" i="46"/>
  <c r="P96" i="46"/>
  <c r="P95" i="46"/>
  <c r="P94" i="46"/>
  <c r="P93" i="46"/>
  <c r="P92" i="46"/>
  <c r="P91" i="46"/>
  <c r="P90" i="46"/>
  <c r="I35" i="45"/>
  <c r="J118" i="54" s="1"/>
  <c r="H82" i="44"/>
  <c r="G82" i="44"/>
  <c r="F82" i="44"/>
  <c r="H69" i="44"/>
  <c r="G69" i="44"/>
  <c r="F69" i="44"/>
  <c r="K64" i="44"/>
  <c r="P62" i="46"/>
  <c r="Q15" i="47"/>
  <c r="J15" i="47"/>
  <c r="K15" i="47"/>
  <c r="L15" i="47"/>
  <c r="M15" i="47"/>
  <c r="N15" i="47"/>
  <c r="O15" i="47"/>
  <c r="I15" i="47"/>
  <c r="P61" i="46"/>
  <c r="P60" i="46"/>
  <c r="P59" i="46"/>
  <c r="P54" i="46"/>
  <c r="P49" i="46"/>
  <c r="P48" i="46"/>
  <c r="P47" i="46"/>
  <c r="P46" i="46"/>
  <c r="P45" i="46"/>
  <c r="P40" i="46"/>
  <c r="P39" i="46"/>
  <c r="P38" i="46"/>
  <c r="P37" i="46"/>
  <c r="P36" i="46"/>
  <c r="P35" i="46"/>
  <c r="P34" i="46"/>
  <c r="P23" i="46"/>
  <c r="P24" i="46"/>
  <c r="P25" i="46"/>
  <c r="P26" i="46"/>
  <c r="P27" i="46"/>
  <c r="P28" i="46"/>
  <c r="P29" i="46"/>
  <c r="P22" i="46"/>
  <c r="P20" i="46"/>
  <c r="N20" i="46"/>
  <c r="J20" i="46"/>
  <c r="K20" i="46"/>
  <c r="L20" i="46"/>
  <c r="M20" i="46"/>
  <c r="I20" i="46"/>
  <c r="C26" i="45"/>
  <c r="C25" i="45"/>
  <c r="C24" i="45"/>
  <c r="C23" i="45"/>
  <c r="C21" i="45"/>
  <c r="C22" i="45"/>
  <c r="C20" i="45"/>
  <c r="D24" i="44"/>
  <c r="B21" i="45" s="1"/>
  <c r="E24" i="44"/>
  <c r="B22" i="45" s="1"/>
  <c r="F24" i="44"/>
  <c r="F131" i="44" s="1"/>
  <c r="G24" i="44"/>
  <c r="B24" i="45" s="1"/>
  <c r="H24" i="44"/>
  <c r="B25" i="45" s="1"/>
  <c r="I24" i="44"/>
  <c r="I131" i="44" s="1"/>
  <c r="C24" i="44"/>
  <c r="C131" i="44" s="1"/>
  <c r="J131" i="44"/>
  <c r="H124" i="59" l="1"/>
  <c r="L125" i="57"/>
  <c r="L123" i="58" s="1"/>
  <c r="L126" i="54"/>
  <c r="M126" i="54"/>
  <c r="M121" i="57" s="1"/>
  <c r="J126" i="54"/>
  <c r="J122" i="58" s="1"/>
  <c r="K126" i="54"/>
  <c r="K122" i="58" s="1"/>
  <c r="I129" i="58"/>
  <c r="I123" i="61" s="1"/>
  <c r="I128" i="54"/>
  <c r="I121" i="59" s="1"/>
  <c r="N128" i="54"/>
  <c r="H128" i="54"/>
  <c r="H121" i="59" s="1"/>
  <c r="N127" i="59"/>
  <c r="N124" i="60" s="1"/>
  <c r="N126" i="54"/>
  <c r="N122" i="58" s="1"/>
  <c r="I126" i="54"/>
  <c r="I121" i="57" s="1"/>
  <c r="H126" i="54"/>
  <c r="H121" i="57" s="1"/>
  <c r="N129" i="54"/>
  <c r="N121" i="60" s="1"/>
  <c r="I129" i="54"/>
  <c r="I121" i="60" s="1"/>
  <c r="H129" i="54"/>
  <c r="H121" i="60" s="1"/>
  <c r="H313" i="46"/>
  <c r="H312" i="46"/>
  <c r="L120" i="54"/>
  <c r="L121" i="54"/>
  <c r="L119" i="54"/>
  <c r="L122" i="54"/>
  <c r="I121" i="54"/>
  <c r="I119" i="54"/>
  <c r="I122" i="54"/>
  <c r="I120" i="54"/>
  <c r="I123" i="54"/>
  <c r="N120" i="54"/>
  <c r="N122" i="54"/>
  <c r="N121" i="54"/>
  <c r="N119" i="54"/>
  <c r="N124" i="54" s="1"/>
  <c r="I35" i="43" s="1"/>
  <c r="N123" i="54"/>
  <c r="K122" i="54"/>
  <c r="K120" i="54"/>
  <c r="K119" i="54"/>
  <c r="K123" i="54"/>
  <c r="K121" i="54"/>
  <c r="M122" i="54"/>
  <c r="M121" i="54"/>
  <c r="M119" i="54"/>
  <c r="M120" i="54"/>
  <c r="M123" i="54"/>
  <c r="H121" i="54"/>
  <c r="H120" i="54"/>
  <c r="H119" i="54"/>
  <c r="H122" i="54"/>
  <c r="H123" i="54"/>
  <c r="J120" i="54"/>
  <c r="J122" i="54"/>
  <c r="J119" i="54"/>
  <c r="J123" i="54"/>
  <c r="J121" i="54"/>
  <c r="M74" i="46"/>
  <c r="K74" i="46"/>
  <c r="J74" i="46"/>
  <c r="J151" i="46" s="1"/>
  <c r="L123" i="54"/>
  <c r="H315" i="46"/>
  <c r="H314" i="46"/>
  <c r="H230" i="46"/>
  <c r="H233" i="46" s="1"/>
  <c r="M73" i="46"/>
  <c r="H23" i="43" s="1"/>
  <c r="H72" i="46"/>
  <c r="H73" i="46" s="1"/>
  <c r="C133" i="44"/>
  <c r="C78" i="44"/>
  <c r="C80" i="44" s="1"/>
  <c r="I78" i="44"/>
  <c r="I80" i="44" s="1"/>
  <c r="F78" i="44"/>
  <c r="F79" i="44" s="1"/>
  <c r="D78" i="44"/>
  <c r="D29" i="44" s="1"/>
  <c r="E78" i="44"/>
  <c r="G78" i="44"/>
  <c r="H78" i="44"/>
  <c r="H79" i="44" s="1"/>
  <c r="H83" i="44" s="1"/>
  <c r="H84" i="44" s="1"/>
  <c r="K69" i="44"/>
  <c r="L231" i="46"/>
  <c r="J231" i="46"/>
  <c r="N154" i="46"/>
  <c r="N232" i="46" s="1"/>
  <c r="I232" i="46"/>
  <c r="H154" i="46"/>
  <c r="I313" i="46"/>
  <c r="I312" i="46"/>
  <c r="H151" i="46"/>
  <c r="H153" i="46" s="1"/>
  <c r="I231" i="46"/>
  <c r="J233" i="46"/>
  <c r="I128" i="60"/>
  <c r="I125" i="61" s="1"/>
  <c r="M314" i="46"/>
  <c r="H129" i="58"/>
  <c r="H123" i="61" s="1"/>
  <c r="L314" i="46"/>
  <c r="I127" i="59"/>
  <c r="I124" i="60" s="1"/>
  <c r="P308" i="46"/>
  <c r="P112" i="60"/>
  <c r="P111" i="60"/>
  <c r="H127" i="59"/>
  <c r="H124" i="60" s="1"/>
  <c r="P111" i="59"/>
  <c r="P112" i="61"/>
  <c r="P111" i="61"/>
  <c r="K113" i="60"/>
  <c r="H128" i="60"/>
  <c r="H125" i="61" s="1"/>
  <c r="I125" i="60"/>
  <c r="K124" i="58"/>
  <c r="I127" i="58"/>
  <c r="I123" i="59" s="1"/>
  <c r="H128" i="58"/>
  <c r="H123" i="60" s="1"/>
  <c r="J129" i="58"/>
  <c r="J123" i="61" s="1"/>
  <c r="P112" i="58"/>
  <c r="P112" i="59"/>
  <c r="J127" i="59"/>
  <c r="J124" i="60" s="1"/>
  <c r="J122" i="57"/>
  <c r="H127" i="57"/>
  <c r="H122" i="60" s="1"/>
  <c r="I128" i="57"/>
  <c r="I122" i="61" s="1"/>
  <c r="I126" i="57"/>
  <c r="I122" i="59" s="1"/>
  <c r="I122" i="57"/>
  <c r="J311" i="46"/>
  <c r="J315" i="46" s="1"/>
  <c r="K232" i="46"/>
  <c r="K105" i="44"/>
  <c r="E19" i="44" s="1"/>
  <c r="E122" i="44"/>
  <c r="E20" i="44"/>
  <c r="H133" i="44"/>
  <c r="H22" i="43" s="1"/>
  <c r="I41" i="44"/>
  <c r="K82" i="44"/>
  <c r="I72" i="46"/>
  <c r="I73" i="46" s="1"/>
  <c r="L72" i="46"/>
  <c r="C41" i="44"/>
  <c r="D41" i="44"/>
  <c r="K121" i="59"/>
  <c r="N123" i="58"/>
  <c r="K127" i="58"/>
  <c r="K123" i="59" s="1"/>
  <c r="I128" i="59"/>
  <c r="I124" i="61" s="1"/>
  <c r="H128" i="59"/>
  <c r="H124" i="61" s="1"/>
  <c r="M312" i="46"/>
  <c r="I127" i="57"/>
  <c r="I122" i="60" s="1"/>
  <c r="L312" i="46"/>
  <c r="L154" i="46"/>
  <c r="L232" i="46" s="1"/>
  <c r="M127" i="59"/>
  <c r="M124" i="60" s="1"/>
  <c r="N128" i="60"/>
  <c r="N125" i="61" s="1"/>
  <c r="K128" i="60"/>
  <c r="K125" i="61" s="1"/>
  <c r="M125" i="57"/>
  <c r="M123" i="58" s="1"/>
  <c r="H125" i="57"/>
  <c r="H123" i="58" s="1"/>
  <c r="N128" i="58"/>
  <c r="N123" i="60" s="1"/>
  <c r="K129" i="58"/>
  <c r="K123" i="61" s="1"/>
  <c r="K127" i="59"/>
  <c r="K124" i="60" s="1"/>
  <c r="J128" i="59"/>
  <c r="J124" i="61" s="1"/>
  <c r="L121" i="57"/>
  <c r="L123" i="57" s="1"/>
  <c r="I121" i="61"/>
  <c r="I314" i="46"/>
  <c r="L127" i="59"/>
  <c r="L124" i="60" s="1"/>
  <c r="J128" i="58"/>
  <c r="J123" i="60" s="1"/>
  <c r="I128" i="58"/>
  <c r="I123" i="60" s="1"/>
  <c r="J125" i="57"/>
  <c r="J123" i="58" s="1"/>
  <c r="I125" i="57"/>
  <c r="I123" i="58" s="1"/>
  <c r="L122" i="60"/>
  <c r="L121" i="60"/>
  <c r="L123" i="60"/>
  <c r="I126" i="61"/>
  <c r="L124" i="58"/>
  <c r="N72" i="46"/>
  <c r="P306" i="46"/>
  <c r="P147" i="46"/>
  <c r="H126" i="61"/>
  <c r="J128" i="60"/>
  <c r="J125" i="61" s="1"/>
  <c r="K113" i="59"/>
  <c r="K128" i="59" s="1"/>
  <c r="K124" i="61" s="1"/>
  <c r="H127" i="58"/>
  <c r="H123" i="59" s="1"/>
  <c r="K128" i="58"/>
  <c r="K123" i="60" s="1"/>
  <c r="K121" i="60"/>
  <c r="K121" i="61"/>
  <c r="H122" i="58"/>
  <c r="J121" i="60"/>
  <c r="J121" i="61"/>
  <c r="J121" i="59"/>
  <c r="I122" i="58"/>
  <c r="H121" i="61"/>
  <c r="K127" i="57"/>
  <c r="K122" i="60" s="1"/>
  <c r="K128" i="57"/>
  <c r="K122" i="61" s="1"/>
  <c r="K126" i="57"/>
  <c r="K122" i="59" s="1"/>
  <c r="K125" i="57"/>
  <c r="K123" i="58" s="1"/>
  <c r="P112" i="57"/>
  <c r="J113" i="57"/>
  <c r="H126" i="57"/>
  <c r="H122" i="59" s="1"/>
  <c r="K122" i="57"/>
  <c r="I315" i="46"/>
  <c r="P145" i="46"/>
  <c r="P227" i="46"/>
  <c r="P67" i="46"/>
  <c r="P225" i="46"/>
  <c r="P69" i="46"/>
  <c r="N231" i="46"/>
  <c r="L233" i="46"/>
  <c r="N151" i="46"/>
  <c r="N153" i="46" s="1"/>
  <c r="I26" i="43" s="1"/>
  <c r="N233" i="46"/>
  <c r="B20" i="45"/>
  <c r="G131" i="44"/>
  <c r="B26" i="45"/>
  <c r="E131" i="44"/>
  <c r="H131" i="44"/>
  <c r="B23" i="45"/>
  <c r="D131" i="44"/>
  <c r="I124" i="58"/>
  <c r="K126" i="61"/>
  <c r="N122" i="61"/>
  <c r="N124" i="61"/>
  <c r="N123" i="61"/>
  <c r="N121" i="61"/>
  <c r="N126" i="61"/>
  <c r="L121" i="61"/>
  <c r="L124" i="61"/>
  <c r="L122" i="61"/>
  <c r="L123" i="61"/>
  <c r="K125" i="60"/>
  <c r="L121" i="59"/>
  <c r="L122" i="59"/>
  <c r="L124" i="59"/>
  <c r="L123" i="59"/>
  <c r="K311" i="46"/>
  <c r="M230" i="46"/>
  <c r="M150" i="46"/>
  <c r="M123" i="61"/>
  <c r="K231" i="46"/>
  <c r="K233" i="46"/>
  <c r="K150" i="46"/>
  <c r="M313" i="46"/>
  <c r="M124" i="61"/>
  <c r="M122" i="60"/>
  <c r="M123" i="60"/>
  <c r="M125" i="60"/>
  <c r="N121" i="59"/>
  <c r="N123" i="59"/>
  <c r="N122" i="59"/>
  <c r="K124" i="59"/>
  <c r="H122" i="57"/>
  <c r="J125" i="60"/>
  <c r="M125" i="61"/>
  <c r="M126" i="61"/>
  <c r="M121" i="61"/>
  <c r="J124" i="58"/>
  <c r="M315" i="46"/>
  <c r="L313" i="46"/>
  <c r="L315" i="46"/>
  <c r="L126" i="61"/>
  <c r="I124" i="59"/>
  <c r="M122" i="57"/>
  <c r="I150" i="46"/>
  <c r="N122" i="60"/>
  <c r="L125" i="61"/>
  <c r="H125" i="60"/>
  <c r="M121" i="59"/>
  <c r="M122" i="59"/>
  <c r="M123" i="59"/>
  <c r="M124" i="59"/>
  <c r="M124" i="58"/>
  <c r="H124" i="58"/>
  <c r="L151" i="46"/>
  <c r="L153" i="46" s="1"/>
  <c r="G26" i="43" s="1"/>
  <c r="J126" i="61"/>
  <c r="J123" i="59"/>
  <c r="H122" i="61"/>
  <c r="L125" i="60"/>
  <c r="N311" i="46"/>
  <c r="J124" i="59"/>
  <c r="E133" i="44"/>
  <c r="E22" i="43" s="1"/>
  <c r="J72" i="46"/>
  <c r="J73" i="46" s="1"/>
  <c r="K72" i="46"/>
  <c r="J124" i="54" l="1"/>
  <c r="E35" i="43" s="1"/>
  <c r="H232" i="46"/>
  <c r="P121" i="54"/>
  <c r="K124" i="54"/>
  <c r="F35" i="43" s="1"/>
  <c r="M124" i="54"/>
  <c r="H35" i="43" s="1"/>
  <c r="I124" i="54"/>
  <c r="D35" i="43" s="1"/>
  <c r="P122" i="54"/>
  <c r="L124" i="54"/>
  <c r="G35" i="43" s="1"/>
  <c r="H124" i="54"/>
  <c r="C35" i="43" s="1"/>
  <c r="P119" i="54"/>
  <c r="P120" i="54"/>
  <c r="H24" i="43"/>
  <c r="K234" i="46"/>
  <c r="F29" i="43" s="1"/>
  <c r="I234" i="46"/>
  <c r="H231" i="46"/>
  <c r="H316" i="46"/>
  <c r="L234" i="46"/>
  <c r="G29" i="43" s="1"/>
  <c r="I152" i="46"/>
  <c r="I151" i="46"/>
  <c r="N73" i="46"/>
  <c r="I23" i="43" s="1"/>
  <c r="N27" i="47"/>
  <c r="L73" i="46"/>
  <c r="G23" i="43" s="1"/>
  <c r="K73" i="46"/>
  <c r="F23" i="43" s="1"/>
  <c r="K66" i="44"/>
  <c r="E57" i="44"/>
  <c r="I54" i="44"/>
  <c r="F54" i="44"/>
  <c r="K52" i="44"/>
  <c r="G57" i="44"/>
  <c r="K133" i="44"/>
  <c r="N16" i="47"/>
  <c r="N17" i="47"/>
  <c r="I316" i="46"/>
  <c r="J313" i="46"/>
  <c r="J232" i="46"/>
  <c r="J234" i="46" s="1"/>
  <c r="J153" i="46"/>
  <c r="J314" i="46"/>
  <c r="C54" i="44"/>
  <c r="C27" i="44"/>
  <c r="C134" i="44" s="1"/>
  <c r="C25" i="43" s="1"/>
  <c r="E123" i="44"/>
  <c r="C30" i="44"/>
  <c r="C137" i="44" s="1"/>
  <c r="K92" i="44"/>
  <c r="E18" i="44" s="1"/>
  <c r="N121" i="57"/>
  <c r="N123" i="57" s="1"/>
  <c r="I123" i="57"/>
  <c r="J312" i="46"/>
  <c r="D136" i="44"/>
  <c r="D31" i="43" s="1"/>
  <c r="N125" i="58"/>
  <c r="N18" i="47"/>
  <c r="N23" i="47"/>
  <c r="D106" i="44"/>
  <c r="D31" i="44"/>
  <c r="D138" i="44" s="1"/>
  <c r="E109" i="44"/>
  <c r="E106" i="44"/>
  <c r="F109" i="44"/>
  <c r="F106" i="44"/>
  <c r="N22" i="47"/>
  <c r="N25" i="47"/>
  <c r="N20" i="47"/>
  <c r="E119" i="44"/>
  <c r="E32" i="44"/>
  <c r="E139" i="44" s="1"/>
  <c r="N24" i="47"/>
  <c r="C32" i="44"/>
  <c r="C139" i="44" s="1"/>
  <c r="I119" i="44"/>
  <c r="I32" i="44"/>
  <c r="I139" i="44" s="1"/>
  <c r="F122" i="44"/>
  <c r="F119" i="44"/>
  <c r="N26" i="47"/>
  <c r="K65" i="44"/>
  <c r="I93" i="44"/>
  <c r="I30" i="44"/>
  <c r="I137" i="44" s="1"/>
  <c r="I34" i="43" s="1"/>
  <c r="H106" i="44"/>
  <c r="H109" i="44"/>
  <c r="N19" i="47"/>
  <c r="G109" i="44"/>
  <c r="G106" i="44"/>
  <c r="C31" i="44"/>
  <c r="C138" i="44" s="1"/>
  <c r="C106" i="44"/>
  <c r="H122" i="44"/>
  <c r="H119" i="44"/>
  <c r="N21" i="47"/>
  <c r="D80" i="44"/>
  <c r="K78" i="44"/>
  <c r="I106" i="44"/>
  <c r="I31" i="44"/>
  <c r="I138" i="44" s="1"/>
  <c r="G122" i="44"/>
  <c r="G119" i="44"/>
  <c r="I29" i="44"/>
  <c r="I136" i="44" s="1"/>
  <c r="I31" i="43" s="1"/>
  <c r="G70" i="44"/>
  <c r="H28" i="44" s="1"/>
  <c r="H135" i="44" s="1"/>
  <c r="H28" i="43" s="1"/>
  <c r="G67" i="44"/>
  <c r="F93" i="44"/>
  <c r="F96" i="44"/>
  <c r="E93" i="44"/>
  <c r="C29" i="44"/>
  <c r="C136" i="44" s="1"/>
  <c r="C93" i="44"/>
  <c r="G96" i="44"/>
  <c r="G93" i="44"/>
  <c r="H96" i="44"/>
  <c r="H93" i="44"/>
  <c r="G41" i="44"/>
  <c r="G44" i="44"/>
  <c r="G45" i="44" s="1"/>
  <c r="H41" i="44"/>
  <c r="H44" i="44"/>
  <c r="H45" i="44" s="1"/>
  <c r="F41" i="44"/>
  <c r="F44" i="44"/>
  <c r="F45" i="44" s="1"/>
  <c r="E41" i="44"/>
  <c r="E44" i="44"/>
  <c r="G29" i="44"/>
  <c r="G136" i="44" s="1"/>
  <c r="G31" i="43" s="1"/>
  <c r="K39" i="44"/>
  <c r="E80" i="44"/>
  <c r="G54" i="44"/>
  <c r="G80" i="44"/>
  <c r="G83" i="44"/>
  <c r="H80" i="44"/>
  <c r="E67" i="44"/>
  <c r="E70" i="44"/>
  <c r="K40" i="44"/>
  <c r="E14" i="44" s="1"/>
  <c r="I67" i="44"/>
  <c r="I28" i="44"/>
  <c r="I135" i="44" s="1"/>
  <c r="I28" i="43" s="1"/>
  <c r="C67" i="44"/>
  <c r="C28" i="44"/>
  <c r="C135" i="44" s="1"/>
  <c r="E54" i="44"/>
  <c r="H57" i="44"/>
  <c r="H54" i="44"/>
  <c r="H67" i="44"/>
  <c r="H70" i="44"/>
  <c r="F67" i="44"/>
  <c r="F70" i="44"/>
  <c r="F83" i="44"/>
  <c r="F80" i="44"/>
  <c r="K121" i="57"/>
  <c r="K123" i="57" s="1"/>
  <c r="M122" i="58"/>
  <c r="M125" i="58" s="1"/>
  <c r="L122" i="58"/>
  <c r="L125" i="58" s="1"/>
  <c r="L126" i="60"/>
  <c r="H125" i="59"/>
  <c r="I31" i="47"/>
  <c r="K125" i="58"/>
  <c r="M123" i="57"/>
  <c r="P126" i="61"/>
  <c r="P123" i="61"/>
  <c r="P124" i="61"/>
  <c r="H126" i="60"/>
  <c r="I127" i="61"/>
  <c r="P124" i="59"/>
  <c r="N125" i="59"/>
  <c r="N127" i="61"/>
  <c r="M126" i="60"/>
  <c r="K126" i="60"/>
  <c r="I126" i="60"/>
  <c r="K127" i="61"/>
  <c r="J121" i="57"/>
  <c r="J123" i="57" s="1"/>
  <c r="I125" i="59"/>
  <c r="K125" i="59"/>
  <c r="N126" i="60"/>
  <c r="J127" i="57"/>
  <c r="J122" i="60" s="1"/>
  <c r="J126" i="60" s="1"/>
  <c r="J126" i="57"/>
  <c r="J122" i="59" s="1"/>
  <c r="P122" i="59" s="1"/>
  <c r="J128" i="57"/>
  <c r="J122" i="61" s="1"/>
  <c r="J127" i="61" s="1"/>
  <c r="P122" i="57"/>
  <c r="N234" i="46"/>
  <c r="I29" i="43" s="1"/>
  <c r="L316" i="46"/>
  <c r="G32" i="43" s="1"/>
  <c r="M316" i="46"/>
  <c r="H32" i="43" s="1"/>
  <c r="P124" i="58"/>
  <c r="H123" i="57"/>
  <c r="N315" i="46"/>
  <c r="N313" i="46"/>
  <c r="N312" i="46"/>
  <c r="N314" i="46"/>
  <c r="P123" i="58"/>
  <c r="P125" i="60"/>
  <c r="M127" i="61"/>
  <c r="K151" i="46"/>
  <c r="K152" i="46"/>
  <c r="J125" i="58"/>
  <c r="P121" i="61"/>
  <c r="I125" i="58"/>
  <c r="P125" i="61"/>
  <c r="P123" i="60"/>
  <c r="P124" i="60"/>
  <c r="M233" i="46"/>
  <c r="P233" i="46" s="1"/>
  <c r="M231" i="46"/>
  <c r="M232" i="46"/>
  <c r="P121" i="60"/>
  <c r="P123" i="54"/>
  <c r="K314" i="46"/>
  <c r="K312" i="46"/>
  <c r="K315" i="46"/>
  <c r="K313" i="46"/>
  <c r="P123" i="59"/>
  <c r="M151" i="46"/>
  <c r="M152" i="46"/>
  <c r="M125" i="59"/>
  <c r="L127" i="61"/>
  <c r="P121" i="59"/>
  <c r="L125" i="59"/>
  <c r="H125" i="58"/>
  <c r="H127" i="61"/>
  <c r="C22" i="43"/>
  <c r="K35" i="43" l="1"/>
  <c r="H234" i="46"/>
  <c r="P124" i="54"/>
  <c r="I27" i="44"/>
  <c r="I134" i="44" s="1"/>
  <c r="I25" i="43" s="1"/>
  <c r="I27" i="43" s="1"/>
  <c r="G24" i="43"/>
  <c r="F24" i="43"/>
  <c r="I37" i="47"/>
  <c r="I40" i="47"/>
  <c r="I33" i="47"/>
  <c r="I41" i="47"/>
  <c r="I36" i="47"/>
  <c r="I32" i="47"/>
  <c r="I16" i="47"/>
  <c r="O50" i="47"/>
  <c r="O56" i="47"/>
  <c r="I24" i="43"/>
  <c r="O37" i="47"/>
  <c r="O51" i="47"/>
  <c r="O49" i="47"/>
  <c r="O55" i="47"/>
  <c r="I153" i="46"/>
  <c r="O17" i="47"/>
  <c r="O22" i="47"/>
  <c r="O20" i="47"/>
  <c r="O18" i="47"/>
  <c r="O21" i="47"/>
  <c r="O24" i="47"/>
  <c r="O26" i="47"/>
  <c r="O25" i="47"/>
  <c r="O16" i="47"/>
  <c r="O19" i="47"/>
  <c r="O23" i="47"/>
  <c r="O27" i="47"/>
  <c r="M21" i="47"/>
  <c r="M18" i="47"/>
  <c r="M17" i="47"/>
  <c r="M27" i="47"/>
  <c r="M23" i="47"/>
  <c r="M16" i="47"/>
  <c r="M19" i="47"/>
  <c r="M24" i="47"/>
  <c r="M22" i="47"/>
  <c r="M25" i="47"/>
  <c r="M26" i="47"/>
  <c r="M20" i="47"/>
  <c r="L23" i="47"/>
  <c r="L20" i="47"/>
  <c r="L17" i="47"/>
  <c r="L25" i="47"/>
  <c r="L21" i="47"/>
  <c r="L26" i="47"/>
  <c r="L16" i="47"/>
  <c r="L24" i="47"/>
  <c r="L27" i="47"/>
  <c r="L22" i="47"/>
  <c r="L19" i="47"/>
  <c r="L18" i="47"/>
  <c r="K119" i="44"/>
  <c r="K122" i="44"/>
  <c r="D20" i="44" s="1"/>
  <c r="K106" i="44"/>
  <c r="K53" i="44"/>
  <c r="E15" i="44" s="1"/>
  <c r="K70" i="44"/>
  <c r="D16" i="44" s="1"/>
  <c r="G58" i="44"/>
  <c r="H27" i="44"/>
  <c r="H134" i="44" s="1"/>
  <c r="H25" i="43" s="1"/>
  <c r="D54" i="44"/>
  <c r="K54" i="44" s="1"/>
  <c r="F57" i="44"/>
  <c r="D27" i="44"/>
  <c r="D134" i="44" s="1"/>
  <c r="D25" i="43" s="1"/>
  <c r="K41" i="44"/>
  <c r="K44" i="44"/>
  <c r="D14" i="44" s="1"/>
  <c r="I17" i="47"/>
  <c r="P232" i="46"/>
  <c r="P234" i="46" s="1"/>
  <c r="J316" i="46"/>
  <c r="P73" i="46"/>
  <c r="J23" i="47"/>
  <c r="J21" i="47"/>
  <c r="J25" i="47"/>
  <c r="J22" i="47"/>
  <c r="J20" i="47"/>
  <c r="J27" i="47"/>
  <c r="J19" i="47"/>
  <c r="J16" i="47"/>
  <c r="J17" i="47"/>
  <c r="J26" i="47"/>
  <c r="J18" i="47"/>
  <c r="J24" i="47"/>
  <c r="K16" i="47"/>
  <c r="K17" i="47"/>
  <c r="E31" i="44"/>
  <c r="E138" i="44" s="1"/>
  <c r="K109" i="44"/>
  <c r="D19" i="44" s="1"/>
  <c r="C34" i="43"/>
  <c r="E30" i="44"/>
  <c r="E137" i="44" s="1"/>
  <c r="E34" i="43" s="1"/>
  <c r="K96" i="44"/>
  <c r="D18" i="44" s="1"/>
  <c r="C28" i="43"/>
  <c r="C31" i="43"/>
  <c r="F97" i="44"/>
  <c r="F30" i="44"/>
  <c r="F137" i="44" s="1"/>
  <c r="F34" i="43" s="1"/>
  <c r="G123" i="44"/>
  <c r="G32" i="44"/>
  <c r="G139" i="44" s="1"/>
  <c r="G97" i="44"/>
  <c r="G30" i="44"/>
  <c r="G137" i="44" s="1"/>
  <c r="G34" i="43" s="1"/>
  <c r="H110" i="44"/>
  <c r="H31" i="44"/>
  <c r="H138" i="44" s="1"/>
  <c r="F110" i="44"/>
  <c r="F31" i="44"/>
  <c r="F138" i="44" s="1"/>
  <c r="G110" i="44"/>
  <c r="G31" i="44"/>
  <c r="G138" i="44" s="1"/>
  <c r="H97" i="44"/>
  <c r="H30" i="44"/>
  <c r="H137" i="44" s="1"/>
  <c r="H34" i="43" s="1"/>
  <c r="F123" i="44"/>
  <c r="F32" i="44"/>
  <c r="F139" i="44" s="1"/>
  <c r="H123" i="44"/>
  <c r="H32" i="44"/>
  <c r="H139" i="44" s="1"/>
  <c r="K79" i="44"/>
  <c r="E17" i="44" s="1"/>
  <c r="N28" i="47"/>
  <c r="D93" i="44"/>
  <c r="K93" i="44" s="1"/>
  <c r="D30" i="44"/>
  <c r="D137" i="44" s="1"/>
  <c r="D32" i="44"/>
  <c r="D139" i="44" s="1"/>
  <c r="K80" i="44"/>
  <c r="E110" i="44"/>
  <c r="G71" i="44"/>
  <c r="E45" i="44"/>
  <c r="K45" i="44" s="1"/>
  <c r="H29" i="44"/>
  <c r="H136" i="44" s="1"/>
  <c r="H31" i="43" s="1"/>
  <c r="G84" i="44"/>
  <c r="E84" i="44"/>
  <c r="E29" i="44"/>
  <c r="E136" i="44" s="1"/>
  <c r="E31" i="43" s="1"/>
  <c r="G27" i="44"/>
  <c r="G134" i="44" s="1"/>
  <c r="G25" i="43" s="1"/>
  <c r="G27" i="43" s="1"/>
  <c r="H58" i="44"/>
  <c r="D28" i="44"/>
  <c r="D135" i="44" s="1"/>
  <c r="D67" i="44"/>
  <c r="K67" i="44" s="1"/>
  <c r="G28" i="44"/>
  <c r="G135" i="44" s="1"/>
  <c r="G28" i="43" s="1"/>
  <c r="H71" i="44"/>
  <c r="F29" i="44"/>
  <c r="F136" i="44" s="1"/>
  <c r="F84" i="44"/>
  <c r="K83" i="44"/>
  <c r="D17" i="44" s="1"/>
  <c r="E16" i="44"/>
  <c r="E28" i="44"/>
  <c r="E135" i="44" s="1"/>
  <c r="E28" i="43" s="1"/>
  <c r="E71" i="44"/>
  <c r="F28" i="44"/>
  <c r="F135" i="44" s="1"/>
  <c r="F28" i="43" s="1"/>
  <c r="F71" i="44"/>
  <c r="P122" i="58"/>
  <c r="P125" i="58" s="1"/>
  <c r="P121" i="57"/>
  <c r="P123" i="57" s="1"/>
  <c r="J125" i="59"/>
  <c r="P122" i="61"/>
  <c r="P127" i="61" s="1"/>
  <c r="P122" i="60"/>
  <c r="P126" i="60" s="1"/>
  <c r="P125" i="59"/>
  <c r="K23" i="43"/>
  <c r="P152" i="46"/>
  <c r="P314" i="46"/>
  <c r="K27" i="47"/>
  <c r="K24" i="47"/>
  <c r="K20" i="47"/>
  <c r="K18" i="47"/>
  <c r="K26" i="47"/>
  <c r="K22" i="47"/>
  <c r="K25" i="47"/>
  <c r="K21" i="47"/>
  <c r="K23" i="47"/>
  <c r="P312" i="46"/>
  <c r="M153" i="46"/>
  <c r="H26" i="43" s="1"/>
  <c r="M234" i="46"/>
  <c r="H29" i="43" s="1"/>
  <c r="P231" i="46"/>
  <c r="N316" i="46"/>
  <c r="I32" i="43" s="1"/>
  <c r="P313" i="46"/>
  <c r="K316" i="46"/>
  <c r="F32" i="43" s="1"/>
  <c r="P151" i="46"/>
  <c r="K153" i="46"/>
  <c r="F26" i="43" s="1"/>
  <c r="P315" i="46"/>
  <c r="K19" i="47"/>
  <c r="I19" i="47"/>
  <c r="I25" i="47"/>
  <c r="I22" i="47"/>
  <c r="I26" i="47"/>
  <c r="I23" i="47"/>
  <c r="I20" i="47"/>
  <c r="I27" i="47"/>
  <c r="I18" i="47"/>
  <c r="I24" i="47"/>
  <c r="I21" i="47"/>
  <c r="K22" i="43"/>
  <c r="I47" i="47" l="1"/>
  <c r="O128" i="47"/>
  <c r="O41" i="47"/>
  <c r="O57" i="47"/>
  <c r="O54" i="47"/>
  <c r="O47" i="47"/>
  <c r="O32" i="47"/>
  <c r="O53" i="47"/>
  <c r="O42" i="47"/>
  <c r="O39" i="47"/>
  <c r="O48" i="47"/>
  <c r="O38" i="47"/>
  <c r="O46" i="47"/>
  <c r="O52" i="47"/>
  <c r="O34" i="47"/>
  <c r="O36" i="47"/>
  <c r="N35" i="47"/>
  <c r="O35" i="47"/>
  <c r="O33" i="47"/>
  <c r="O40" i="47"/>
  <c r="M39" i="47"/>
  <c r="M31" i="47"/>
  <c r="M33" i="47"/>
  <c r="I70" i="47"/>
  <c r="M55" i="47"/>
  <c r="I49" i="47"/>
  <c r="N31" i="47"/>
  <c r="N36" i="47"/>
  <c r="M71" i="47"/>
  <c r="M64" i="47"/>
  <c r="N34" i="47"/>
  <c r="O85" i="47"/>
  <c r="O86" i="47"/>
  <c r="O83" i="47"/>
  <c r="O68" i="47"/>
  <c r="O67" i="47"/>
  <c r="O76" i="47"/>
  <c r="O66" i="47"/>
  <c r="O87" i="47"/>
  <c r="O78" i="47"/>
  <c r="I84" i="47"/>
  <c r="O79" i="47"/>
  <c r="O65" i="47"/>
  <c r="O84" i="47"/>
  <c r="J41" i="47"/>
  <c r="J37" i="47"/>
  <c r="J36" i="47"/>
  <c r="J39" i="47"/>
  <c r="N42" i="47"/>
  <c r="J33" i="47"/>
  <c r="M72" i="47"/>
  <c r="M56" i="47"/>
  <c r="J42" i="47"/>
  <c r="H27" i="43"/>
  <c r="N67" i="47" s="1"/>
  <c r="N33" i="47"/>
  <c r="N38" i="47"/>
  <c r="N41" i="47"/>
  <c r="N37" i="47"/>
  <c r="N40" i="47"/>
  <c r="N39" i="47"/>
  <c r="J31" i="47"/>
  <c r="M66" i="47"/>
  <c r="M69" i="47"/>
  <c r="J40" i="47"/>
  <c r="J35" i="47"/>
  <c r="M35" i="47"/>
  <c r="M41" i="47"/>
  <c r="J38" i="47"/>
  <c r="J32" i="47"/>
  <c r="N32" i="47"/>
  <c r="M63" i="47"/>
  <c r="M32" i="47"/>
  <c r="O81" i="47"/>
  <c r="O63" i="47"/>
  <c r="O64" i="47"/>
  <c r="O70" i="47"/>
  <c r="O80" i="47"/>
  <c r="O71" i="47"/>
  <c r="O72" i="47"/>
  <c r="O61" i="47"/>
  <c r="O77" i="47"/>
  <c r="O82" i="47"/>
  <c r="O69" i="47"/>
  <c r="I76" i="47"/>
  <c r="I56" i="47"/>
  <c r="I48" i="47"/>
  <c r="I87" i="47"/>
  <c r="M82" i="47"/>
  <c r="I53" i="47"/>
  <c r="I71" i="47"/>
  <c r="I79" i="47"/>
  <c r="I57" i="47"/>
  <c r="M84" i="47"/>
  <c r="M47" i="47"/>
  <c r="M87" i="47"/>
  <c r="I151" i="47"/>
  <c r="I66" i="47"/>
  <c r="K29" i="43"/>
  <c r="I51" i="47"/>
  <c r="M80" i="47"/>
  <c r="I82" i="47"/>
  <c r="I63" i="47"/>
  <c r="I69" i="47"/>
  <c r="M51" i="47"/>
  <c r="M46" i="47"/>
  <c r="M49" i="47"/>
  <c r="I72" i="47"/>
  <c r="I77" i="47"/>
  <c r="I46" i="47"/>
  <c r="M50" i="47"/>
  <c r="I83" i="47"/>
  <c r="I86" i="47"/>
  <c r="I80" i="47"/>
  <c r="I55" i="47"/>
  <c r="M78" i="47"/>
  <c r="M54" i="47"/>
  <c r="M48" i="47"/>
  <c r="M79" i="47"/>
  <c r="I67" i="47"/>
  <c r="I65" i="47"/>
  <c r="I78" i="47"/>
  <c r="M83" i="47"/>
  <c r="O28" i="47"/>
  <c r="M57" i="47"/>
  <c r="M77" i="47"/>
  <c r="M65" i="47"/>
  <c r="I39" i="47"/>
  <c r="I52" i="47"/>
  <c r="I42" i="47"/>
  <c r="J34" i="47"/>
  <c r="M68" i="47"/>
  <c r="M52" i="47"/>
  <c r="M62" i="47"/>
  <c r="M38" i="47"/>
  <c r="M36" i="47"/>
  <c r="M81" i="47"/>
  <c r="N30" i="47"/>
  <c r="I64" i="47"/>
  <c r="I62" i="47"/>
  <c r="I68" i="47"/>
  <c r="I50" i="47"/>
  <c r="I35" i="47"/>
  <c r="I34" i="47"/>
  <c r="M61" i="47"/>
  <c r="M42" i="47"/>
  <c r="M85" i="47"/>
  <c r="M34" i="47"/>
  <c r="M40" i="47"/>
  <c r="M86" i="47"/>
  <c r="O62" i="47"/>
  <c r="O31" i="47"/>
  <c r="I85" i="47"/>
  <c r="I81" i="47"/>
  <c r="I61" i="47"/>
  <c r="I38" i="47"/>
  <c r="I54" i="47"/>
  <c r="M37" i="47"/>
  <c r="M67" i="47"/>
  <c r="M76" i="47"/>
  <c r="M70" i="47"/>
  <c r="M53" i="47"/>
  <c r="O154" i="47"/>
  <c r="O162" i="47"/>
  <c r="O144" i="47"/>
  <c r="O139" i="47"/>
  <c r="O132" i="47"/>
  <c r="O126" i="47"/>
  <c r="O140" i="47"/>
  <c r="O157" i="47"/>
  <c r="O123" i="47"/>
  <c r="O159" i="47"/>
  <c r="L28" i="47"/>
  <c r="O130" i="47"/>
  <c r="O151" i="47"/>
  <c r="O138" i="47"/>
  <c r="O160" i="47"/>
  <c r="O141" i="47"/>
  <c r="O156" i="47"/>
  <c r="O121" i="47"/>
  <c r="O143" i="47"/>
  <c r="O161" i="47"/>
  <c r="O131" i="47"/>
  <c r="O127" i="47"/>
  <c r="O124" i="47"/>
  <c r="O155" i="47"/>
  <c r="O137" i="47"/>
  <c r="O147" i="47"/>
  <c r="O153" i="47"/>
  <c r="O145" i="47"/>
  <c r="O136" i="47"/>
  <c r="O122" i="47"/>
  <c r="O146" i="47"/>
  <c r="O158" i="47"/>
  <c r="O129" i="47"/>
  <c r="O152" i="47"/>
  <c r="O125" i="47"/>
  <c r="O142" i="47"/>
  <c r="M28" i="47"/>
  <c r="K139" i="44"/>
  <c r="K123" i="44"/>
  <c r="K138" i="44"/>
  <c r="K110" i="44"/>
  <c r="K137" i="44"/>
  <c r="I132" i="47"/>
  <c r="Q132" i="47" s="1"/>
  <c r="K97" i="44"/>
  <c r="K136" i="44"/>
  <c r="I131" i="47"/>
  <c r="Q131" i="47" s="1"/>
  <c r="I128" i="47"/>
  <c r="Q128" i="47" s="1"/>
  <c r="I143" i="47"/>
  <c r="Q143" i="47" s="1"/>
  <c r="I130" i="47"/>
  <c r="Q130" i="47" s="1"/>
  <c r="I129" i="47"/>
  <c r="Q129" i="47" s="1"/>
  <c r="I155" i="47"/>
  <c r="I137" i="47"/>
  <c r="Q137" i="47" s="1"/>
  <c r="I136" i="47"/>
  <c r="Q136" i="47" s="1"/>
  <c r="K135" i="44"/>
  <c r="I152" i="47"/>
  <c r="I139" i="47"/>
  <c r="Q139" i="47" s="1"/>
  <c r="I122" i="47"/>
  <c r="Q122" i="47" s="1"/>
  <c r="I123" i="47"/>
  <c r="Q123" i="47" s="1"/>
  <c r="I127" i="47"/>
  <c r="Q127" i="47" s="1"/>
  <c r="I121" i="47"/>
  <c r="Q121" i="47" s="1"/>
  <c r="I140" i="47"/>
  <c r="Q140" i="47" s="1"/>
  <c r="I124" i="47"/>
  <c r="Q124" i="47" s="1"/>
  <c r="I158" i="47"/>
  <c r="I153" i="47"/>
  <c r="I147" i="47"/>
  <c r="Q147" i="47" s="1"/>
  <c r="I138" i="47"/>
  <c r="Q138" i="47" s="1"/>
  <c r="I157" i="47"/>
  <c r="I144" i="47"/>
  <c r="Q144" i="47" s="1"/>
  <c r="I154" i="47"/>
  <c r="I126" i="47"/>
  <c r="Q126" i="47" s="1"/>
  <c r="K71" i="44"/>
  <c r="I156" i="47"/>
  <c r="I162" i="47"/>
  <c r="I145" i="47"/>
  <c r="Q145" i="47" s="1"/>
  <c r="I159" i="47"/>
  <c r="I125" i="47"/>
  <c r="Q125" i="47" s="1"/>
  <c r="I161" i="47"/>
  <c r="I160" i="47"/>
  <c r="I141" i="47"/>
  <c r="Q141" i="47" s="1"/>
  <c r="I142" i="47"/>
  <c r="Q142" i="47" s="1"/>
  <c r="I146" i="47"/>
  <c r="Q146" i="47" s="1"/>
  <c r="F58" i="44"/>
  <c r="F27" i="44"/>
  <c r="F134" i="44" s="1"/>
  <c r="F25" i="43" s="1"/>
  <c r="K57" i="44"/>
  <c r="Q17" i="47"/>
  <c r="J28" i="47"/>
  <c r="Q16" i="47"/>
  <c r="M125" i="47"/>
  <c r="M130" i="47"/>
  <c r="M129" i="47"/>
  <c r="M155" i="47"/>
  <c r="M121" i="47"/>
  <c r="M142" i="47"/>
  <c r="M126" i="47"/>
  <c r="M159" i="47"/>
  <c r="M151" i="47"/>
  <c r="M146" i="47"/>
  <c r="M122" i="47"/>
  <c r="M138" i="47"/>
  <c r="M143" i="47"/>
  <c r="M158" i="47"/>
  <c r="M131" i="47"/>
  <c r="M152" i="47"/>
  <c r="M161" i="47"/>
  <c r="M139" i="47"/>
  <c r="M144" i="47"/>
  <c r="M154" i="47"/>
  <c r="M127" i="47"/>
  <c r="M136" i="47"/>
  <c r="M153" i="47"/>
  <c r="M145" i="47"/>
  <c r="M141" i="47"/>
  <c r="M124" i="47"/>
  <c r="M157" i="47"/>
  <c r="M137" i="47"/>
  <c r="M160" i="47"/>
  <c r="M140" i="47"/>
  <c r="M123" i="47"/>
  <c r="M147" i="47"/>
  <c r="M132" i="47"/>
  <c r="M156" i="47"/>
  <c r="M162" i="47"/>
  <c r="M128" i="47"/>
  <c r="D34" i="43"/>
  <c r="K34" i="43" s="1"/>
  <c r="I109" i="47"/>
  <c r="M100" i="47"/>
  <c r="K84" i="44"/>
  <c r="M110" i="47"/>
  <c r="M111" i="47"/>
  <c r="M96" i="47"/>
  <c r="M93" i="47"/>
  <c r="M97" i="47"/>
  <c r="M99" i="47"/>
  <c r="M109" i="47"/>
  <c r="M107" i="47"/>
  <c r="M113" i="47"/>
  <c r="M106" i="47"/>
  <c r="M115" i="47"/>
  <c r="M112" i="47"/>
  <c r="M101" i="47"/>
  <c r="M114" i="47"/>
  <c r="M95" i="47"/>
  <c r="M102" i="47"/>
  <c r="M108" i="47"/>
  <c r="M98" i="47"/>
  <c r="M91" i="47"/>
  <c r="M117" i="47"/>
  <c r="M94" i="47"/>
  <c r="M92" i="47"/>
  <c r="M116" i="47"/>
  <c r="D28" i="43"/>
  <c r="F31" i="43"/>
  <c r="P153" i="46"/>
  <c r="I94" i="47"/>
  <c r="I115" i="47"/>
  <c r="I112" i="47"/>
  <c r="I107" i="47"/>
  <c r="I95" i="47"/>
  <c r="I102" i="47"/>
  <c r="I106" i="47"/>
  <c r="I116" i="47"/>
  <c r="I97" i="47"/>
  <c r="I99" i="47"/>
  <c r="I100" i="47"/>
  <c r="I113" i="47"/>
  <c r="I114" i="47"/>
  <c r="I110" i="47"/>
  <c r="I93" i="47"/>
  <c r="I91" i="47"/>
  <c r="I96" i="47"/>
  <c r="I111" i="47"/>
  <c r="I117" i="47"/>
  <c r="I108" i="47"/>
  <c r="O95" i="47"/>
  <c r="O113" i="47"/>
  <c r="O108" i="47"/>
  <c r="O102" i="47"/>
  <c r="O93" i="47"/>
  <c r="O99" i="47"/>
  <c r="O111" i="47"/>
  <c r="O94" i="47"/>
  <c r="O117" i="47"/>
  <c r="O115" i="47"/>
  <c r="O92" i="47"/>
  <c r="O109" i="47"/>
  <c r="O114" i="47"/>
  <c r="O97" i="47"/>
  <c r="O100" i="47"/>
  <c r="O96" i="47"/>
  <c r="O98" i="47"/>
  <c r="O106" i="47"/>
  <c r="O101" i="47"/>
  <c r="O116" i="47"/>
  <c r="O91" i="47"/>
  <c r="O110" i="47"/>
  <c r="O107" i="47"/>
  <c r="O112" i="47"/>
  <c r="I101" i="47"/>
  <c r="I98" i="47"/>
  <c r="I92" i="47"/>
  <c r="Q24" i="47"/>
  <c r="Q20" i="47"/>
  <c r="Q26" i="47"/>
  <c r="Q22" i="47"/>
  <c r="Q27" i="47"/>
  <c r="Q25" i="47"/>
  <c r="Q23" i="47"/>
  <c r="K28" i="47"/>
  <c r="Q21" i="47"/>
  <c r="I28" i="47"/>
  <c r="Q18" i="47"/>
  <c r="K26" i="43"/>
  <c r="K32" i="43"/>
  <c r="P316" i="46"/>
  <c r="Q19" i="47"/>
  <c r="J64" i="47" l="1"/>
  <c r="J61" i="47"/>
  <c r="J70" i="47"/>
  <c r="N147" i="47"/>
  <c r="N106" i="47"/>
  <c r="N122" i="47"/>
  <c r="N76" i="47"/>
  <c r="N66" i="47"/>
  <c r="N48" i="47"/>
  <c r="N52" i="47"/>
  <c r="N112" i="47"/>
  <c r="N142" i="47"/>
  <c r="N68" i="47"/>
  <c r="N98" i="47"/>
  <c r="N151" i="47"/>
  <c r="N78" i="47"/>
  <c r="J82" i="47"/>
  <c r="N100" i="47"/>
  <c r="N129" i="47"/>
  <c r="N152" i="47"/>
  <c r="N51" i="47"/>
  <c r="N91" i="47"/>
  <c r="N139" i="47"/>
  <c r="N127" i="47"/>
  <c r="N69" i="47"/>
  <c r="N47" i="47"/>
  <c r="N109" i="47"/>
  <c r="N128" i="47"/>
  <c r="N85" i="47"/>
  <c r="N99" i="47"/>
  <c r="N110" i="47"/>
  <c r="N107" i="47"/>
  <c r="N162" i="47"/>
  <c r="N131" i="47"/>
  <c r="N143" i="47"/>
  <c r="N145" i="47"/>
  <c r="N125" i="47"/>
  <c r="L33" i="47"/>
  <c r="N70" i="47"/>
  <c r="N82" i="47"/>
  <c r="N86" i="47"/>
  <c r="N63" i="47"/>
  <c r="N84" i="47"/>
  <c r="N56" i="47"/>
  <c r="N57" i="47"/>
  <c r="N121" i="47"/>
  <c r="N81" i="47"/>
  <c r="F27" i="43"/>
  <c r="L68" i="47" s="1"/>
  <c r="L41" i="47"/>
  <c r="L42" i="47"/>
  <c r="L31" i="47"/>
  <c r="L39" i="47"/>
  <c r="L34" i="47"/>
  <c r="L38" i="47"/>
  <c r="N144" i="47"/>
  <c r="L36" i="47"/>
  <c r="N54" i="47"/>
  <c r="N53" i="47"/>
  <c r="N79" i="47"/>
  <c r="N87" i="47"/>
  <c r="N46" i="47"/>
  <c r="N92" i="47"/>
  <c r="N102" i="47"/>
  <c r="N114" i="47"/>
  <c r="N126" i="47"/>
  <c r="N137" i="47"/>
  <c r="L35" i="47"/>
  <c r="L40" i="47"/>
  <c r="N65" i="47"/>
  <c r="N83" i="47"/>
  <c r="N93" i="47"/>
  <c r="N138" i="47"/>
  <c r="N80" i="47"/>
  <c r="N117" i="47"/>
  <c r="N95" i="47"/>
  <c r="N146" i="47"/>
  <c r="N49" i="47"/>
  <c r="N113" i="47"/>
  <c r="N161" i="47"/>
  <c r="N111" i="47"/>
  <c r="N115" i="47"/>
  <c r="N116" i="47"/>
  <c r="N153" i="47"/>
  <c r="N156" i="47"/>
  <c r="N136" i="47"/>
  <c r="N160" i="47"/>
  <c r="L32" i="47"/>
  <c r="N71" i="47"/>
  <c r="N61" i="47"/>
  <c r="N62" i="47"/>
  <c r="N55" i="47"/>
  <c r="N97" i="47"/>
  <c r="N123" i="47"/>
  <c r="N158" i="47"/>
  <c r="N72" i="47"/>
  <c r="N130" i="47"/>
  <c r="N94" i="47"/>
  <c r="N155" i="47"/>
  <c r="N157" i="47"/>
  <c r="N159" i="47"/>
  <c r="L37" i="47"/>
  <c r="N77" i="47"/>
  <c r="N101" i="47"/>
  <c r="N96" i="47"/>
  <c r="N108" i="47"/>
  <c r="N154" i="47"/>
  <c r="N141" i="47"/>
  <c r="N124" i="47"/>
  <c r="N132" i="47"/>
  <c r="N140" i="47"/>
  <c r="N64" i="47"/>
  <c r="N50" i="47"/>
  <c r="K31" i="43"/>
  <c r="J56" i="47"/>
  <c r="J71" i="47"/>
  <c r="J51" i="47"/>
  <c r="J67" i="47"/>
  <c r="J66" i="47"/>
  <c r="J80" i="47"/>
  <c r="J57" i="47"/>
  <c r="J81" i="47"/>
  <c r="J77" i="47"/>
  <c r="J47" i="47"/>
  <c r="J78" i="47"/>
  <c r="J84" i="47"/>
  <c r="J48" i="47"/>
  <c r="J79" i="47"/>
  <c r="J85" i="47"/>
  <c r="J68" i="47"/>
  <c r="J46" i="47"/>
  <c r="J50" i="47"/>
  <c r="J63" i="47"/>
  <c r="J52" i="47"/>
  <c r="J65" i="47"/>
  <c r="J87" i="47"/>
  <c r="J69" i="47"/>
  <c r="J54" i="47"/>
  <c r="J86" i="47"/>
  <c r="J83" i="47"/>
  <c r="J49" i="47"/>
  <c r="J62" i="47"/>
  <c r="J55" i="47"/>
  <c r="J76" i="47"/>
  <c r="J72" i="47"/>
  <c r="J53" i="47"/>
  <c r="J30" i="47"/>
  <c r="J43" i="47" s="1"/>
  <c r="O30" i="47"/>
  <c r="O43" i="47" s="1"/>
  <c r="O45" i="47" s="1"/>
  <c r="O58" i="47" s="1"/>
  <c r="O60" i="47" s="1"/>
  <c r="O73" i="47" s="1"/>
  <c r="O75" i="47" s="1"/>
  <c r="O88" i="47" s="1"/>
  <c r="K30" i="47"/>
  <c r="L30" i="47"/>
  <c r="I30" i="47"/>
  <c r="I43" i="47" s="1"/>
  <c r="M30" i="47"/>
  <c r="M43" i="47" s="1"/>
  <c r="J132" i="47"/>
  <c r="J136" i="47"/>
  <c r="J129" i="47"/>
  <c r="J145" i="47"/>
  <c r="J160" i="47"/>
  <c r="J141" i="47"/>
  <c r="J153" i="47"/>
  <c r="J159" i="47"/>
  <c r="J138" i="47"/>
  <c r="J122" i="47"/>
  <c r="J126" i="47"/>
  <c r="J143" i="47"/>
  <c r="J121" i="47"/>
  <c r="J151" i="47"/>
  <c r="J137" i="47"/>
  <c r="K28" i="43"/>
  <c r="J142" i="47"/>
  <c r="J154" i="47"/>
  <c r="J152" i="47"/>
  <c r="J131" i="47"/>
  <c r="J161" i="47"/>
  <c r="J125" i="47"/>
  <c r="J156" i="47"/>
  <c r="J158" i="47"/>
  <c r="J144" i="47"/>
  <c r="J162" i="47"/>
  <c r="J139" i="47"/>
  <c r="J155" i="47"/>
  <c r="J128" i="47"/>
  <c r="J157" i="47"/>
  <c r="J127" i="47"/>
  <c r="J140" i="47"/>
  <c r="J124" i="47"/>
  <c r="J130" i="47"/>
  <c r="J123" i="47"/>
  <c r="J147" i="47"/>
  <c r="J146" i="47"/>
  <c r="Q28" i="47"/>
  <c r="Q30" i="47" s="1"/>
  <c r="J114" i="47"/>
  <c r="J96" i="47"/>
  <c r="J91" i="47"/>
  <c r="J100" i="47"/>
  <c r="J102" i="47"/>
  <c r="J95" i="47"/>
  <c r="J117" i="47"/>
  <c r="J108" i="47"/>
  <c r="J98" i="47"/>
  <c r="J97" i="47"/>
  <c r="J116" i="47"/>
  <c r="J106" i="47"/>
  <c r="J93" i="47"/>
  <c r="J115" i="47"/>
  <c r="J111" i="47"/>
  <c r="J99" i="47"/>
  <c r="J109" i="47"/>
  <c r="J92" i="47"/>
  <c r="J112" i="47"/>
  <c r="J107" i="47"/>
  <c r="J101" i="47"/>
  <c r="J113" i="47"/>
  <c r="J94" i="47"/>
  <c r="J110" i="47"/>
  <c r="N43" i="47"/>
  <c r="L158" i="47" l="1"/>
  <c r="L99" i="47"/>
  <c r="L64" i="47"/>
  <c r="L128" i="47"/>
  <c r="L106" i="47"/>
  <c r="L116" i="47"/>
  <c r="L91" i="47"/>
  <c r="L122" i="47"/>
  <c r="L142" i="47"/>
  <c r="L112" i="47"/>
  <c r="L139" i="47"/>
  <c r="L121" i="47"/>
  <c r="L76" i="47"/>
  <c r="L81" i="47"/>
  <c r="L162" i="47"/>
  <c r="L83" i="47"/>
  <c r="L77" i="47"/>
  <c r="L97" i="47"/>
  <c r="L153" i="47"/>
  <c r="L129" i="47"/>
  <c r="L145" i="47"/>
  <c r="L87" i="47"/>
  <c r="L114" i="47"/>
  <c r="L140" i="47"/>
  <c r="L147" i="47"/>
  <c r="L155" i="47"/>
  <c r="L132" i="47"/>
  <c r="L78" i="47"/>
  <c r="L82" i="47"/>
  <c r="L85" i="47"/>
  <c r="L108" i="47"/>
  <c r="L109" i="47"/>
  <c r="L113" i="47"/>
  <c r="L100" i="47"/>
  <c r="L144" i="47"/>
  <c r="L138" i="47"/>
  <c r="L126" i="47"/>
  <c r="L152" i="47"/>
  <c r="L141" i="47"/>
  <c r="L79" i="47"/>
  <c r="L67" i="47"/>
  <c r="L71" i="47"/>
  <c r="L46" i="47"/>
  <c r="L56" i="47"/>
  <c r="L66" i="47"/>
  <c r="L53" i="47"/>
  <c r="L54" i="47"/>
  <c r="L107" i="47"/>
  <c r="L94" i="47"/>
  <c r="L110" i="47"/>
  <c r="L154" i="47"/>
  <c r="L125" i="47"/>
  <c r="L130" i="47"/>
  <c r="L127" i="47"/>
  <c r="L80" i="47"/>
  <c r="L72" i="47"/>
  <c r="L84" i="47"/>
  <c r="L69" i="47"/>
  <c r="L52" i="47"/>
  <c r="L101" i="47"/>
  <c r="L95" i="47"/>
  <c r="L143" i="47"/>
  <c r="L137" i="47"/>
  <c r="L123" i="47"/>
  <c r="L124" i="47"/>
  <c r="L65" i="47"/>
  <c r="L86" i="47"/>
  <c r="L55" i="47"/>
  <c r="L48" i="47"/>
  <c r="L117" i="47"/>
  <c r="L92" i="47"/>
  <c r="L96" i="47"/>
  <c r="L160" i="47"/>
  <c r="L131" i="47"/>
  <c r="L159" i="47"/>
  <c r="L157" i="47"/>
  <c r="L70" i="47"/>
  <c r="L62" i="47"/>
  <c r="L47" i="47"/>
  <c r="L102" i="47"/>
  <c r="L98" i="47"/>
  <c r="L93" i="47"/>
  <c r="L115" i="47"/>
  <c r="L111" i="47"/>
  <c r="L136" i="47"/>
  <c r="L146" i="47"/>
  <c r="L161" i="47"/>
  <c r="L156" i="47"/>
  <c r="L151" i="47"/>
  <c r="L61" i="47"/>
  <c r="L63" i="47"/>
  <c r="L57" i="47"/>
  <c r="L51" i="47"/>
  <c r="L50" i="47"/>
  <c r="L49" i="47"/>
  <c r="N45" i="47"/>
  <c r="N58" i="47" s="1"/>
  <c r="N60" i="47" s="1"/>
  <c r="N73" i="47" s="1"/>
  <c r="N75" i="47" s="1"/>
  <c r="N88" i="47" s="1"/>
  <c r="M45" i="47"/>
  <c r="M58" i="47" s="1"/>
  <c r="M60" i="47" s="1"/>
  <c r="M73" i="47" s="1"/>
  <c r="M75" i="47" s="1"/>
  <c r="M88" i="47" s="1"/>
  <c r="J45" i="47"/>
  <c r="J58" i="47" s="1"/>
  <c r="J60" i="47" s="1"/>
  <c r="J73" i="47" s="1"/>
  <c r="J75" i="47" s="1"/>
  <c r="J88" i="47" s="1"/>
  <c r="D37" i="43" s="1"/>
  <c r="I45" i="47"/>
  <c r="I58" i="47" s="1"/>
  <c r="I60" i="47" s="1"/>
  <c r="I73" i="47" s="1"/>
  <c r="I75" i="47" s="1"/>
  <c r="I88" i="47" s="1"/>
  <c r="C37" i="43" s="1"/>
  <c r="L43" i="47"/>
  <c r="O90" i="47"/>
  <c r="O103" i="47" s="1"/>
  <c r="O105" i="47" s="1"/>
  <c r="O118" i="47" s="1"/>
  <c r="O120" i="47" s="1"/>
  <c r="O133" i="47" s="1"/>
  <c r="O135" i="47" s="1"/>
  <c r="O148" i="47" s="1"/>
  <c r="O150" i="47" s="1"/>
  <c r="O163" i="47" s="1"/>
  <c r="I37" i="43"/>
  <c r="I38" i="43" s="1"/>
  <c r="G37" i="43" l="1"/>
  <c r="G38" i="43" s="1"/>
  <c r="M90" i="47"/>
  <c r="M103" i="47" s="1"/>
  <c r="M105" i="47" s="1"/>
  <c r="M118" i="47" s="1"/>
  <c r="M120" i="47" s="1"/>
  <c r="M133" i="47" s="1"/>
  <c r="M135" i="47" s="1"/>
  <c r="M148" i="47" s="1"/>
  <c r="M150" i="47" s="1"/>
  <c r="M163" i="47" s="1"/>
  <c r="N90" i="47"/>
  <c r="N103" i="47" s="1"/>
  <c r="N105" i="47" s="1"/>
  <c r="N118" i="47" s="1"/>
  <c r="N120" i="47" s="1"/>
  <c r="N133" i="47" s="1"/>
  <c r="N135" i="47" s="1"/>
  <c r="N148" i="47" s="1"/>
  <c r="N150" i="47" s="1"/>
  <c r="N163" i="47" s="1"/>
  <c r="H37" i="43"/>
  <c r="H38" i="43" s="1"/>
  <c r="L45" i="47"/>
  <c r="L58" i="47" s="1"/>
  <c r="L60" i="47" s="1"/>
  <c r="L73" i="47" s="1"/>
  <c r="L75" i="47" s="1"/>
  <c r="L88" i="47" s="1"/>
  <c r="I90" i="47"/>
  <c r="I103" i="47" s="1"/>
  <c r="I105" i="47" s="1"/>
  <c r="I118" i="47" s="1"/>
  <c r="I120" i="47" s="1"/>
  <c r="I133" i="47" s="1"/>
  <c r="I135" i="47" s="1"/>
  <c r="I148" i="47" s="1"/>
  <c r="I150" i="47" s="1"/>
  <c r="I163" i="47" s="1"/>
  <c r="C38" i="43"/>
  <c r="J90" i="47"/>
  <c r="J103" i="47" s="1"/>
  <c r="J105" i="47" s="1"/>
  <c r="J118" i="47" s="1"/>
  <c r="J120" i="47" s="1"/>
  <c r="J133" i="47" s="1"/>
  <c r="J135" i="47" s="1"/>
  <c r="J148" i="47" s="1"/>
  <c r="J150" i="47" s="1"/>
  <c r="J163" i="47" s="1"/>
  <c r="L90" i="47" l="1"/>
  <c r="L103" i="47" s="1"/>
  <c r="L105" i="47" s="1"/>
  <c r="L118" i="47" s="1"/>
  <c r="L120" i="47" s="1"/>
  <c r="L133" i="47" s="1"/>
  <c r="L135" i="47" s="1"/>
  <c r="L148" i="47" s="1"/>
  <c r="L150" i="47" s="1"/>
  <c r="L163" i="47" s="1"/>
  <c r="F37" i="43"/>
  <c r="F38" i="43" s="1"/>
  <c r="D38" i="43"/>
  <c r="E58" i="44"/>
  <c r="K58" i="44" s="1"/>
  <c r="D15" i="44"/>
  <c r="E27" i="44"/>
  <c r="E134" i="44" s="1"/>
  <c r="K134" i="44" s="1"/>
  <c r="E25" i="43" l="1"/>
  <c r="K56" i="44"/>
  <c r="K53" i="47" l="1"/>
  <c r="Q53" i="47" s="1"/>
  <c r="K33" i="47"/>
  <c r="Q33" i="47" s="1"/>
  <c r="K40" i="47"/>
  <c r="Q40" i="47" s="1"/>
  <c r="K38" i="47"/>
  <c r="Q38" i="47" s="1"/>
  <c r="K54" i="47"/>
  <c r="Q54" i="47" s="1"/>
  <c r="K34" i="47"/>
  <c r="Q34" i="47" s="1"/>
  <c r="K31" i="47"/>
  <c r="K55" i="47"/>
  <c r="Q55" i="47" s="1"/>
  <c r="K69" i="47"/>
  <c r="Q69" i="47" s="1"/>
  <c r="K51" i="47"/>
  <c r="Q51" i="47" s="1"/>
  <c r="K61" i="47"/>
  <c r="Q61" i="47" s="1"/>
  <c r="K37" i="47"/>
  <c r="Q37" i="47" s="1"/>
  <c r="K36" i="47"/>
  <c r="Q36" i="47" s="1"/>
  <c r="K50" i="47"/>
  <c r="Q50" i="47" s="1"/>
  <c r="K68" i="47"/>
  <c r="Q68" i="47" s="1"/>
  <c r="K49" i="47"/>
  <c r="Q49" i="47" s="1"/>
  <c r="K81" i="47"/>
  <c r="Q81" i="47" s="1"/>
  <c r="K56" i="47"/>
  <c r="Q56" i="47" s="1"/>
  <c r="K35" i="47"/>
  <c r="Q35" i="47" s="1"/>
  <c r="K39" i="47"/>
  <c r="Q39" i="47" s="1"/>
  <c r="K48" i="47"/>
  <c r="Q48" i="47" s="1"/>
  <c r="K64" i="47"/>
  <c r="Q64" i="47" s="1"/>
  <c r="K57" i="47"/>
  <c r="Q57" i="47" s="1"/>
  <c r="K46" i="47"/>
  <c r="Q46" i="47" s="1"/>
  <c r="K79" i="47"/>
  <c r="Q79" i="47" s="1"/>
  <c r="K47" i="47"/>
  <c r="Q47" i="47" s="1"/>
  <c r="K65" i="47"/>
  <c r="Q65" i="47" s="1"/>
  <c r="K66" i="47"/>
  <c r="Q66" i="47" s="1"/>
  <c r="K52" i="47"/>
  <c r="Q52" i="47" s="1"/>
  <c r="K42" i="47"/>
  <c r="Q42" i="47" s="1"/>
  <c r="K82" i="47"/>
  <c r="Q82" i="47" s="1"/>
  <c r="K62" i="47"/>
  <c r="Q62" i="47" s="1"/>
  <c r="K72" i="47"/>
  <c r="Q72" i="47" s="1"/>
  <c r="K32" i="47"/>
  <c r="Q32" i="47" s="1"/>
  <c r="K41" i="47"/>
  <c r="Q41" i="47" s="1"/>
  <c r="K86" i="47"/>
  <c r="Q86" i="47" s="1"/>
  <c r="K63" i="47"/>
  <c r="Q63" i="47" s="1"/>
  <c r="K83" i="47"/>
  <c r="Q83" i="47" s="1"/>
  <c r="K77" i="47"/>
  <c r="Q77" i="47" s="1"/>
  <c r="K76" i="47"/>
  <c r="Q76" i="47" s="1"/>
  <c r="K129" i="47"/>
  <c r="K136" i="47"/>
  <c r="K141" i="47"/>
  <c r="K159" i="47"/>
  <c r="Q159" i="47" s="1"/>
  <c r="K161" i="47"/>
  <c r="Q161" i="47" s="1"/>
  <c r="K146" i="47"/>
  <c r="K158" i="47"/>
  <c r="Q158" i="47" s="1"/>
  <c r="K125" i="47"/>
  <c r="K132" i="47"/>
  <c r="K140" i="47"/>
  <c r="K145" i="47"/>
  <c r="K151" i="47"/>
  <c r="Q151" i="47" s="1"/>
  <c r="K153" i="47"/>
  <c r="Q153" i="47" s="1"/>
  <c r="K124" i="47"/>
  <c r="K138" i="47"/>
  <c r="K128" i="47"/>
  <c r="K154" i="47"/>
  <c r="Q154" i="47" s="1"/>
  <c r="K142" i="47"/>
  <c r="K157" i="47"/>
  <c r="Q157" i="47" s="1"/>
  <c r="K137" i="47"/>
  <c r="K144" i="47"/>
  <c r="K155" i="47"/>
  <c r="Q155" i="47" s="1"/>
  <c r="K121" i="47"/>
  <c r="K162" i="47"/>
  <c r="Q162" i="47" s="1"/>
  <c r="K123" i="47"/>
  <c r="K143" i="47"/>
  <c r="K160" i="47"/>
  <c r="Q160" i="47" s="1"/>
  <c r="K152" i="47"/>
  <c r="Q152" i="47" s="1"/>
  <c r="K131" i="47"/>
  <c r="K126" i="47"/>
  <c r="K127" i="47"/>
  <c r="K147" i="47"/>
  <c r="K139" i="47"/>
  <c r="K122" i="47"/>
  <c r="K156" i="47"/>
  <c r="Q156" i="47" s="1"/>
  <c r="K130" i="47"/>
  <c r="K106" i="47"/>
  <c r="Q106" i="47" s="1"/>
  <c r="K112" i="47"/>
  <c r="Q112" i="47" s="1"/>
  <c r="K25" i="43"/>
  <c r="K113" i="47"/>
  <c r="Q113" i="47" s="1"/>
  <c r="K101" i="47"/>
  <c r="Q101" i="47" s="1"/>
  <c r="K111" i="47"/>
  <c r="Q111" i="47" s="1"/>
  <c r="K102" i="47"/>
  <c r="Q102" i="47" s="1"/>
  <c r="K98" i="47"/>
  <c r="Q98" i="47" s="1"/>
  <c r="K92" i="47"/>
  <c r="Q92" i="47" s="1"/>
  <c r="K91" i="47"/>
  <c r="Q91" i="47" s="1"/>
  <c r="K93" i="47"/>
  <c r="Q93" i="47" s="1"/>
  <c r="K97" i="47"/>
  <c r="Q97" i="47" s="1"/>
  <c r="K107" i="47"/>
  <c r="Q107" i="47" s="1"/>
  <c r="K117" i="47"/>
  <c r="Q117" i="47" s="1"/>
  <c r="K114" i="47"/>
  <c r="Q114" i="47" s="1"/>
  <c r="K94" i="47"/>
  <c r="Q94" i="47" s="1"/>
  <c r="K96" i="47"/>
  <c r="Q96" i="47" s="1"/>
  <c r="K116" i="47"/>
  <c r="Q116" i="47" s="1"/>
  <c r="K99" i="47"/>
  <c r="Q99" i="47" s="1"/>
  <c r="K109" i="47"/>
  <c r="Q109" i="47" s="1"/>
  <c r="K95" i="47"/>
  <c r="Q95" i="47" s="1"/>
  <c r="K110" i="47"/>
  <c r="Q110" i="47" s="1"/>
  <c r="K108" i="47"/>
  <c r="Q108" i="47" s="1"/>
  <c r="K115" i="47"/>
  <c r="Q115" i="47" s="1"/>
  <c r="K100" i="47"/>
  <c r="Q100" i="47" s="1"/>
  <c r="K70" i="47" l="1"/>
  <c r="Q70" i="47" s="1"/>
  <c r="K67" i="47"/>
  <c r="Q67" i="47" s="1"/>
  <c r="K87" i="47"/>
  <c r="Q87" i="47" s="1"/>
  <c r="K84" i="47"/>
  <c r="Q84" i="47" s="1"/>
  <c r="K71" i="47"/>
  <c r="Q71" i="47" s="1"/>
  <c r="K80" i="47"/>
  <c r="Q80" i="47" s="1"/>
  <c r="K85" i="47"/>
  <c r="Q85" i="47" s="1"/>
  <c r="K78" i="47"/>
  <c r="Q78" i="47" s="1"/>
  <c r="Q31" i="47"/>
  <c r="Q43" i="47" s="1"/>
  <c r="K43" i="47"/>
  <c r="K45" i="47" l="1"/>
  <c r="K58" i="47" s="1"/>
  <c r="K60" i="47" s="1"/>
  <c r="K73" i="47" s="1"/>
  <c r="K75" i="47" s="1"/>
  <c r="K88" i="47" s="1"/>
  <c r="E37" i="43" s="1"/>
  <c r="Q45" i="47"/>
  <c r="Q58" i="47" s="1"/>
  <c r="Q60" i="47" s="1"/>
  <c r="Q73" i="47" s="1"/>
  <c r="Q75" i="47" s="1"/>
  <c r="Q88" i="47" s="1"/>
  <c r="Q90" i="47" s="1"/>
  <c r="Q103" i="47" s="1"/>
  <c r="Q105" i="47" s="1"/>
  <c r="Q118" i="47" s="1"/>
  <c r="Q120" i="47" s="1"/>
  <c r="Q133" i="47" s="1"/>
  <c r="K90" i="47" l="1"/>
  <c r="K103" i="47" s="1"/>
  <c r="K105" i="47" s="1"/>
  <c r="K118" i="47" s="1"/>
  <c r="K120" i="47" s="1"/>
  <c r="K133" i="47" s="1"/>
  <c r="K135" i="47" s="1"/>
  <c r="K148" i="47" s="1"/>
  <c r="K150" i="47" s="1"/>
  <c r="K163" i="47" s="1"/>
  <c r="K37" i="43"/>
  <c r="K38" i="43" s="1"/>
  <c r="H14" i="43" s="1"/>
  <c r="Q135" i="47"/>
  <c r="Q148" i="47" s="1"/>
  <c r="E38" i="43" l="1"/>
  <c r="Q150" i="47"/>
  <c r="Q163" i="47" s="1"/>
</calcChain>
</file>

<file path=xl/comments1.xml><?xml version="1.0" encoding="utf-8"?>
<comments xmlns="http://schemas.openxmlformats.org/spreadsheetml/2006/main">
  <authors>
    <author>Keith Ritchie</author>
  </authors>
  <commentList>
    <comment ref="E19" authorId="0" shapeId="0">
      <text>
        <r>
          <rPr>
            <b/>
            <sz val="9"/>
            <color indexed="81"/>
            <rFont val="Tahoma"/>
            <family val="2"/>
          </rPr>
          <t>Keith Ritchie:</t>
        </r>
        <r>
          <rPr>
            <sz val="9"/>
            <color indexed="81"/>
            <rFont val="Tahoma"/>
            <family val="2"/>
          </rPr>
          <t xml:space="preserve">
As a suggestion, we could use this as a means of communication what we want - and that utilities should not be filling out certain pages for these applications. The parenthesis can be altered to align with the applicable sheets.</t>
        </r>
      </text>
    </comment>
  </commentList>
</comments>
</file>

<file path=xl/comments10.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11.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12.xml><?xml version="1.0" encoding="utf-8"?>
<comments xmlns="http://schemas.openxmlformats.org/spreadsheetml/2006/main">
  <authors>
    <author>Josh Wasylyk</author>
  </authors>
  <commentList>
    <comment ref="D23" authorId="0" shapeId="0">
      <text>
        <r>
          <rPr>
            <sz val="9"/>
            <color indexed="81"/>
            <rFont val="Tahoma"/>
            <family val="2"/>
          </rPr>
          <t xml:space="preserve">The persistence factor tables shows the level of savings from one year that will carry forward (or persist) into subsequent years.
</t>
        </r>
      </text>
    </comment>
  </commentList>
</comments>
</file>

<file path=xl/comments13.xml><?xml version="1.0" encoding="utf-8"?>
<comments xmlns="http://schemas.openxmlformats.org/spreadsheetml/2006/main">
  <authors>
    <author>Judy But</author>
    <author>Keith Ritchie</author>
  </authors>
  <commentList>
    <comment ref="P15" authorId="0" shapeId="0">
      <text>
        <r>
          <rPr>
            <b/>
            <sz val="9"/>
            <color indexed="81"/>
            <rFont val="Tahoma"/>
            <family val="2"/>
          </rPr>
          <t>OEB Staff:</t>
        </r>
        <r>
          <rPr>
            <sz val="9"/>
            <color indexed="81"/>
            <rFont val="Tahoma"/>
            <family val="2"/>
          </rPr>
          <t xml:space="preserve">
LDCs are to update the billing classifications as needed.
</t>
        </r>
      </text>
    </comment>
    <comment ref="H106" authorId="1"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2.xml><?xml version="1.0" encoding="utf-8"?>
<comments xmlns="http://schemas.openxmlformats.org/spreadsheetml/2006/main">
  <authors>
    <author>Judy But</author>
  </authors>
  <commentList>
    <comment ref="D8" authorId="0" shapeId="0">
      <text>
        <r>
          <rPr>
            <b/>
            <sz val="9"/>
            <color indexed="81"/>
            <rFont val="Tahoma"/>
            <family val="2"/>
          </rPr>
          <t>OEB Staff:</t>
        </r>
        <r>
          <rPr>
            <sz val="9"/>
            <color indexed="81"/>
            <rFont val="Tahoma"/>
            <family val="2"/>
          </rPr>
          <t xml:space="preserve">
Please enter the EB-number of the Cost of Service or 
IRM application in which LRAMVA disposition is being sought.</t>
        </r>
      </text>
    </comment>
    <comment ref="H9" authorId="0" shape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4" authorId="0" shapeId="0">
      <text>
        <r>
          <rPr>
            <b/>
            <sz val="9"/>
            <color indexed="81"/>
            <rFont val="Tahoma"/>
            <family val="2"/>
          </rPr>
          <t>OEB Staff:</t>
        </r>
        <r>
          <rPr>
            <sz val="9"/>
            <color indexed="81"/>
            <rFont val="Tahoma"/>
            <family val="2"/>
          </rPr>
          <t xml:space="preserve">
LDC to link to appropriate periods of the claim from the table below.  For example, link to the years in which LRAM is claimed.</t>
        </r>
      </text>
    </comment>
    <comment ref="H15" authorId="0" shapeId="0">
      <text>
        <r>
          <rPr>
            <b/>
            <sz val="9"/>
            <color indexed="81"/>
            <rFont val="Tahoma"/>
            <family val="2"/>
          </rPr>
          <t>OEB Staff:</t>
        </r>
        <r>
          <rPr>
            <sz val="9"/>
            <color indexed="81"/>
            <rFont val="Tahoma"/>
            <family val="2"/>
          </rPr>
          <t xml:space="preserve">
Please insert the number of years the LRAM claim is proposed to be recovered over.</t>
        </r>
      </text>
    </comment>
    <comment ref="B24" authorId="0" shapeId="0">
      <text>
        <r>
          <rPr>
            <b/>
            <sz val="9"/>
            <color indexed="81"/>
            <rFont val="Tahoma"/>
            <family val="2"/>
          </rPr>
          <t>OEB Staff:</t>
        </r>
        <r>
          <rPr>
            <sz val="9"/>
            <color indexed="81"/>
            <rFont val="Tahoma"/>
            <family val="2"/>
          </rPr>
          <t xml:space="preserve">
LDC to input the cleared amounts to net off from the total claims in</t>
        </r>
        <r>
          <rPr>
            <b/>
            <sz val="9"/>
            <color indexed="81"/>
            <rFont val="Tahoma"/>
            <family val="2"/>
          </rPr>
          <t xml:space="preserve"> row 38</t>
        </r>
        <r>
          <rPr>
            <sz val="9"/>
            <color indexed="81"/>
            <rFont val="Tahoma"/>
            <family val="2"/>
          </rPr>
          <t>.</t>
        </r>
      </text>
    </comment>
    <comment ref="C24" authorId="0" shapeId="0">
      <text>
        <r>
          <rPr>
            <b/>
            <sz val="9"/>
            <color indexed="81"/>
            <rFont val="Tahoma"/>
            <family val="2"/>
          </rPr>
          <t>OEB Staff:</t>
        </r>
        <r>
          <rPr>
            <sz val="9"/>
            <color indexed="81"/>
            <rFont val="Tahoma"/>
            <family val="2"/>
          </rPr>
          <t xml:space="preserve">
As an example, to clear the amounts that have been previously claimed in 2011, please insert = - (C22+C23).  This is because the forecast amounts will appear as negative amounts.</t>
        </r>
      </text>
    </comment>
    <comment ref="B37" authorId="0" shapeId="0">
      <text>
        <r>
          <rPr>
            <b/>
            <sz val="9"/>
            <color indexed="81"/>
            <rFont val="Tahoma"/>
            <family val="2"/>
          </rPr>
          <t>OEB Staff:</t>
        </r>
        <r>
          <rPr>
            <sz val="9"/>
            <color indexed="81"/>
            <rFont val="Tahoma"/>
            <family val="2"/>
          </rPr>
          <t xml:space="preserve">
Please link to the appropriate year in</t>
        </r>
        <r>
          <rPr>
            <b/>
            <sz val="9"/>
            <color indexed="81"/>
            <rFont val="Tahoma"/>
            <family val="2"/>
          </rPr>
          <t xml:space="preserve"> Tab 7</t>
        </r>
        <r>
          <rPr>
            <sz val="9"/>
            <color indexed="81"/>
            <rFont val="Tahoma"/>
            <family val="2"/>
          </rPr>
          <t xml:space="preserve"> (Carrying Charges) in which the disposition of carrying charges on LRAM is made.
Clearing of the carrying charges will take place in </t>
        </r>
        <r>
          <rPr>
            <b/>
            <sz val="9"/>
            <color indexed="81"/>
            <rFont val="Tahoma"/>
            <family val="2"/>
          </rPr>
          <t>Tab 7, Table 15</t>
        </r>
        <r>
          <rPr>
            <sz val="9"/>
            <color indexed="81"/>
            <rFont val="Tahoma"/>
            <family val="2"/>
          </rPr>
          <t xml:space="preserve"> in the "Amount Cleared" row.</t>
        </r>
      </text>
    </comment>
  </commentList>
</comments>
</file>

<file path=xl/comments3.xml><?xml version="1.0" encoding="utf-8"?>
<comments xmlns="http://schemas.openxmlformats.org/spreadsheetml/2006/main">
  <authors>
    <author>Josh Wasylyk</author>
    <author>Judy But</author>
  </authors>
  <commentList>
    <comment ref="B11" authorId="0" shapeId="0">
      <text>
        <r>
          <rPr>
            <b/>
            <sz val="9"/>
            <color indexed="81"/>
            <rFont val="Tahoma"/>
            <family val="2"/>
          </rPr>
          <t>OEB Staff:</t>
        </r>
        <r>
          <rPr>
            <sz val="9"/>
            <color indexed="81"/>
            <rFont val="Tahoma"/>
            <family val="2"/>
          </rPr>
          <t xml:space="preserve">
LDCs to input values included in the Table: Amounts used for CDM Threshold for LRAMVA from Appendix 2-I_LF_CDM</t>
        </r>
      </text>
    </comment>
    <comment ref="B13" authorId="1" shapeId="0">
      <text>
        <r>
          <rPr>
            <b/>
            <sz val="9"/>
            <color indexed="81"/>
            <rFont val="Tahoma"/>
            <family val="2"/>
          </rPr>
          <t xml:space="preserve">OEB Staff:
</t>
        </r>
        <r>
          <rPr>
            <sz val="9"/>
            <color indexed="81"/>
            <rFont val="Tahoma"/>
            <family val="2"/>
          </rPr>
          <t>LDCs to input CDM savings values beginning the most recent year the LDC rebased.</t>
        </r>
        <r>
          <rPr>
            <sz val="9"/>
            <color indexed="81"/>
            <rFont val="Tahoma"/>
            <family val="2"/>
          </rPr>
          <t xml:space="preserve">
</t>
        </r>
      </text>
    </comment>
    <comment ref="B24" authorId="1" shapeId="0">
      <text>
        <r>
          <rPr>
            <b/>
            <sz val="9"/>
            <color indexed="81"/>
            <rFont val="Tahoma"/>
            <family val="2"/>
          </rPr>
          <t>OEB Staff:</t>
        </r>
        <r>
          <rPr>
            <sz val="9"/>
            <color indexed="81"/>
            <rFont val="Tahoma"/>
            <family val="2"/>
          </rPr>
          <t xml:space="preserve">
LDCs should begin to include CDM savings by rate class in the most recent year it rebased to match </t>
        </r>
        <r>
          <rPr>
            <b/>
            <sz val="9"/>
            <color indexed="81"/>
            <rFont val="Tahoma"/>
            <family val="2"/>
          </rPr>
          <t>Table 2</t>
        </r>
        <r>
          <rPr>
            <sz val="9"/>
            <color indexed="81"/>
            <rFont val="Tahoma"/>
            <family val="2"/>
          </rPr>
          <t xml:space="preserve"> above.</t>
        </r>
      </text>
    </comment>
  </commentList>
</comments>
</file>

<file path=xl/comments4.xml><?xml version="1.0" encoding="utf-8"?>
<comments xmlns="http://schemas.openxmlformats.org/spreadsheetml/2006/main">
  <authors>
    <author>Judy But</author>
  </authors>
  <commentList>
    <comment ref="D16" authorId="0" shapeId="0">
      <text>
        <r>
          <rPr>
            <b/>
            <sz val="9"/>
            <color indexed="81"/>
            <rFont val="Tahoma"/>
            <family val="2"/>
          </rPr>
          <t>OEB Staff:</t>
        </r>
        <r>
          <rPr>
            <sz val="9"/>
            <color indexed="81"/>
            <rFont val="Tahoma"/>
            <family val="2"/>
          </rPr>
          <t xml:space="preserve">
These are example rate years.  The utility should update as appropriate.</t>
        </r>
      </text>
    </comment>
  </commentList>
</comments>
</file>

<file path=xl/comments5.xml><?xml version="1.0" encoding="utf-8"?>
<comments xmlns="http://schemas.openxmlformats.org/spreadsheetml/2006/main">
  <authors>
    <author>Judy But</author>
    <author>Josh Wasylyk</author>
  </authors>
  <commentList>
    <comment ref="F19" authorId="0" shapeId="0">
      <text>
        <r>
          <rPr>
            <b/>
            <sz val="9"/>
            <color indexed="81"/>
            <rFont val="Tahoma"/>
            <family val="2"/>
          </rPr>
          <t>OEB Staff:</t>
        </r>
        <r>
          <rPr>
            <sz val="9"/>
            <color indexed="81"/>
            <rFont val="Tahoma"/>
            <family val="2"/>
          </rPr>
          <t xml:space="preserve">
LDCs to update the IESO approved savings by program as appropriate.</t>
        </r>
      </text>
    </comment>
    <comment ref="O20" authorId="0" shapeId="0">
      <text>
        <r>
          <rPr>
            <b/>
            <sz val="9"/>
            <color indexed="81"/>
            <rFont val="Tahoma"/>
            <family val="2"/>
          </rPr>
          <t>OEB Staff:</t>
        </r>
        <r>
          <rPr>
            <sz val="9"/>
            <color indexed="81"/>
            <rFont val="Tahoma"/>
            <family val="2"/>
          </rPr>
          <t xml:space="preserve">
Update the rate classes as appropriate.  LDC to adjust the rate allocations by class (columns h to n).  Please insert IESO verified savings for applicable programs (columns f to g).  </t>
        </r>
      </text>
    </comment>
    <comment ref="P20" authorId="0" shapeId="0">
      <text>
        <r>
          <rPr>
            <b/>
            <sz val="9"/>
            <color indexed="81"/>
            <rFont val="Tahoma"/>
            <family val="2"/>
          </rPr>
          <t>OEB Staff:</t>
        </r>
        <r>
          <rPr>
            <sz val="9"/>
            <color indexed="81"/>
            <rFont val="Tahoma"/>
            <family val="2"/>
          </rPr>
          <t xml:space="preserve">
Some total values will not be equal to 100% when savings are being allocation across both demand and energy billed classes.</t>
        </r>
      </text>
    </comment>
    <comment ref="C30" authorId="0" shapeId="0">
      <text>
        <r>
          <rPr>
            <b/>
            <sz val="9"/>
            <color indexed="81"/>
            <rFont val="Tahoma"/>
            <family val="2"/>
          </rPr>
          <t>OEB Staff:</t>
        </r>
        <r>
          <rPr>
            <sz val="9"/>
            <color indexed="81"/>
            <rFont val="Tahoma"/>
            <family val="2"/>
          </rPr>
          <t xml:space="preserve">
Adjustments should be applied to the year that LRAM is claimed was related to.  For example, adjustments to 2011 results should be shown as part of the calculation of 2011 lost revenues.  In the event that the utility uses initiative level adjustments, these calculations can be done in a separate worksheet and included here.</t>
        </r>
      </text>
    </comment>
    <comment ref="C67" authorId="1" shapeId="0">
      <text>
        <r>
          <rPr>
            <b/>
            <sz val="9"/>
            <color indexed="81"/>
            <rFont val="Tahoma"/>
            <family val="2"/>
          </rPr>
          <t xml:space="preserve">OEB Staff:
</t>
        </r>
        <r>
          <rPr>
            <sz val="9"/>
            <color indexed="81"/>
            <rFont val="Tahoma"/>
            <family val="2"/>
          </rPr>
          <t>All total rows should be adjusted to match the rate allocations for each LDC.  The formulas included here act as an example.</t>
        </r>
      </text>
    </comment>
    <comment ref="J69" authorId="0" shapeId="0">
      <text>
        <r>
          <rPr>
            <b/>
            <sz val="9"/>
            <color indexed="81"/>
            <rFont val="Tahoma"/>
            <family val="2"/>
          </rPr>
          <t>OEB Staff:</t>
        </r>
        <r>
          <rPr>
            <sz val="9"/>
            <color indexed="81"/>
            <rFont val="Tahoma"/>
            <family val="2"/>
          </rPr>
          <t xml:space="preserve">
Excludes demand response</t>
        </r>
      </text>
    </comment>
    <comment ref="C74" authorId="0" shapeId="0">
      <text>
        <r>
          <rPr>
            <b/>
            <sz val="9"/>
            <color indexed="81"/>
            <rFont val="Tahoma"/>
            <family val="2"/>
          </rPr>
          <t>OEB Staff:</t>
        </r>
        <r>
          <rPr>
            <sz val="9"/>
            <color indexed="81"/>
            <rFont val="Tahoma"/>
            <family val="2"/>
          </rPr>
          <t xml:space="preserve">
Persisting savings will be applied for subsequent years when determining total LRAM claims.</t>
        </r>
      </text>
    </comment>
    <comment ref="C75" authorId="1" shapeId="0">
      <text>
        <r>
          <rPr>
            <b/>
            <sz val="9"/>
            <color indexed="81"/>
            <rFont val="Tahoma"/>
            <family val="2"/>
          </rPr>
          <t xml:space="preserve">OEB Staff:
</t>
        </r>
        <r>
          <rPr>
            <sz val="9"/>
            <color indexed="81"/>
            <rFont val="Tahoma"/>
            <family val="2"/>
          </rPr>
          <t xml:space="preserve">The work form has been built to show persisting savings into all future years.  This will not be applicable for all LDCs.  Persisting savings are only eligible until the LDC rebases.  </t>
        </r>
        <r>
          <rPr>
            <b/>
            <sz val="9"/>
            <color indexed="81"/>
            <rFont val="Tahoma"/>
            <family val="2"/>
          </rPr>
          <t>Following the approval of a new load forecast, all future year persisting savings must be removed from this work form.</t>
        </r>
        <r>
          <rPr>
            <sz val="9"/>
            <color indexed="81"/>
            <rFont val="Tahoma"/>
            <family val="2"/>
          </rPr>
          <t xml:space="preserve">  These savings will be incorporated into the load forecast. For example, if an LDC rebases in 2014, all persisting savings beyond 2014 are not eligible to be recovered. </t>
        </r>
      </text>
    </comment>
    <comment ref="C145" authorId="0" shapeId="0">
      <text>
        <r>
          <rPr>
            <b/>
            <sz val="9"/>
            <color indexed="81"/>
            <rFont val="Tahoma"/>
            <family val="2"/>
          </rPr>
          <t xml:space="preserve">OEB Staff:
</t>
        </r>
        <r>
          <rPr>
            <sz val="9"/>
            <color indexed="81"/>
            <rFont val="Tahoma"/>
            <family val="2"/>
          </rPr>
          <t xml:space="preserve">All total rows should be adjusted to match the rate allocations for each LDC.  The formulas included here act as an example.
</t>
        </r>
      </text>
    </comment>
    <comment ref="J147" authorId="0" shapeId="0">
      <text>
        <r>
          <rPr>
            <b/>
            <sz val="9"/>
            <color indexed="81"/>
            <rFont val="Tahoma"/>
            <family val="2"/>
          </rPr>
          <t>OEB Staff:</t>
        </r>
        <r>
          <rPr>
            <sz val="9"/>
            <color indexed="81"/>
            <rFont val="Tahoma"/>
            <family val="2"/>
          </rPr>
          <t xml:space="preserve">
Excludes demand response savings</t>
        </r>
      </text>
    </comment>
    <comment ref="C225"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227" authorId="0" shapeId="0">
      <text>
        <r>
          <rPr>
            <b/>
            <sz val="9"/>
            <color indexed="81"/>
            <rFont val="Tahoma"/>
            <family val="2"/>
          </rPr>
          <t>OEB Staff:</t>
        </r>
        <r>
          <rPr>
            <sz val="9"/>
            <color indexed="81"/>
            <rFont val="Tahoma"/>
            <family val="2"/>
          </rPr>
          <t xml:space="preserve">
Excludes demand response savings</t>
        </r>
      </text>
    </comment>
    <comment ref="C306"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308" authorId="0" shapeId="0">
      <text>
        <r>
          <rPr>
            <b/>
            <sz val="9"/>
            <color indexed="81"/>
            <rFont val="Tahoma"/>
            <family val="2"/>
          </rPr>
          <t>OEB Staff:</t>
        </r>
        <r>
          <rPr>
            <sz val="9"/>
            <color indexed="81"/>
            <rFont val="Tahoma"/>
            <family val="2"/>
          </rPr>
          <t xml:space="preserve">
Adjust formulas as needed.</t>
        </r>
      </text>
    </comment>
  </commentList>
</comments>
</file>

<file path=xl/comments6.xml><?xml version="1.0" encoding="utf-8"?>
<comments xmlns="http://schemas.openxmlformats.org/spreadsheetml/2006/main">
  <authors>
    <author>Judy But</author>
    <author>Josh Wasylyk</author>
  </authors>
  <commentList>
    <comment ref="I16" authorId="0" shapeId="0">
      <text>
        <r>
          <rPr>
            <b/>
            <sz val="9"/>
            <color indexed="81"/>
            <rFont val="Tahoma"/>
            <family val="2"/>
          </rPr>
          <t>OEB Staff:</t>
        </r>
        <r>
          <rPr>
            <sz val="9"/>
            <color indexed="81"/>
            <rFont val="Tahoma"/>
            <family val="2"/>
          </rPr>
          <t xml:space="preserve">
LDC to adjust the rate allocations by class (columns h to n).  Please insert IESO verified savings for applicable programs (columns f to g). </t>
        </r>
      </text>
    </comment>
    <comment ref="C25" authorId="0" shapeId="0">
      <text>
        <r>
          <rPr>
            <b/>
            <sz val="9"/>
            <color indexed="81"/>
            <rFont val="Tahoma"/>
            <family val="2"/>
          </rPr>
          <t xml:space="preserve">OEB Staff:
</t>
        </r>
        <r>
          <rPr>
            <sz val="9"/>
            <color indexed="81"/>
            <rFont val="Tahoma"/>
            <family val="2"/>
          </rPr>
          <t xml:space="preserve">Adjustments should be applied to the year that LRAM is claimed was related to.  For example, adjustments to 2015 results should be shown as part of the calculation of 2015 lost revenues.  In the event that the utility uses initiative level adjustments, these calculations can be done in a separate worksheet and included here.
</t>
        </r>
      </text>
    </comment>
    <comment ref="C109" authorId="1" shapeId="0">
      <text>
        <r>
          <rPr>
            <b/>
            <sz val="9"/>
            <color indexed="81"/>
            <rFont val="Tahoma"/>
            <family val="2"/>
          </rPr>
          <t xml:space="preserve">OEB Staff:
</t>
        </r>
        <r>
          <rPr>
            <sz val="9"/>
            <color indexed="81"/>
            <rFont val="Tahoma"/>
            <family val="2"/>
          </rPr>
          <t>For LDCs that receive adjustments from the IESO to 2015 results after the 2015 claims are made, the LDC will need to make a claim for the 2015 adjustments as part of its application for 2015 (or later) LRAM amounts.  To prevent this situation,  LDCs may want to wait until the results for any given year, including adjustments, have been provided to avoid filing for recovery of lost revenues from the same period in two seperate applications.  However, there is no requirement to delay filing an LRAMVA application due to adjustments not being available.</t>
        </r>
      </text>
    </comment>
    <comment ref="C113"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114" authorId="0" shapeId="0">
      <text>
        <r>
          <rPr>
            <b/>
            <sz val="9"/>
            <color indexed="81"/>
            <rFont val="Tahoma"/>
            <family val="2"/>
          </rPr>
          <t>OEB Staff:</t>
        </r>
        <r>
          <rPr>
            <sz val="9"/>
            <color indexed="81"/>
            <rFont val="Tahoma"/>
            <family val="2"/>
          </rPr>
          <t xml:space="preserve">
Adjust formulas as needed.</t>
        </r>
      </text>
    </comment>
    <comment ref="C115" authorId="0" shapeId="0">
      <text>
        <r>
          <rPr>
            <b/>
            <sz val="9"/>
            <color indexed="81"/>
            <rFont val="Tahoma"/>
            <family val="2"/>
          </rPr>
          <t>OEB Staff:</t>
        </r>
        <r>
          <rPr>
            <sz val="9"/>
            <color indexed="81"/>
            <rFont val="Tahoma"/>
            <family val="2"/>
          </rPr>
          <t xml:space="preserve">
This total excludes demand savings from the Building Commissioning initiative.  This total is used for future year savings amounts as demand savings from the Building Commissioning initiative do not persist past the first year. </t>
        </r>
      </text>
    </comment>
    <comment ref="C119" authorId="0" shapeId="0">
      <text>
        <r>
          <rPr>
            <b/>
            <sz val="9"/>
            <color indexed="81"/>
            <rFont val="Tahoma"/>
            <family val="2"/>
          </rPr>
          <t>OEB Staff:</t>
        </r>
        <r>
          <rPr>
            <sz val="9"/>
            <color indexed="81"/>
            <rFont val="Tahoma"/>
            <family val="2"/>
          </rPr>
          <t xml:space="preserve">
Please use the applicable information for legacy program persistence into the 2015-2020 term, as provided by IESO.</t>
        </r>
      </text>
    </comment>
  </commentList>
</comments>
</file>

<file path=xl/comments7.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Same comments about colours and which cells are fixed formulas as on previosu sheet.</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8.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2" authorId="1" shapeId="0">
      <text>
        <r>
          <rPr>
            <sz val="9"/>
            <color indexed="81"/>
            <rFont val="Tahoma"/>
            <family val="2"/>
          </rPr>
          <t>Adjust formulas as needed.</t>
        </r>
      </text>
    </comment>
    <comment ref="I112" authorId="1" shapeId="0">
      <text>
        <r>
          <rPr>
            <sz val="9"/>
            <color indexed="81"/>
            <rFont val="Tahoma"/>
            <family val="2"/>
          </rPr>
          <t>Adjust formulas as needed.</t>
        </r>
      </text>
    </comment>
    <comment ref="N112" authorId="2" shapeId="0">
      <text>
        <r>
          <rPr>
            <b/>
            <sz val="9"/>
            <color indexed="81"/>
            <rFont val="Tahoma"/>
            <family val="2"/>
          </rPr>
          <t>Keith Ritchie:</t>
        </r>
        <r>
          <rPr>
            <sz val="9"/>
            <color indexed="81"/>
            <rFont val="Tahoma"/>
            <family val="2"/>
          </rPr>
          <t xml:space="preserve">
Ibid, regarding colours.</t>
        </r>
      </text>
    </comment>
    <comment ref="J113" authorId="1" shapeId="0">
      <text>
        <r>
          <rPr>
            <sz val="9"/>
            <color indexed="81"/>
            <rFont val="Tahoma"/>
            <family val="2"/>
          </rPr>
          <t>Adjust formulas as needed.</t>
        </r>
      </text>
    </comment>
    <comment ref="C114"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8" authorId="1" shapeId="0">
      <text>
        <r>
          <rPr>
            <sz val="9"/>
            <color indexed="81"/>
            <rFont val="Tahoma"/>
            <family val="2"/>
          </rPr>
          <t>Please use the applicable information for legacy program persistence into the 2015-2020 term, as provided by IESO.</t>
        </r>
      </text>
    </comment>
  </commentList>
</comments>
</file>

<file path=xl/comments9.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sharedStrings.xml><?xml version="1.0" encoding="utf-8"?>
<sst xmlns="http://schemas.openxmlformats.org/spreadsheetml/2006/main" count="2138" uniqueCount="526">
  <si>
    <t>Initiative</t>
  </si>
  <si>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</si>
  <si>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</si>
  <si>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</si>
  <si>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</si>
  <si>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</si>
  <si>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</si>
  <si>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</si>
  <si>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</si>
  <si>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</si>
  <si>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</si>
  <si>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</si>
  <si>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</si>
  <si>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</si>
  <si>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</si>
  <si>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</si>
  <si>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</si>
  <si>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</si>
  <si>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</si>
  <si>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</si>
  <si>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</si>
  <si>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Implementation Period</t>
  </si>
  <si>
    <t>2011 - Verified</t>
  </si>
  <si>
    <t>Energy Audit</t>
  </si>
  <si>
    <t>  </t>
  </si>
  <si>
    <t>Direct Install Lighting</t>
  </si>
  <si>
    <t>Residential Demand Response (IHD)</t>
  </si>
  <si>
    <t>Retrofit</t>
  </si>
  <si>
    <t>Building Commissioning</t>
  </si>
  <si>
    <t>New Construction</t>
  </si>
  <si>
    <t>Small Commercial Demand Response (switch/pstat)*</t>
  </si>
  <si>
    <t>Small Commercial Demand Response (IHD)</t>
  </si>
  <si>
    <t>2012 - Verified</t>
  </si>
  <si>
    <t>Residential Demand Response (switch/pstat)</t>
  </si>
  <si>
    <t>Verified</t>
  </si>
  <si>
    <t>Total</t>
  </si>
  <si>
    <t>kWh</t>
  </si>
  <si>
    <t>kW</t>
  </si>
  <si>
    <t>Residential</t>
  </si>
  <si>
    <t>$</t>
  </si>
  <si>
    <t>General Service &lt;50 kW</t>
  </si>
  <si>
    <t>Sentinel Lighting</t>
  </si>
  <si>
    <t>Street Lighting</t>
  </si>
  <si>
    <t>Unmetered Scattered Load</t>
  </si>
  <si>
    <t>Persistence Factor (GWh)</t>
  </si>
  <si>
    <t>Results Status</t>
  </si>
  <si>
    <t xml:space="preserve">Net Incremental Peak Demand Savings (kW) </t>
  </si>
  <si>
    <t>2011 kW Saved</t>
  </si>
  <si>
    <t>2011 kWh Saved</t>
  </si>
  <si>
    <t>Description</t>
  </si>
  <si>
    <t>2011 Forecast</t>
  </si>
  <si>
    <t>2012 Forecast</t>
  </si>
  <si>
    <t>2013 Forecast</t>
  </si>
  <si>
    <t>2013 Actuals</t>
  </si>
  <si>
    <t>2014 Forecast</t>
  </si>
  <si>
    <t>2014 Actuals</t>
  </si>
  <si>
    <t>Forecast Year</t>
  </si>
  <si>
    <t>Rate Class</t>
  </si>
  <si>
    <t>Billing Unit</t>
  </si>
  <si>
    <t>#</t>
  </si>
  <si>
    <t>Rate Allocation for LRAMVA</t>
  </si>
  <si>
    <t>Residential Demand Response</t>
  </si>
  <si>
    <t>Commercial Demand Response (part of residential program)</t>
  </si>
  <si>
    <t>Lost Revenue in 2011</t>
  </si>
  <si>
    <t>2011 Savings Persisting in 2012</t>
  </si>
  <si>
    <t>2011 Savings Persisting in 2013</t>
  </si>
  <si>
    <t>2011 Savings Persisting in 2014</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</si>
  <si>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</si>
  <si>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</si>
  <si>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</si>
  <si>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</si>
  <si>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</si>
  <si>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</si>
  <si>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</si>
  <si>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</si>
  <si>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</si>
  <si>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</si>
  <si>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</si>
  <si>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</si>
  <si>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</si>
  <si>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</si>
  <si>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</si>
  <si>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</si>
  <si>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</si>
  <si>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</si>
  <si>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</si>
  <si>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</si>
  <si>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</si>
  <si>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</si>
  <si>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</si>
  <si>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</si>
  <si>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</si>
  <si>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</si>
  <si>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</si>
  <si>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kW Saved</t>
  </si>
  <si>
    <t>2012 kWh Saved</t>
  </si>
  <si>
    <t>2012 Savings Persisting in 2013</t>
  </si>
  <si>
    <t>2012 Savings Persisting in 2014</t>
  </si>
  <si>
    <t>Total Lost Revenue in 2012</t>
  </si>
  <si>
    <t>Total Lost Revenue in 2013</t>
  </si>
  <si>
    <t>2013 kW Saved</t>
  </si>
  <si>
    <t>2013 kWh Saved</t>
  </si>
  <si>
    <t>2013 Savings Persisting in 2014</t>
  </si>
  <si>
    <t>2014 kW Saved</t>
  </si>
  <si>
    <t>2014 kWh Saved</t>
  </si>
  <si>
    <t>LDC Custom Programs</t>
  </si>
  <si>
    <t>Other</t>
  </si>
  <si>
    <t>Time-of-Use Savings</t>
  </si>
  <si>
    <t>Program Enabled Savings</t>
  </si>
  <si>
    <t>General Service 50 - 999 kW</t>
  </si>
  <si>
    <t>General Service 1,000 - 4,999 kW</t>
  </si>
  <si>
    <t>May 1, 2010
to
Apr 30, 2011</t>
  </si>
  <si>
    <t>Pro-ratio of Rates (months) - Period 1</t>
  </si>
  <si>
    <t>Pro-ratio of Rates (months) - Period 2</t>
  </si>
  <si>
    <t>% of Billed</t>
  </si>
  <si>
    <t>Adjusted Billed kWh with CDM Applied</t>
  </si>
  <si>
    <t xml:space="preserve">Street Lights </t>
  </si>
  <si>
    <t>Sentinel Lights</t>
  </si>
  <si>
    <t xml:space="preserve">Unmetered Loads </t>
  </si>
  <si>
    <t>CDM kW Reduction</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</si>
  <si>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</si>
  <si>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</si>
  <si>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</si>
  <si>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</si>
  <si>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</si>
  <si>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</si>
  <si>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</si>
  <si>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</si>
  <si>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</si>
  <si>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</si>
  <si>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</si>
  <si>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</si>
  <si>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</si>
  <si>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</si>
  <si>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</si>
  <si>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</si>
  <si>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</si>
  <si>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</si>
  <si>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</si>
  <si>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</si>
  <si>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</si>
  <si>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</si>
  <si>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2011-2014+2015 Extension Legacy Framework Programs</t>
  </si>
  <si>
    <t>Residential Program</t>
  </si>
  <si>
    <t>Coupon Initiative</t>
  </si>
  <si>
    <t>Bi-Annual Retailer Event Initiative</t>
  </si>
  <si>
    <t>Appliance Retirement Initiative</t>
  </si>
  <si>
    <t>Appliance Exchange Initiative</t>
  </si>
  <si>
    <t>HVAC Incentives Initaitive</t>
  </si>
  <si>
    <t>Residential New Construction and Major Renovation Initiative</t>
  </si>
  <si>
    <t>Commercial &amp; Institutional Program</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</si>
  <si>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</si>
  <si>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</si>
  <si>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</si>
  <si>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</si>
  <si>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</si>
  <si>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</si>
  <si>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</si>
  <si>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</si>
  <si>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</si>
  <si>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</si>
  <si>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Pilots</t>
  </si>
  <si>
    <t>Loblaws Pilot</t>
  </si>
  <si>
    <t>Social Benchmarking Pliot</t>
  </si>
  <si>
    <t>Conservation Fund Pilot - SEG</t>
  </si>
  <si>
    <t>Conservation Fund Pilot - EnerNOC</t>
  </si>
  <si>
    <t>2015-2020 Conservation First Framework Programs</t>
  </si>
  <si>
    <t>Residential Province-Wide Programs</t>
  </si>
  <si>
    <t>Save on Energy Coupon Program</t>
  </si>
  <si>
    <t>Save on Energy Heating and Cooling Program</t>
  </si>
  <si>
    <t>Save on Energy New Construction Program</t>
  </si>
  <si>
    <t>Save on Energy Home Assistance Program</t>
  </si>
  <si>
    <t>Non-Residential Province-Wide Programs</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</si>
  <si>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</si>
  <si>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</si>
  <si>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</si>
  <si>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</si>
  <si>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</si>
  <si>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</si>
  <si>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</si>
  <si>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</si>
  <si>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Local &amp; Regional Programs</t>
  </si>
  <si>
    <t>Business Refrigeration Local Program</t>
  </si>
  <si>
    <t>First Nation Conservation Local Program</t>
  </si>
  <si>
    <t>Social Benchmarking Local Program</t>
  </si>
  <si>
    <t>Pilot Programs</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</si>
  <si>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</si>
  <si>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</si>
  <si>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</si>
  <si>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</si>
  <si>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</si>
  <si>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</si>
  <si>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</si>
  <si>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</si>
  <si>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</si>
  <si>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</si>
  <si>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</si>
  <si>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</si>
  <si>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</si>
  <si>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</si>
  <si>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Distribution Rates</t>
  </si>
  <si>
    <t>2011 Actuals</t>
  </si>
  <si>
    <t>2012 Actuals</t>
  </si>
  <si>
    <t>Net Incremental Energy Savings (kWh)</t>
  </si>
  <si>
    <t>2013 - Verified</t>
  </si>
  <si>
    <t>2014 - Verified</t>
  </si>
  <si>
    <t>Months of Demand Savings</t>
  </si>
  <si>
    <t>Total Lost Revenue in 2014</t>
  </si>
  <si>
    <t>Carrying Charges by Rate Class</t>
  </si>
  <si>
    <t>Exhibit</t>
  </si>
  <si>
    <t>Schedule</t>
  </si>
  <si>
    <t>Tab</t>
  </si>
  <si>
    <t>File Number</t>
  </si>
  <si>
    <t>Page</t>
  </si>
  <si>
    <t>2015 kWh saved</t>
  </si>
  <si>
    <t>2015 kW saved</t>
  </si>
  <si>
    <t>2015 - Verified</t>
  </si>
  <si>
    <t>2016 - Verified</t>
  </si>
  <si>
    <t>2017 - Verified</t>
  </si>
  <si>
    <t>2018 - Verified</t>
  </si>
  <si>
    <t>2019 - Verified</t>
  </si>
  <si>
    <t>2020 - Verified</t>
  </si>
  <si>
    <t>Total kWh</t>
  </si>
  <si>
    <t>Total Lost Revenue in 2015</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</si>
  <si>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</si>
  <si>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</si>
  <si>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</si>
  <si>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</si>
  <si>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</si>
  <si>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</si>
  <si>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</si>
  <si>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</si>
  <si>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</si>
  <si>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</si>
  <si>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</si>
  <si>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</si>
  <si>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</si>
  <si>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</si>
  <si>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</si>
  <si>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</si>
  <si>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</si>
  <si>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</si>
  <si>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</si>
  <si>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Lost Revenue in 2016 from 2011 programs</t>
  </si>
  <si>
    <t>Lost Revenue in 2016 from 2012 programs</t>
  </si>
  <si>
    <t>Lost Revenue in 2016 from 2013 programs</t>
  </si>
  <si>
    <t>Lost Revenue in 2016 from 2014 programs</t>
  </si>
  <si>
    <t>Lost Revenue in 2016 from 2015 programs</t>
  </si>
  <si>
    <t>Total Lost Revenue in 2016</t>
  </si>
  <si>
    <t>2016 Savings Persisting in 2017</t>
  </si>
  <si>
    <t>2016 Savings Persisting in 2018</t>
  </si>
  <si>
    <t>2016 Savings Persisting in 2019</t>
  </si>
  <si>
    <t>2016 Savings Persisting in 2020</t>
  </si>
  <si>
    <t>Lost Revenue in 2016 from 2016 programs</t>
  </si>
  <si>
    <t>True-up</t>
  </si>
  <si>
    <t>Adjustments to 2011 results (if any)</t>
  </si>
  <si>
    <t>Adjustments to 2012 results (if any)</t>
  </si>
  <si>
    <t>Adjustments to 2013 results (if any)</t>
  </si>
  <si>
    <t>Adjustments to 2014 results (if any)</t>
  </si>
  <si>
    <t>Adjustments to 2015 results (if any)</t>
  </si>
  <si>
    <t>This form may need to be updated with IESO data on persistence of 2011-2014 programs into 2015-2020 term.</t>
  </si>
  <si>
    <t xml:space="preserve">Total GS &gt; 50 kW </t>
  </si>
  <si>
    <t>Total GS &gt; 50 kW excluding Building Commissioning</t>
  </si>
  <si>
    <t>Persistence Factor (MW)</t>
  </si>
  <si>
    <t>Adjustments to 2016 results (if any)</t>
  </si>
  <si>
    <t xml:space="preserve">2015 Lost Revenues Work Form </t>
  </si>
  <si>
    <t xml:space="preserve">2016 Lost Revenues Work Form </t>
  </si>
  <si>
    <t xml:space="preserve">2017 Lost Revenues Work Form </t>
  </si>
  <si>
    <t>Adjustments to 2017 results (if any)</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</si>
  <si>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</si>
  <si>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</si>
  <si>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</si>
  <si>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</si>
  <si>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</si>
  <si>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</si>
  <si>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Total Lost Revenue in 2017</t>
  </si>
  <si>
    <t>2017 Savings Persisting in 2018</t>
  </si>
  <si>
    <t>2017 Savings Persisting in 2019</t>
  </si>
  <si>
    <t>2017 Savings Persisting in 2020</t>
  </si>
  <si>
    <t>Lost Revenue in 2017 from 2017 programs</t>
  </si>
  <si>
    <t xml:space="preserve">2018 Lost Revenues Work Form </t>
  </si>
  <si>
    <t>Adjustments to 2018 results (if any)</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</si>
  <si>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</si>
  <si>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</si>
  <si>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</si>
  <si>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</si>
  <si>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</si>
  <si>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</si>
  <si>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</si>
  <si>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</si>
  <si>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 in 2018</t>
  </si>
  <si>
    <t>2018 Savings Persisting in 2019</t>
  </si>
  <si>
    <t>2018 Savings Persisting in 2020</t>
  </si>
  <si>
    <t>Total LRAMVA Balance</t>
  </si>
  <si>
    <t xml:space="preserve">2019 Lost Revenues Work Form </t>
  </si>
  <si>
    <t>Adjustments to 2019 results (if any)</t>
  </si>
  <si>
    <t>Total Lost Revenue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</si>
  <si>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</si>
  <si>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</si>
  <si>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</si>
  <si>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</si>
  <si>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</si>
  <si>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</si>
  <si>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</si>
  <si>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</si>
  <si>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</si>
  <si>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</si>
  <si>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 xml:space="preserve">2020 Lost Revenues Work Form </t>
  </si>
  <si>
    <t>Total Lost Revenue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</si>
  <si>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</si>
  <si>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</si>
  <si>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</si>
  <si>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</si>
  <si>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</si>
  <si>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</si>
  <si>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</si>
  <si>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</si>
  <si>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</si>
  <si>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</si>
  <si>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Total GS &gt; 50 kW</t>
  </si>
  <si>
    <t>Adjustments to 2020 results (if any)</t>
  </si>
  <si>
    <t>Distribution Rate in 2011</t>
  </si>
  <si>
    <t>Distribution Rate in 2012</t>
  </si>
  <si>
    <t>Distribution Rate in 2013</t>
  </si>
  <si>
    <t>Distribution Rate in 2014</t>
  </si>
  <si>
    <t>Distribution Rate in 2015</t>
  </si>
  <si>
    <t>Distribution Rate in 2016</t>
  </si>
  <si>
    <t>Distribution Rate in 2017</t>
  </si>
  <si>
    <t>Distribution Rate in 2018</t>
  </si>
  <si>
    <t>Distribution Rate in 2019</t>
  </si>
  <si>
    <t>Distribution Rate in 2020</t>
  </si>
  <si>
    <t>2.  CDM Allocation</t>
  </si>
  <si>
    <t>3.  Distribution Rates</t>
  </si>
  <si>
    <t>4.  2011-14 LRAM</t>
  </si>
  <si>
    <t>7.  Carrying Charges</t>
  </si>
  <si>
    <t>CDM Allocation</t>
  </si>
  <si>
    <t>1.  LRAMVA Summary</t>
  </si>
  <si>
    <t>LRAMVA Summary</t>
  </si>
  <si>
    <t>Legend</t>
  </si>
  <si>
    <t>Auto Populated Cells (White)</t>
  </si>
  <si>
    <t xml:space="preserve">    Description</t>
  </si>
  <si>
    <t>Generic LRAMVA Work Forms</t>
  </si>
  <si>
    <t>Table 5.  Distribution Volumetric Rate by Billing Period</t>
  </si>
  <si>
    <t>EB-2016-xxxx</t>
  </si>
  <si>
    <t>CDM Savings Target Allocation by Rate Class</t>
  </si>
  <si>
    <t>kWh (check)</t>
  </si>
  <si>
    <t xml:space="preserve">Please update the template as needed or replace this spreadsheet with an existing templates that estimated savings in CDM forecast. </t>
  </si>
  <si>
    <t>Table 1.  Annual and Total LRAMVA by Rate Class</t>
  </si>
  <si>
    <r>
      <rPr>
        <b/>
        <sz val="11"/>
        <rFont val="Arial"/>
        <family val="2"/>
      </rPr>
      <t>Tables 2, 3 and 4</t>
    </r>
    <r>
      <rPr>
        <sz val="11"/>
        <rFont val="Arial"/>
        <family val="2"/>
      </rPr>
      <t xml:space="preserve"> include the CDM savings and allocation by rate class that were included in the load forecast.</t>
    </r>
  </si>
  <si>
    <t>Decision &amp; Orders for Approved Volumetric Rates:</t>
  </si>
  <si>
    <r>
      <rPr>
        <b/>
        <sz val="11"/>
        <rFont val="Arial"/>
        <family val="2"/>
      </rPr>
      <t>Tables 5 and 6</t>
    </r>
    <r>
      <rPr>
        <sz val="11"/>
        <rFont val="Arial"/>
        <family val="2"/>
      </rPr>
      <t xml:space="preserve"> include a historical account of distribution rates that were used to calculate lost revenues.</t>
    </r>
  </si>
  <si>
    <t>Persistence Rates</t>
  </si>
  <si>
    <t>2011-2014 Lost Revenues Work Form</t>
  </si>
  <si>
    <t xml:space="preserve">Demand Response (DR3) Savings should generally not be included with the LRAMVA calculation, unless suported by empirical evidence </t>
  </si>
  <si>
    <t xml:space="preserve">Table 7.  2011 Lost Revenues Work Form </t>
  </si>
  <si>
    <t xml:space="preserve">Table 8.  2012 Lost Revenues Work Form </t>
  </si>
  <si>
    <t xml:space="preserve">Table 9.  2013 Lost Revenues Work Form </t>
  </si>
  <si>
    <t xml:space="preserve">Table 10.  2014 Lost Revenues Work Form </t>
  </si>
  <si>
    <t xml:space="preserve">LDC to adjust the rate allocations by class (columns h to n).  Please insert IESO verified savings for applicable programs (columns f to g).  </t>
  </si>
  <si>
    <t>Adjustments will apply to the year that LRAM is claimed.</t>
  </si>
  <si>
    <t>Please see revised LRAM policy related to peak demand savings, issued by the OEB in EB-2016-0182.</t>
  </si>
  <si>
    <t>Annual Net Peak Savings (MW)</t>
  </si>
  <si>
    <t>Annual Net Energy Savings (GWh)</t>
  </si>
  <si>
    <r>
      <rPr>
        <b/>
        <sz val="11"/>
        <rFont val="Arial"/>
        <family val="2"/>
      </rPr>
      <t>Tables 19 and 20</t>
    </r>
    <r>
      <rPr>
        <sz val="11"/>
        <rFont val="Arial"/>
        <family val="2"/>
      </rPr>
      <t xml:space="preserve"> includes the carrying charges related to the LRAMVA claim that is being made.</t>
    </r>
  </si>
  <si>
    <t>LDCs are only eligible to apply for lost revenues until they have rebased.  Lost revenues for the period prior to rebasing should be included within the LDCs load forecast on a go forward basis.</t>
  </si>
  <si>
    <t>User Inputs (Green)</t>
  </si>
  <si>
    <t xml:space="preserve">Approved Deferral and Variance Accounts </t>
  </si>
  <si>
    <t>2015 Q3</t>
  </si>
  <si>
    <t>2015 Q4</t>
  </si>
  <si>
    <t>2011-2012</t>
  </si>
  <si>
    <t>2011-2013</t>
  </si>
  <si>
    <t>2011-2014</t>
  </si>
  <si>
    <t>2011-2015</t>
  </si>
  <si>
    <t>Check OEB website</t>
  </si>
  <si>
    <t>Interest for CDM year</t>
  </si>
  <si>
    <t>Please note that the carrying charges below pertain to the amount credited or debited to ratepayers based on how much was originally collected from the interest on the load forecast.  As the amounts shown are running totals, please clear the yearly amounts once the LRAM claims are approved in order to cancel prior year interest collections.</t>
  </si>
  <si>
    <t>File Name</t>
  </si>
  <si>
    <t>2011-2016</t>
  </si>
  <si>
    <t>2011-2017</t>
  </si>
  <si>
    <t>2011-2018</t>
  </si>
  <si>
    <t>2011-2019</t>
  </si>
  <si>
    <t>2011-2020</t>
  </si>
  <si>
    <t>Total for fiscal year 2011</t>
  </si>
  <si>
    <t>Total for fiscal year 2012</t>
  </si>
  <si>
    <t>Total for fiscal year 2013</t>
  </si>
  <si>
    <t>Total for fiscal year 2017</t>
  </si>
  <si>
    <t>Total for fiscal year 2018</t>
  </si>
  <si>
    <t>Total for fiscal year 2019</t>
  </si>
  <si>
    <t>Total for fiscal year 2020</t>
  </si>
  <si>
    <t>Opening Balance for fiscal year 2012</t>
  </si>
  <si>
    <t>Opening Balance for fiscal year 2013</t>
  </si>
  <si>
    <t>Opening Balance for fiscal year 2014</t>
  </si>
  <si>
    <t>Opening Balance for fiscal year 2015</t>
  </si>
  <si>
    <t>Opening Balance for fiscal year 2016</t>
  </si>
  <si>
    <t>Opening Balance for fiscal year 2017</t>
  </si>
  <si>
    <t>Opening Balance for fiscal year 2018</t>
  </si>
  <si>
    <t>Opening Balance for fiscal year 2019</t>
  </si>
  <si>
    <t>Total for fiscal year 2014</t>
  </si>
  <si>
    <t>Total for fiscal year 2015</t>
  </si>
  <si>
    <t>Total for fiscal year 2016</t>
  </si>
  <si>
    <t>Opening Balance for fiscal year 2020</t>
  </si>
  <si>
    <t>Instruction</t>
  </si>
  <si>
    <t>Last Cost of Service Application (File No.)</t>
  </si>
  <si>
    <t>Amount of LRAM claimed in the past</t>
  </si>
  <si>
    <t>kWh to kW Ratio</t>
  </si>
  <si>
    <t>kWh to kW  Ratio</t>
  </si>
  <si>
    <r>
      <t xml:space="preserve">Weather Normal Billed kWh </t>
    </r>
    <r>
      <rPr>
        <sz val="11"/>
        <color rgb="FFFF0000"/>
        <rFont val="Arial"/>
        <family val="2"/>
      </rPr>
      <t>(Insert Year)</t>
    </r>
  </si>
  <si>
    <r>
      <t xml:space="preserve">Weather Normal Billed kW </t>
    </r>
    <r>
      <rPr>
        <sz val="11"/>
        <color rgb="FFFF0000"/>
        <rFont val="Arial"/>
        <family val="2"/>
      </rPr>
      <t>(Insert Year)</t>
    </r>
  </si>
  <si>
    <t>Table 3.  Allocation of CDM Savings (Energy and Demand Billed) by Rate Class in Approved Load Forecast</t>
  </si>
  <si>
    <t>Rate Year</t>
  </si>
  <si>
    <t xml:space="preserve">Tables 3A:  CDM Adjustment as Approved in Cost of Service Application </t>
  </si>
  <si>
    <t>LDCs to update the rate classes as appropriate below depending on the utility's customer mix.</t>
  </si>
  <si>
    <t>General Service 
&lt; 50 kW</t>
  </si>
  <si>
    <t>Amount of LRAMVA to claim</t>
  </si>
  <si>
    <t>Table 6.  Summary Table: Average Distribution Volumetric Rates by Year for LRAM Calculation</t>
  </si>
  <si>
    <t xml:space="preserve">Table 4.  Forecast Lost Revenue Amounts by Rate Class </t>
  </si>
  <si>
    <r>
      <t xml:space="preserve">Alternatively, LDCs may want to link this spreadsheet to their CDM savings allocation (e.g. appended as another tab in this workbook) to fill in </t>
    </r>
    <r>
      <rPr>
        <b/>
        <sz val="11"/>
        <rFont val="Arial"/>
        <family val="2"/>
      </rPr>
      <t>Tables 2, 3 and 4</t>
    </r>
    <r>
      <rPr>
        <sz val="11"/>
        <rFont val="Arial"/>
        <family val="2"/>
      </rPr>
      <t xml:space="preserve"> below.</t>
    </r>
  </si>
  <si>
    <t>The following LRAM work forms apply to LDCs that need to recover lost revenues from the 2011-2014 period.</t>
  </si>
  <si>
    <r>
      <t xml:space="preserve">This workbook contains links from </t>
    </r>
    <r>
      <rPr>
        <b/>
        <sz val="11"/>
        <rFont val="Arial"/>
        <family val="2"/>
      </rPr>
      <t>Tab 3</t>
    </r>
    <r>
      <rPr>
        <sz val="11"/>
        <rFont val="Arial"/>
        <family val="2"/>
      </rPr>
      <t xml:space="preserve"> (Distribution Rates) and </t>
    </r>
    <r>
      <rPr>
        <b/>
        <sz val="11"/>
        <rFont val="Arial"/>
        <family val="2"/>
      </rPr>
      <t>Tab 5</t>
    </r>
    <r>
      <rPr>
        <sz val="11"/>
        <rFont val="Arial"/>
        <family val="2"/>
      </rPr>
      <t xml:space="preserve"> (Persistence Rates).</t>
    </r>
  </si>
  <si>
    <t>2011 Savings Persisting in 2015</t>
  </si>
  <si>
    <t>2011 Savings Persisting in 2016</t>
  </si>
  <si>
    <t>2011 Savings Persisting in 2017</t>
  </si>
  <si>
    <t>2011 Savings Persisting in 2018</t>
  </si>
  <si>
    <t>2011 Savings Persisting in 2019</t>
  </si>
  <si>
    <t>2011 Savings Persisting in 2020</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</si>
  <si>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</si>
  <si>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</si>
  <si>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</si>
  <si>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</si>
  <si>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</si>
  <si>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</si>
  <si>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</si>
  <si>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</si>
  <si>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</si>
  <si>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</si>
  <si>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</si>
  <si>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</si>
  <si>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</si>
  <si>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</si>
  <si>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</si>
  <si>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</si>
  <si>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</si>
  <si>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</si>
  <si>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Years of LRAM Claimed</t>
  </si>
  <si>
    <t>update</t>
  </si>
  <si>
    <t>Inputs</t>
  </si>
  <si>
    <t>Outputs</t>
  </si>
  <si>
    <t>Forecast revenues lost</t>
  </si>
  <si>
    <t>Tab 1</t>
  </si>
  <si>
    <t>Actual revenues lost</t>
  </si>
  <si>
    <t>Carrying charges by rate class</t>
  </si>
  <si>
    <t>Carrying charges</t>
  </si>
  <si>
    <t>x</t>
  </si>
  <si>
    <t>Average distribution rates</t>
  </si>
  <si>
    <t>-----------------------&gt;</t>
  </si>
  <si>
    <t>Tab 2</t>
  </si>
  <si>
    <t>Tab 7</t>
  </si>
  <si>
    <t>Program LRAM amounts ($) from current and prior year savings</t>
  </si>
  <si>
    <t>Persistence rates</t>
  </si>
  <si>
    <t>Prior year kwh or kW savings</t>
  </si>
  <si>
    <r>
      <rPr>
        <b/>
        <sz val="11"/>
        <rFont val="Arial"/>
        <family val="2"/>
      </rPr>
      <t>Table 1</t>
    </r>
    <r>
      <rPr>
        <sz val="11"/>
        <rFont val="Arial"/>
        <family val="2"/>
      </rPr>
      <t xml:space="preserve"> provides a summary of the LRAMVA balances and carrying charges associated with the LRAMVA claim. The balances are populated from entries into other tabs throughout this work form.</t>
    </r>
  </si>
  <si>
    <r>
      <rPr>
        <b/>
        <sz val="11"/>
        <rFont val="Arial"/>
        <family val="2"/>
      </rPr>
      <t>Tables 7, 8, 9 and 10</t>
    </r>
    <r>
      <rPr>
        <sz val="11"/>
        <rFont val="Arial"/>
        <family val="2"/>
      </rPr>
      <t xml:space="preserve"> includes 2011-2014 LRAMVA work forms.  These should only be used if the LDC has not applied for approval of these amounts.</t>
    </r>
  </si>
  <si>
    <t>CDM savings allocated  by rate class</t>
  </si>
  <si>
    <t xml:space="preserve">CDM savings and LRAMVA amounts by program  </t>
  </si>
  <si>
    <t>IESO CDM Savings Results (kWh, kW saved)</t>
  </si>
  <si>
    <t xml:space="preserve">CDM Savings allocated (%) by class </t>
  </si>
  <si>
    <t>Included for completeness. However, these sheets do not require filling out for 2017 cost of service applications</t>
  </si>
  <si>
    <t>Recovery Period of LRAMVA Claim</t>
  </si>
  <si>
    <t>6.  Persistence Rates</t>
  </si>
  <si>
    <t>5-b. 2016 LRAM</t>
  </si>
  <si>
    <t>5-c.  2017 LRAM</t>
  </si>
  <si>
    <t>5-d.  2018 LRAM</t>
  </si>
  <si>
    <t>5-e.  2019 LRAM</t>
  </si>
  <si>
    <t>5-f.  2020 LRAM</t>
  </si>
  <si>
    <t>Tab 6</t>
  </si>
  <si>
    <t>Table11-a.  2015 LRAM Work Form</t>
  </si>
  <si>
    <t>Table1-b.  2016 LRAM Work Form</t>
  </si>
  <si>
    <t>Table 11-c.  2017 LRAM Work Form</t>
  </si>
  <si>
    <t>Table 11-d.  2018 LRAM Work Form</t>
  </si>
  <si>
    <t>Table 11-e.  2018 LRAM Work Form</t>
  </si>
  <si>
    <t>Table 11-f.  2018 LRAM Work Form</t>
  </si>
  <si>
    <r>
      <rPr>
        <b/>
        <sz val="11"/>
        <rFont val="Arial"/>
        <family val="2"/>
      </rPr>
      <t>Table 11-a</t>
    </r>
    <r>
      <rPr>
        <sz val="11"/>
        <rFont val="Arial"/>
        <family val="2"/>
      </rPr>
      <t xml:space="preserve"> includes a template workform for calculating 2015 lost revenues based on legacy and new programs.</t>
    </r>
  </si>
  <si>
    <r>
      <rPr>
        <b/>
        <sz val="11"/>
        <rFont val="Arial"/>
        <family val="2"/>
      </rPr>
      <t>Table 11-b</t>
    </r>
    <r>
      <rPr>
        <sz val="11"/>
        <rFont val="Arial"/>
        <family val="2"/>
      </rPr>
      <t xml:space="preserve"> includes a template workform for calculating 2016 lost revenues based on legacy and new programs.</t>
    </r>
  </si>
  <si>
    <r>
      <rPr>
        <b/>
        <sz val="11"/>
        <rFont val="Arial"/>
        <family val="2"/>
      </rPr>
      <t>Table 11-c</t>
    </r>
    <r>
      <rPr>
        <sz val="11"/>
        <rFont val="Arial"/>
        <family val="2"/>
      </rPr>
      <t xml:space="preserve"> includes a template workform for calculating 2017 lost revenues based on legacy and new programs.</t>
    </r>
  </si>
  <si>
    <r>
      <rPr>
        <b/>
        <sz val="11"/>
        <rFont val="Arial"/>
        <family val="2"/>
      </rPr>
      <t>Table 11-d</t>
    </r>
    <r>
      <rPr>
        <sz val="11"/>
        <rFont val="Arial"/>
        <family val="2"/>
      </rPr>
      <t xml:space="preserve"> includes a template workform for calculating 2018 lost revenues based on legacy and new programs.</t>
    </r>
  </si>
  <si>
    <r>
      <rPr>
        <b/>
        <sz val="11"/>
        <rFont val="Arial"/>
        <family val="2"/>
      </rPr>
      <t>Table 11-e</t>
    </r>
    <r>
      <rPr>
        <sz val="11"/>
        <rFont val="Arial"/>
        <family val="2"/>
      </rPr>
      <t xml:space="preserve"> includes a template workform for calculating 2019 lost revenues based on legacy and new programs.</t>
    </r>
  </si>
  <si>
    <r>
      <rPr>
        <b/>
        <sz val="11"/>
        <rFont val="Arial"/>
        <family val="2"/>
      </rPr>
      <t xml:space="preserve">Table 11-f </t>
    </r>
    <r>
      <rPr>
        <sz val="11"/>
        <rFont val="Arial"/>
        <family val="2"/>
      </rPr>
      <t>includes a template workform for calculating 2020 lost revenues based on legacy and new programs.</t>
    </r>
  </si>
  <si>
    <r>
      <t xml:space="preserve">This workbook contains links from </t>
    </r>
    <r>
      <rPr>
        <b/>
        <sz val="11"/>
        <rFont val="Arial"/>
        <family val="2"/>
      </rPr>
      <t>Tab 3</t>
    </r>
    <r>
      <rPr>
        <sz val="11"/>
        <rFont val="Arial"/>
        <family val="2"/>
      </rPr>
      <t xml:space="preserve"> (Distribution Rates) and </t>
    </r>
    <r>
      <rPr>
        <b/>
        <sz val="11"/>
        <rFont val="Arial"/>
        <family val="2"/>
      </rPr>
      <t>Tab 6</t>
    </r>
    <r>
      <rPr>
        <sz val="11"/>
        <rFont val="Arial"/>
        <family val="2"/>
      </rPr>
      <t xml:space="preserve"> (Persistence Rates).</t>
    </r>
  </si>
  <si>
    <t xml:space="preserve">Table 12.  Determination of 2011-2014 Persistence Rates </t>
  </si>
  <si>
    <t xml:space="preserve">Table 13.  Determination of 2015-2020 Persistence Rates </t>
  </si>
  <si>
    <r>
      <rPr>
        <b/>
        <sz val="11"/>
        <rFont val="Arial"/>
        <family val="2"/>
      </rPr>
      <t>Tables 12 and 13</t>
    </r>
    <r>
      <rPr>
        <sz val="11"/>
        <rFont val="Arial"/>
        <family val="2"/>
      </rPr>
      <t xml:space="preserve"> includes the 2011-2014 persistence factors and 2015-2020 persistance factors.</t>
    </r>
  </si>
  <si>
    <t>Table 14:  Prescribed Interest Rates</t>
  </si>
  <si>
    <t>Table 15:  Calculation of Carrying Costs by Rate Class</t>
  </si>
  <si>
    <r>
      <t>The persistence factors will autopopulate on the LRAM forms</t>
    </r>
    <r>
      <rPr>
        <b/>
        <sz val="11"/>
        <rFont val="Arial"/>
        <family val="2"/>
      </rPr>
      <t>.</t>
    </r>
  </si>
  <si>
    <r>
      <rPr>
        <b/>
        <sz val="11"/>
        <color theme="1"/>
        <rFont val="Arial"/>
        <family val="2"/>
      </rPr>
      <t>General Note on the LRAMVA Model</t>
    </r>
    <r>
      <rPr>
        <sz val="11"/>
        <color theme="1"/>
        <rFont val="Arial"/>
        <family val="2"/>
      </rPr>
      <t xml:space="preserve">
The LRAMVA model consolidates information that LDCs are already required to file with the OEB.  The model has been created to provide LDCs with a consistent format to display CDM impacts, the CDM component of the load forecast and ultimately, any variance between actual CDM savings and the CDM component of the load forecast.  The majority of the information required in the LRAMVA work form will be provided to LDCs from the IESO as part of the Final CDM Results each year.    </t>
    </r>
  </si>
  <si>
    <t>Tab 4, 5</t>
  </si>
  <si>
    <t>Tab 4, 6</t>
  </si>
  <si>
    <t xml:space="preserve">LDCs can apply for disposition of LRAMVA amounts at any time, but at a minimum, must do so as part of a Cost of Service application. </t>
  </si>
  <si>
    <t>Lost revenues for the period prior to rebasing should be included within the LDCs load forecast on a go forward basis, negating the need for perpetual LRAMVA claims related to persisting savings from historic programs.</t>
  </si>
  <si>
    <r>
      <t xml:space="preserve">Please update the carrying charges in </t>
    </r>
    <r>
      <rPr>
        <b/>
        <sz val="11"/>
        <rFont val="Arial"/>
        <family val="2"/>
      </rPr>
      <t>Table 14</t>
    </r>
    <r>
      <rPr>
        <sz val="11"/>
        <rFont val="Arial"/>
        <family val="2"/>
      </rPr>
      <t xml:space="preserve">.  The interest amounts per year will autopopulate in the LRAMVA Summary Table in </t>
    </r>
    <r>
      <rPr>
        <b/>
        <sz val="11"/>
        <rFont val="Arial"/>
        <family val="2"/>
      </rPr>
      <t>Tab 1</t>
    </r>
    <r>
      <rPr>
        <sz val="11"/>
        <rFont val="Arial"/>
        <family val="2"/>
      </rPr>
      <t xml:space="preserve">. </t>
    </r>
  </si>
  <si>
    <t>To apply persistence factors to previous year's savings, this can be determined by taking the ratio of verified savings to the savings that occurred in the first year the program began.   Please update the summary tables (highlighted blue boxes) with the verified results provided by the IESO.  For 2011-2014 programs, these tables refer to Tables 4 and 5 (Summary Achievement Against CDM Targets).  The verified results include adjustments. In the event that an LDC uses initiative level persistence, the LDC must provide these calculations in a new table below those provided here.</t>
  </si>
  <si>
    <t>Total GS &gt; 50 kW (excludes Building Commissioning)</t>
  </si>
  <si>
    <t>5.  2015 LRAM</t>
  </si>
  <si>
    <r>
      <t xml:space="preserve">An example template is provided below and can be filled in if it is applicable to the LDC.  The LDC may re-populate CDM savings by rate class for historical years based on past year's approved cost of service application, or relevant information from </t>
    </r>
    <r>
      <rPr>
        <b/>
        <sz val="11"/>
        <rFont val="Arial"/>
        <family val="2"/>
      </rPr>
      <t>Appendix 2-I.</t>
    </r>
  </si>
  <si>
    <t>Table 2.   Amount used for CDM Threshold for LRAMVA</t>
  </si>
  <si>
    <t>Total kWh (excludes DR)</t>
  </si>
  <si>
    <r>
      <t xml:space="preserve">This is a summary sheet that contains the final LRAMVA balances with links from </t>
    </r>
    <r>
      <rPr>
        <b/>
        <sz val="11"/>
        <rFont val="Arial"/>
        <family val="2"/>
      </rPr>
      <t>Tabs 2, 4, 5 and 7.</t>
    </r>
  </si>
  <si>
    <r>
      <t xml:space="preserve">Please update </t>
    </r>
    <r>
      <rPr>
        <b/>
        <sz val="11"/>
        <rFont val="Arial"/>
        <family val="2"/>
      </rPr>
      <t>Table 5</t>
    </r>
    <r>
      <rPr>
        <sz val="11"/>
        <rFont val="Arial"/>
        <family val="2"/>
      </rPr>
      <t xml:space="preserve"> with the approved distribution rates for the utility's respective rate classes.  The applicable rates to estimate lost revenues will autopopulate in </t>
    </r>
    <r>
      <rPr>
        <b/>
        <sz val="11"/>
        <rFont val="Arial"/>
        <family val="2"/>
      </rPr>
      <t xml:space="preserve">Table 6 </t>
    </r>
    <r>
      <rPr>
        <sz val="11"/>
        <rFont val="Arial"/>
        <family val="2"/>
      </rPr>
      <t xml:space="preserve">and be used in the LRAM Work Sheets </t>
    </r>
    <r>
      <rPr>
        <b/>
        <sz val="11"/>
        <rFont val="Arial"/>
        <family val="2"/>
      </rPr>
      <t xml:space="preserve">(Tab 4 and Tab 5) </t>
    </r>
    <r>
      <rPr>
        <sz val="11"/>
        <rFont val="Arial"/>
        <family val="2"/>
      </rPr>
      <t xml:space="preserve">for the applicable year in which LRAM is claimed. </t>
    </r>
  </si>
  <si>
    <t>EB-2016-0088</t>
  </si>
  <si>
    <t>2011 - 2014</t>
  </si>
  <si>
    <t>EB-2013-0147</t>
  </si>
  <si>
    <t>General Service &gt; 50 kW</t>
  </si>
  <si>
    <t>EB-2009-0267</t>
  </si>
  <si>
    <t>EB-2010-0094</t>
  </si>
  <si>
    <t>EB-2011-0179</t>
  </si>
  <si>
    <t>EB-2012-0143</t>
  </si>
  <si>
    <t>EB-2014-0089</t>
  </si>
  <si>
    <t>EB-2015-0084</t>
  </si>
  <si>
    <t>May 1, 2011
to
Apr 30, 2012</t>
  </si>
  <si>
    <t>May 1, 2012
to
Apr 30, 2013</t>
  </si>
  <si>
    <t>May 1, 2013
to
Dec 31, 2013</t>
  </si>
  <si>
    <t>Jan 1, 2014
to
Dec 31, 2014</t>
  </si>
  <si>
    <t>Jan 1, 2015
to
Dec 31, 2015</t>
  </si>
  <si>
    <t>Jan 1, 2016
to
Dec 31, 2016</t>
  </si>
  <si>
    <t>General Service &gt; 50</t>
  </si>
  <si>
    <r>
      <t xml:space="preserve">Weather Normal Billed kWh </t>
    </r>
    <r>
      <rPr>
        <sz val="11"/>
        <color rgb="FFFF0000"/>
        <rFont val="Arial"/>
        <family val="2"/>
      </rPr>
      <t>(2014)</t>
    </r>
  </si>
</sst>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8" formatCode="&quot;$&quot;#,##0.00_);[Red]\(&quot;$&quot;#,##0.0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
    <numFmt numFmtId="167" formatCode="&quot;$&quot;#,##0.0000"/>
    <numFmt numFmtId="168" formatCode="&quot;$&quot;#,##0.00"/>
    <numFmt numFmtId="169" formatCode="0.0_);[Red]\(0.0\)"/>
    <numFmt numFmtId="170" formatCode="&quot;$&quot;#,##0"/>
    <numFmt numFmtId="171" formatCode="0.000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s>
  <fonts count="86" x14ac:knownFonts="1">
    <font>
      <sz val="11"/>
      <color theme="1"/>
      <name val="Calibri"/>
      <family val="2"/>
      <scheme val="minor"/>
    </font>
    <font>
      <sz val="11"/>
      <color theme="1"/>
      <name val="Arial"/>
      <family val="2"/>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b/>
      <sz val="12"/>
      <color theme="1"/>
      <name val="Calibri"/>
      <family val="2"/>
      <scheme val="minor"/>
    </font>
    <font>
      <b/>
      <sz val="10"/>
      <color theme="1"/>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color rgb="FF0033CC"/>
      <name val="Arial"/>
      <family val="2"/>
    </font>
    <font>
      <b/>
      <sz val="10"/>
      <name val="Arial"/>
      <family val="2"/>
    </font>
    <font>
      <sz val="10"/>
      <name val="Arial"/>
      <family val="2"/>
    </font>
    <font>
      <b/>
      <sz val="11"/>
      <color rgb="FF0033CC"/>
      <name val="Calibri"/>
      <family val="2"/>
      <scheme val="minor"/>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sz val="10"/>
      <color rgb="FF0033CC"/>
      <name val="Calibri"/>
      <family val="2"/>
      <scheme val="minor"/>
    </font>
    <font>
      <sz val="10"/>
      <color rgb="FFFF0000"/>
      <name val="Calibri"/>
      <family val="2"/>
      <scheme val="minor"/>
    </font>
    <font>
      <b/>
      <i/>
      <sz val="14"/>
      <color theme="1"/>
      <name val="Calibri"/>
      <family val="2"/>
      <scheme val="minor"/>
    </font>
    <font>
      <sz val="10"/>
      <color theme="1"/>
      <name val="Arial"/>
      <family val="2"/>
    </font>
    <font>
      <sz val="10"/>
      <color rgb="FFFF0000"/>
      <name val="Arial"/>
      <family val="2"/>
    </font>
    <font>
      <sz val="11"/>
      <color rgb="FF0033CC"/>
      <name val="Calibri"/>
      <family val="2"/>
      <scheme val="minor"/>
    </font>
    <font>
      <sz val="9"/>
      <color rgb="FFFF0000"/>
      <name val="Arial"/>
      <family val="2"/>
    </font>
    <font>
      <sz val="9"/>
      <name val="Arial"/>
      <family val="2"/>
    </font>
    <font>
      <u/>
      <sz val="11"/>
      <color theme="10"/>
      <name val="Calibri"/>
      <family val="2"/>
      <scheme val="minor"/>
    </font>
    <font>
      <sz val="11"/>
      <name val="Calibri"/>
      <family val="2"/>
    </font>
    <font>
      <sz val="10"/>
      <color rgb="FF000000"/>
      <name val="Arial"/>
      <family val="2"/>
    </font>
    <font>
      <b/>
      <i/>
      <sz val="16"/>
      <color theme="1"/>
      <name val="Calibri"/>
      <family val="2"/>
      <scheme val="minor"/>
    </font>
    <font>
      <sz val="10"/>
      <color rgb="FF0033CC"/>
      <name val="Arial"/>
      <family val="2"/>
    </font>
    <font>
      <sz val="5.5"/>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u/>
      <sz val="11"/>
      <color theme="10"/>
      <name val="Arial"/>
      <family val="2"/>
    </font>
    <font>
      <sz val="11"/>
      <name val="Arial"/>
      <family val="2"/>
    </font>
    <font>
      <b/>
      <i/>
      <sz val="16"/>
      <color theme="1"/>
      <name val="Arial"/>
      <family val="2"/>
    </font>
    <font>
      <b/>
      <sz val="12"/>
      <name val="Arial"/>
      <family val="2"/>
    </font>
    <font>
      <sz val="12"/>
      <color theme="1"/>
      <name val="Arial"/>
      <family val="2"/>
    </font>
    <font>
      <b/>
      <sz val="10"/>
      <color theme="0"/>
      <name val="Arial"/>
      <family val="2"/>
    </font>
    <font>
      <b/>
      <sz val="11"/>
      <color rgb="FF0033CC"/>
      <name val="Arial"/>
      <family val="2"/>
    </font>
    <font>
      <b/>
      <i/>
      <sz val="14"/>
      <color theme="1"/>
      <name val="Arial"/>
      <family val="2"/>
    </font>
    <font>
      <b/>
      <i/>
      <sz val="12"/>
      <color theme="1"/>
      <name val="Arial"/>
      <family val="2"/>
    </font>
    <font>
      <sz val="11"/>
      <color rgb="FF000000"/>
      <name val="Arial"/>
      <family val="2"/>
    </font>
    <font>
      <b/>
      <sz val="11"/>
      <color theme="0"/>
      <name val="Arial"/>
      <family val="2"/>
    </font>
    <font>
      <b/>
      <i/>
      <sz val="16"/>
      <name val="Arial"/>
      <family val="2"/>
    </font>
    <font>
      <b/>
      <sz val="14"/>
      <color theme="1"/>
      <name val="Arial"/>
      <family val="2"/>
    </font>
    <font>
      <b/>
      <sz val="12"/>
      <color theme="1"/>
      <name val="Arial Black"/>
      <family val="2"/>
    </font>
    <font>
      <i/>
      <sz val="11"/>
      <name val="Arial"/>
      <family val="2"/>
    </font>
    <font>
      <sz val="11"/>
      <color theme="0"/>
      <name val="Arial"/>
      <family val="2"/>
    </font>
    <font>
      <b/>
      <sz val="11"/>
      <color theme="0" tint="-0.499984740745262"/>
      <name val="Arial"/>
      <family val="2"/>
    </font>
    <font>
      <sz val="11"/>
      <color rgb="FF0033CC"/>
      <name val="Arial"/>
      <family val="2"/>
    </font>
    <font>
      <b/>
      <sz val="11"/>
      <color rgb="FF000000"/>
      <name val="Arial"/>
      <family val="2"/>
    </font>
    <font>
      <sz val="9"/>
      <color theme="1"/>
      <name val="Arial"/>
      <family val="2"/>
    </font>
    <font>
      <b/>
      <sz val="13"/>
      <name val="Arial"/>
      <family val="2"/>
    </font>
    <font>
      <sz val="5.5"/>
      <name val="Arial"/>
      <family val="2"/>
    </font>
    <font>
      <b/>
      <sz val="5.5"/>
      <name val="Arial"/>
      <family val="2"/>
    </font>
    <font>
      <b/>
      <i/>
      <sz val="12"/>
      <name val="Arial"/>
      <family val="2"/>
    </font>
    <font>
      <sz val="11"/>
      <color rgb="FFFF0000"/>
      <name val="Arial"/>
      <family val="2"/>
    </font>
    <font>
      <b/>
      <sz val="10"/>
      <color rgb="FFFF0000"/>
      <name val="Arial"/>
      <family val="2"/>
    </font>
    <font>
      <b/>
      <i/>
      <sz val="11"/>
      <name val="Arial"/>
      <family val="2"/>
    </font>
    <font>
      <b/>
      <i/>
      <sz val="14"/>
      <name val="Arial"/>
      <family val="2"/>
    </font>
    <font>
      <b/>
      <i/>
      <sz val="14"/>
      <name val="Calibri"/>
      <family val="2"/>
      <scheme val="minor"/>
    </font>
    <font>
      <sz val="14"/>
      <color theme="1"/>
      <name val="Calibri"/>
      <family val="2"/>
      <scheme val="minor"/>
    </font>
  </fonts>
  <fills count="32">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4.9989318521683403E-2"/>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79998168889431442"/>
        <bgColor indexed="64"/>
      </patternFill>
    </fill>
  </fills>
  <borders count="95">
    <border>
      <left/>
      <right/>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rgb="FFFFFFFF"/>
      </right>
      <top style="medium">
        <color rgb="FFFFFFFF"/>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thin">
        <color indexed="64"/>
      </right>
      <top style="thin">
        <color indexed="64"/>
      </top>
      <bottom/>
      <diagonal/>
    </border>
    <border>
      <left/>
      <right/>
      <top style="hair">
        <color indexed="64"/>
      </top>
      <bottom/>
      <diagonal/>
    </border>
    <border>
      <left/>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right/>
      <top style="thin">
        <color theme="0"/>
      </top>
      <bottom/>
      <diagonal/>
    </border>
    <border>
      <left style="thin">
        <color theme="0"/>
      </left>
      <right style="thin">
        <color theme="0"/>
      </right>
      <top/>
      <bottom style="thin">
        <color theme="0"/>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bottom/>
      <diagonal/>
    </border>
    <border>
      <left style="thin">
        <color theme="0"/>
      </left>
      <right style="thin">
        <color indexed="64"/>
      </right>
      <top style="thin">
        <color theme="0"/>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theme="0"/>
      </right>
      <top/>
      <bottom style="thin">
        <color indexed="64"/>
      </bottom>
      <diagonal/>
    </border>
    <border>
      <left style="thin">
        <color theme="0"/>
      </left>
      <right style="thin">
        <color indexed="64"/>
      </right>
      <top style="thin">
        <color theme="0"/>
      </top>
      <bottom style="thin">
        <color theme="0"/>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hair">
        <color indexed="64"/>
      </left>
      <right style="thin">
        <color indexed="64"/>
      </right>
      <top/>
      <bottom style="hair">
        <color indexed="64"/>
      </bottom>
      <diagonal/>
    </border>
  </borders>
  <cellStyleXfs count="91">
    <xf numFmtId="0" fontId="0" fillId="0" borderId="0"/>
    <xf numFmtId="43" fontId="16" fillId="0" borderId="0" applyFont="0" applyFill="0" applyBorder="0" applyAlignment="0" applyProtection="0"/>
    <xf numFmtId="43" fontId="18" fillId="0" borderId="0" applyFont="0" applyFill="0" applyBorder="0" applyAlignment="0" applyProtection="0"/>
    <xf numFmtId="43" fontId="16" fillId="0" borderId="0" applyFont="0" applyFill="0" applyBorder="0" applyAlignment="0" applyProtection="0"/>
    <xf numFmtId="44" fontId="16" fillId="0" borderId="0" applyFont="0" applyFill="0" applyBorder="0" applyAlignment="0" applyProtection="0"/>
    <xf numFmtId="0" fontId="16" fillId="0" borderId="0"/>
    <xf numFmtId="0" fontId="18" fillId="0" borderId="0"/>
    <xf numFmtId="0" fontId="16" fillId="0" borderId="0"/>
    <xf numFmtId="9" fontId="16"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16" applyNumberFormat="0" applyAlignment="0" applyProtection="0"/>
    <xf numFmtId="0" fontId="23" fillId="22" borderId="17" applyNumberFormat="0" applyAlignment="0" applyProtection="0"/>
    <xf numFmtId="165" fontId="16" fillId="0" borderId="0" applyFont="0" applyFill="0" applyBorder="0" applyAlignment="0" applyProtection="0"/>
    <xf numFmtId="165" fontId="16" fillId="0" borderId="0" applyFont="0" applyFill="0" applyBorder="0" applyAlignment="0" applyProtection="0"/>
    <xf numFmtId="165" fontId="9" fillId="0" borderId="0" applyFont="0" applyFill="0" applyBorder="0" applyAlignment="0" applyProtection="0"/>
    <xf numFmtId="0" fontId="25" fillId="0" borderId="0" applyNumberFormat="0" applyFill="0" applyBorder="0" applyAlignment="0" applyProtection="0"/>
    <xf numFmtId="0" fontId="26" fillId="5" borderId="0" applyNumberFormat="0" applyBorder="0" applyAlignment="0" applyProtection="0"/>
    <xf numFmtId="0" fontId="27" fillId="0" borderId="18" applyNumberFormat="0" applyFill="0" applyAlignment="0" applyProtection="0"/>
    <xf numFmtId="0" fontId="28" fillId="0" borderId="19" applyNumberFormat="0" applyFill="0" applyAlignment="0" applyProtection="0"/>
    <xf numFmtId="0" fontId="29" fillId="0" borderId="20" applyNumberFormat="0" applyFill="0" applyAlignment="0" applyProtection="0"/>
    <xf numFmtId="0" fontId="29" fillId="0" borderId="0" applyNumberFormat="0" applyFill="0" applyBorder="0" applyAlignment="0" applyProtection="0"/>
    <xf numFmtId="0" fontId="30" fillId="8" borderId="16" applyNumberFormat="0" applyAlignment="0" applyProtection="0"/>
    <xf numFmtId="0" fontId="31" fillId="0" borderId="21" applyNumberFormat="0" applyFill="0" applyAlignment="0" applyProtection="0"/>
    <xf numFmtId="0" fontId="32" fillId="23" borderId="0" applyNumberFormat="0" applyBorder="0" applyAlignment="0" applyProtection="0"/>
    <xf numFmtId="0" fontId="24" fillId="0" borderId="0"/>
    <xf numFmtId="0" fontId="24" fillId="0" borderId="0"/>
    <xf numFmtId="0" fontId="9" fillId="0" borderId="0"/>
    <xf numFmtId="0" fontId="16" fillId="0" borderId="0"/>
    <xf numFmtId="0" fontId="9" fillId="0" borderId="0"/>
    <xf numFmtId="0" fontId="16" fillId="24" borderId="22" applyNumberFormat="0" applyFont="0" applyAlignment="0" applyProtection="0"/>
    <xf numFmtId="0" fontId="16" fillId="24" borderId="22" applyNumberFormat="0" applyFont="0" applyAlignment="0" applyProtection="0"/>
    <xf numFmtId="0" fontId="33" fillId="21" borderId="23" applyNumberFormat="0" applyAlignment="0" applyProtection="0"/>
    <xf numFmtId="9" fontId="9" fillId="0" borderId="0" applyFont="0" applyFill="0" applyBorder="0" applyAlignment="0" applyProtection="0"/>
    <xf numFmtId="0" fontId="16" fillId="25" borderId="2" applyNumberFormat="0" applyProtection="0">
      <alignment horizontal="left" vertical="center"/>
    </xf>
    <xf numFmtId="0" fontId="16" fillId="25" borderId="2" applyNumberFormat="0" applyProtection="0">
      <alignment horizontal="left" vertical="center"/>
    </xf>
    <xf numFmtId="0" fontId="34" fillId="0" borderId="0" applyNumberFormat="0" applyFill="0" applyBorder="0" applyAlignment="0" applyProtection="0"/>
    <xf numFmtId="0" fontId="35" fillId="0" borderId="24" applyNumberFormat="0" applyFill="0" applyAlignment="0" applyProtection="0"/>
    <xf numFmtId="0" fontId="36" fillId="0" borderId="0" applyNumberFormat="0" applyFill="0" applyBorder="0" applyAlignment="0" applyProtection="0"/>
    <xf numFmtId="0" fontId="22" fillId="21" borderId="25" applyNumberFormat="0" applyAlignment="0" applyProtection="0"/>
    <xf numFmtId="0" fontId="30" fillId="8" borderId="25" applyNumberFormat="0" applyAlignment="0" applyProtection="0"/>
    <xf numFmtId="0" fontId="16" fillId="24" borderId="26" applyNumberFormat="0" applyFont="0" applyAlignment="0" applyProtection="0"/>
    <xf numFmtId="0" fontId="16" fillId="24" borderId="26" applyNumberFormat="0" applyFont="0" applyAlignment="0" applyProtection="0"/>
    <xf numFmtId="0" fontId="33" fillId="21" borderId="27" applyNumberFormat="0" applyAlignment="0" applyProtection="0"/>
    <xf numFmtId="0" fontId="35" fillId="0" borderId="28" applyNumberFormat="0" applyFill="0" applyAlignment="0" applyProtection="0"/>
    <xf numFmtId="164"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46" fillId="0" borderId="0" applyNumberFormat="0" applyFill="0" applyBorder="0" applyAlignment="0" applyProtection="0"/>
    <xf numFmtId="0" fontId="9" fillId="0" borderId="0"/>
    <xf numFmtId="9" fontId="9" fillId="0" borderId="0" applyFont="0" applyFill="0" applyBorder="0" applyAlignment="0" applyProtection="0"/>
    <xf numFmtId="0" fontId="16" fillId="25" borderId="37" applyNumberFormat="0" applyProtection="0">
      <alignment horizontal="left" vertical="center"/>
    </xf>
    <xf numFmtId="0" fontId="16" fillId="25" borderId="37" applyNumberFormat="0" applyProtection="0">
      <alignment horizontal="left" vertical="center"/>
    </xf>
    <xf numFmtId="0" fontId="22" fillId="21" borderId="30" applyNumberFormat="0" applyAlignment="0" applyProtection="0"/>
    <xf numFmtId="0" fontId="30" fillId="8" borderId="30" applyNumberFormat="0" applyAlignment="0" applyProtection="0"/>
    <xf numFmtId="0" fontId="16" fillId="24" borderId="31" applyNumberFormat="0" applyFont="0" applyAlignment="0" applyProtection="0"/>
    <xf numFmtId="0" fontId="16" fillId="24" borderId="31" applyNumberFormat="0" applyFont="0" applyAlignment="0" applyProtection="0"/>
    <xf numFmtId="0" fontId="33" fillId="21" borderId="32" applyNumberFormat="0" applyAlignment="0" applyProtection="0"/>
    <xf numFmtId="0" fontId="35" fillId="0" borderId="33" applyNumberFormat="0" applyFill="0" applyAlignment="0" applyProtection="0"/>
    <xf numFmtId="0" fontId="22" fillId="21" borderId="30" applyNumberFormat="0" applyAlignment="0" applyProtection="0"/>
    <xf numFmtId="0" fontId="30" fillId="8" borderId="30" applyNumberFormat="0" applyAlignment="0" applyProtection="0"/>
    <xf numFmtId="0" fontId="16" fillId="24" borderId="31" applyNumberFormat="0" applyFont="0" applyAlignment="0" applyProtection="0"/>
    <xf numFmtId="0" fontId="16" fillId="24" borderId="31" applyNumberFormat="0" applyFont="0" applyAlignment="0" applyProtection="0"/>
    <xf numFmtId="0" fontId="33" fillId="21" borderId="32" applyNumberFormat="0" applyAlignment="0" applyProtection="0"/>
    <xf numFmtId="0" fontId="35" fillId="0" borderId="33" applyNumberFormat="0" applyFill="0" applyAlignment="0" applyProtection="0"/>
    <xf numFmtId="43" fontId="9" fillId="0" borderId="0" applyFont="0" applyFill="0" applyBorder="0" applyAlignment="0" applyProtection="0"/>
  </cellStyleXfs>
  <cellXfs count="647">
    <xf numFmtId="0" fontId="0" fillId="0" borderId="0" xfId="0"/>
    <xf numFmtId="0" fontId="11" fillId="2" borderId="0" xfId="0" applyFont="1" applyFill="1" applyBorder="1" applyAlignment="1">
      <alignment horizontal="right" vertical="top"/>
    </xf>
    <xf numFmtId="0" fontId="0" fillId="2" borderId="0" xfId="0" applyFill="1"/>
    <xf numFmtId="0" fontId="3" fillId="2" borderId="0" xfId="0" applyFont="1" applyFill="1"/>
    <xf numFmtId="0" fontId="41" fillId="2" borderId="0" xfId="0" applyFont="1" applyFill="1"/>
    <xf numFmtId="0" fontId="6" fillId="2" borderId="0" xfId="0" applyFont="1" applyFill="1"/>
    <xf numFmtId="0" fontId="39" fillId="2" borderId="0" xfId="0" applyFont="1" applyFill="1"/>
    <xf numFmtId="0" fontId="42" fillId="2" borderId="0" xfId="0" applyFont="1" applyFill="1" applyAlignment="1"/>
    <xf numFmtId="0" fontId="10" fillId="2" borderId="0" xfId="0" applyFont="1" applyFill="1"/>
    <xf numFmtId="0" fontId="6" fillId="2" borderId="0" xfId="0" applyFont="1" applyFill="1" applyAlignment="1">
      <alignment wrapText="1"/>
    </xf>
    <xf numFmtId="171" fontId="16" fillId="2" borderId="0" xfId="0" applyNumberFormat="1" applyFont="1" applyFill="1" applyBorder="1" applyProtection="1"/>
    <xf numFmtId="0" fontId="45" fillId="2" borderId="0" xfId="0" applyFont="1" applyFill="1"/>
    <xf numFmtId="171" fontId="45" fillId="2" borderId="0" xfId="0" applyNumberFormat="1" applyFont="1" applyFill="1" applyBorder="1" applyProtection="1"/>
    <xf numFmtId="0" fontId="44" fillId="2" borderId="0" xfId="0" applyFont="1" applyFill="1" applyAlignment="1">
      <alignment vertical="center" wrapText="1"/>
    </xf>
    <xf numFmtId="0" fontId="2" fillId="2" borderId="0" xfId="0" applyFont="1" applyFill="1" applyBorder="1"/>
    <xf numFmtId="0" fontId="38" fillId="2" borderId="0" xfId="0" applyFont="1" applyFill="1"/>
    <xf numFmtId="0" fontId="8" fillId="2" borderId="0" xfId="0" applyFont="1" applyFill="1"/>
    <xf numFmtId="0" fontId="4" fillId="2" borderId="0" xfId="0" applyFont="1" applyFill="1"/>
    <xf numFmtId="0" fontId="0" fillId="2" borderId="0" xfId="0" applyFill="1" applyAlignment="1">
      <alignment wrapText="1"/>
    </xf>
    <xf numFmtId="0" fontId="37" fillId="2" borderId="0" xfId="0" applyFont="1" applyFill="1" applyAlignment="1">
      <alignment horizontal="center"/>
    </xf>
    <xf numFmtId="0" fontId="37" fillId="2" borderId="0" xfId="0" applyFont="1" applyFill="1" applyAlignment="1">
      <alignment horizontal="center" wrapText="1"/>
    </xf>
    <xf numFmtId="0" fontId="17" fillId="2" borderId="0" xfId="0" applyFont="1" applyFill="1"/>
    <xf numFmtId="0" fontId="16" fillId="2" borderId="2" xfId="53" applyFont="1" applyFill="1" applyBorder="1" applyAlignment="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0" fontId="2" fillId="2" borderId="0" xfId="0" applyFont="1" applyFill="1"/>
    <xf numFmtId="173" fontId="4" fillId="2" borderId="0" xfId="0" applyNumberFormat="1" applyFont="1" applyFill="1"/>
    <xf numFmtId="173" fontId="0" fillId="2" borderId="0" xfId="0" applyNumberFormat="1" applyFont="1" applyFill="1"/>
    <xf numFmtId="0" fontId="16" fillId="2" borderId="2" xfId="53" applyFont="1" applyFill="1" applyBorder="1" applyAlignment="1">
      <alignment horizontal="center"/>
    </xf>
    <xf numFmtId="2" fontId="16" fillId="2" borderId="2" xfId="53" applyNumberFormat="1" applyFont="1" applyFill="1" applyBorder="1" applyAlignment="1">
      <alignment horizontal="center"/>
    </xf>
    <xf numFmtId="0" fontId="16" fillId="2" borderId="0" xfId="53" applyFont="1" applyFill="1" applyBorder="1" applyAlignment="1">
      <alignment horizontal="center"/>
    </xf>
    <xf numFmtId="0" fontId="51" fillId="2" borderId="0" xfId="0" applyFont="1" applyFill="1" applyAlignment="1">
      <alignment vertical="top"/>
    </xf>
    <xf numFmtId="0" fontId="10" fillId="2" borderId="0" xfId="0" applyFont="1" applyFill="1" applyAlignment="1">
      <alignment vertical="top"/>
    </xf>
    <xf numFmtId="0" fontId="40" fillId="2" borderId="0" xfId="0" applyFont="1" applyFill="1" applyAlignment="1">
      <alignment horizontal="center" wrapText="1"/>
    </xf>
    <xf numFmtId="0" fontId="0" fillId="2" borderId="0" xfId="0" applyFont="1" applyFill="1" applyAlignment="1">
      <alignment wrapText="1"/>
    </xf>
    <xf numFmtId="0" fontId="47" fillId="2" borderId="0" xfId="0" applyFont="1" applyFill="1" applyBorder="1" applyAlignment="1">
      <alignment horizontal="left" vertical="center" wrapText="1"/>
    </xf>
    <xf numFmtId="0" fontId="47" fillId="2" borderId="0" xfId="0" applyFont="1" applyFill="1" applyBorder="1" applyAlignment="1">
      <alignment horizontal="center"/>
    </xf>
    <xf numFmtId="171" fontId="47" fillId="2" borderId="0" xfId="0" applyNumberFormat="1" applyFont="1" applyFill="1" applyBorder="1" applyAlignment="1" applyProtection="1">
      <alignment horizontal="center"/>
      <protection locked="0"/>
    </xf>
    <xf numFmtId="0" fontId="10" fillId="2" borderId="0" xfId="0" applyFont="1" applyFill="1" applyBorder="1"/>
    <xf numFmtId="0" fontId="0" fillId="2" borderId="0" xfId="0" applyFont="1" applyFill="1" applyAlignment="1">
      <alignment horizontal="center" wrapText="1"/>
    </xf>
    <xf numFmtId="0" fontId="43" fillId="2" borderId="0" xfId="0" applyFont="1" applyFill="1"/>
    <xf numFmtId="0" fontId="42" fillId="2" borderId="0" xfId="0" applyFont="1" applyFill="1" applyAlignment="1">
      <alignment vertical="center"/>
    </xf>
    <xf numFmtId="0" fontId="0" fillId="2" borderId="0" xfId="0" applyFill="1" applyBorder="1"/>
    <xf numFmtId="0" fontId="18" fillId="2" borderId="0" xfId="0" applyFont="1" applyFill="1"/>
    <xf numFmtId="0" fontId="40" fillId="2" borderId="0" xfId="0" applyFont="1" applyFill="1" applyAlignment="1">
      <alignment horizontal="center" wrapText="1"/>
    </xf>
    <xf numFmtId="0" fontId="10" fillId="2" borderId="0" xfId="0" applyFont="1" applyFill="1"/>
    <xf numFmtId="0" fontId="51" fillId="2" borderId="0" xfId="0" applyFont="1" applyFill="1" applyAlignment="1">
      <alignment vertical="top"/>
    </xf>
    <xf numFmtId="0" fontId="51" fillId="2" borderId="0" xfId="0" applyFont="1" applyFill="1" applyAlignment="1">
      <alignment vertical="top" wrapText="1"/>
    </xf>
    <xf numFmtId="0" fontId="10" fillId="2" borderId="0" xfId="0" applyFont="1" applyFill="1" applyAlignment="1">
      <alignment vertical="top"/>
    </xf>
    <xf numFmtId="0" fontId="51" fillId="2" borderId="0" xfId="0" applyFont="1" applyFill="1" applyAlignment="1">
      <alignment horizontal="center" vertical="top" wrapText="1"/>
    </xf>
    <xf numFmtId="8" fontId="5" fillId="2" borderId="0" xfId="0" applyNumberFormat="1" applyFont="1" applyFill="1" applyBorder="1" applyAlignment="1">
      <alignment horizontal="center"/>
    </xf>
    <xf numFmtId="8" fontId="4" fillId="2" borderId="0" xfId="0" applyNumberFormat="1" applyFont="1" applyFill="1" applyBorder="1" applyAlignment="1">
      <alignment horizontal="center"/>
    </xf>
    <xf numFmtId="0" fontId="0" fillId="2" borderId="0" xfId="0" applyFill="1" applyBorder="1" applyAlignment="1">
      <alignment horizontal="center"/>
    </xf>
    <xf numFmtId="0" fontId="3" fillId="2" borderId="0" xfId="0" applyFont="1" applyFill="1" applyBorder="1"/>
    <xf numFmtId="0" fontId="3" fillId="2" borderId="0" xfId="0" applyFont="1" applyFill="1" applyAlignment="1">
      <alignment horizontal="center"/>
    </xf>
    <xf numFmtId="3" fontId="3" fillId="2" borderId="0" xfId="0" applyNumberFormat="1" applyFont="1" applyFill="1"/>
    <xf numFmtId="3" fontId="4" fillId="2" borderId="0" xfId="0" applyNumberFormat="1" applyFont="1" applyFill="1" applyBorder="1" applyAlignment="1">
      <alignment horizontal="center"/>
    </xf>
    <xf numFmtId="0" fontId="3" fillId="2" borderId="0" xfId="0" applyFont="1" applyFill="1" applyAlignment="1">
      <alignment horizontal="left"/>
    </xf>
    <xf numFmtId="0" fontId="4" fillId="2" borderId="0" xfId="0" applyFont="1" applyFill="1" applyBorder="1" applyAlignment="1">
      <alignment horizontal="center" vertical="center"/>
    </xf>
    <xf numFmtId="0" fontId="40" fillId="2" borderId="0" xfId="0" applyFont="1" applyFill="1" applyAlignment="1">
      <alignment horizontal="center"/>
    </xf>
    <xf numFmtId="0" fontId="40" fillId="2" borderId="0" xfId="0" applyFont="1" applyFill="1" applyAlignment="1">
      <alignment horizontal="center" vertical="center"/>
    </xf>
    <xf numFmtId="0" fontId="40" fillId="2" borderId="0" xfId="0" applyFont="1" applyFill="1" applyAlignment="1">
      <alignment horizontal="center" wrapText="1"/>
    </xf>
    <xf numFmtId="0" fontId="18" fillId="2" borderId="0" xfId="0" applyFont="1" applyFill="1" applyAlignment="1">
      <alignment horizontal="center"/>
    </xf>
    <xf numFmtId="0" fontId="0" fillId="2" borderId="0" xfId="0" applyFont="1" applyFill="1" applyAlignment="1">
      <alignment horizontal="left"/>
    </xf>
    <xf numFmtId="0" fontId="52" fillId="2" borderId="0" xfId="0" applyFont="1" applyFill="1"/>
    <xf numFmtId="0" fontId="41" fillId="2" borderId="0" xfId="0" applyFont="1" applyFill="1" applyBorder="1" applyAlignment="1">
      <alignment horizontal="center"/>
    </xf>
    <xf numFmtId="0" fontId="0" fillId="2" borderId="0" xfId="0" applyFont="1" applyFill="1" applyBorder="1"/>
    <xf numFmtId="0" fontId="52" fillId="2" borderId="0" xfId="0" applyFont="1" applyFill="1" applyAlignment="1">
      <alignment horizontal="center"/>
    </xf>
    <xf numFmtId="0" fontId="57" fillId="2" borderId="0" xfId="0" applyFont="1" applyFill="1"/>
    <xf numFmtId="0" fontId="41" fillId="2" borderId="0" xfId="0" applyFont="1" applyFill="1" applyBorder="1" applyAlignment="1">
      <alignment horizontal="left" vertical="center"/>
    </xf>
    <xf numFmtId="174" fontId="48" fillId="0" borderId="0" xfId="40" applyNumberFormat="1" applyFont="1" applyFill="1" applyBorder="1" applyAlignment="1">
      <alignment horizontal="left" vertical="center" wrapText="1"/>
    </xf>
    <xf numFmtId="0" fontId="54" fillId="2" borderId="0" xfId="0" applyFont="1" applyFill="1" applyAlignment="1">
      <alignment horizontal="left"/>
    </xf>
    <xf numFmtId="170" fontId="52" fillId="2" borderId="2" xfId="0" applyNumberFormat="1" applyFont="1" applyFill="1" applyBorder="1" applyAlignment="1">
      <alignment horizontal="center"/>
    </xf>
    <xf numFmtId="170" fontId="52" fillId="2" borderId="37" xfId="0" applyNumberFormat="1" applyFont="1" applyFill="1" applyBorder="1" applyAlignment="1">
      <alignment horizontal="center"/>
    </xf>
    <xf numFmtId="0" fontId="49" fillId="2" borderId="0" xfId="0" applyFont="1" applyFill="1" applyBorder="1" applyAlignment="1">
      <alignment horizontal="left" vertical="center"/>
    </xf>
    <xf numFmtId="0" fontId="0" fillId="2" borderId="0" xfId="0" applyFont="1" applyFill="1" applyAlignment="1"/>
    <xf numFmtId="0" fontId="40" fillId="2" borderId="0" xfId="0" applyFont="1" applyFill="1" applyBorder="1" applyAlignment="1">
      <alignment vertical="center"/>
    </xf>
    <xf numFmtId="0" fontId="57" fillId="2" borderId="39" xfId="0" applyFont="1" applyFill="1" applyBorder="1" applyAlignment="1">
      <alignment horizontal="center"/>
    </xf>
    <xf numFmtId="0" fontId="41" fillId="2" borderId="0" xfId="0" applyFont="1" applyFill="1" applyAlignment="1">
      <alignment vertical="center"/>
    </xf>
    <xf numFmtId="0" fontId="0" fillId="2" borderId="0" xfId="0" applyFont="1" applyFill="1" applyAlignment="1">
      <alignment vertical="center"/>
    </xf>
    <xf numFmtId="0" fontId="53" fillId="2" borderId="0" xfId="0" applyFont="1" applyFill="1" applyBorder="1" applyAlignment="1"/>
    <xf numFmtId="0" fontId="52" fillId="2" borderId="0" xfId="0" applyFont="1" applyFill="1" applyAlignment="1">
      <alignment horizontal="left"/>
    </xf>
    <xf numFmtId="0" fontId="53" fillId="2" borderId="0" xfId="0" applyFont="1" applyFill="1" applyBorder="1" applyAlignment="1">
      <alignment horizontal="left"/>
    </xf>
    <xf numFmtId="174" fontId="65" fillId="0" borderId="29" xfId="40" applyNumberFormat="1" applyFont="1" applyFill="1" applyBorder="1" applyAlignment="1">
      <alignment vertical="center"/>
    </xf>
    <xf numFmtId="0" fontId="52" fillId="2" borderId="0" xfId="0" applyFont="1" applyFill="1" applyAlignment="1">
      <alignment horizontal="left" wrapText="1"/>
    </xf>
    <xf numFmtId="8" fontId="57" fillId="2" borderId="42" xfId="0" applyNumberFormat="1" applyFont="1" applyFill="1" applyBorder="1" applyAlignment="1">
      <alignment horizontal="center"/>
    </xf>
    <xf numFmtId="8" fontId="57" fillId="2" borderId="43" xfId="0" applyNumberFormat="1" applyFont="1" applyFill="1" applyBorder="1" applyAlignment="1">
      <alignment horizontal="center"/>
    </xf>
    <xf numFmtId="8" fontId="52" fillId="2" borderId="42" xfId="0" applyNumberFormat="1" applyFont="1" applyFill="1" applyBorder="1" applyAlignment="1">
      <alignment horizontal="center"/>
    </xf>
    <xf numFmtId="8" fontId="52" fillId="2" borderId="43" xfId="0" applyNumberFormat="1" applyFont="1" applyFill="1" applyBorder="1" applyAlignment="1">
      <alignment horizontal="center"/>
    </xf>
    <xf numFmtId="0" fontId="52" fillId="2" borderId="11" xfId="0" applyFont="1" applyFill="1" applyBorder="1" applyAlignment="1">
      <alignment vertical="center"/>
    </xf>
    <xf numFmtId="0" fontId="52" fillId="2" borderId="10" xfId="0" applyFont="1" applyFill="1" applyBorder="1" applyAlignment="1">
      <alignment vertical="center"/>
    </xf>
    <xf numFmtId="0" fontId="57" fillId="2" borderId="11" xfId="0" applyFont="1" applyFill="1" applyBorder="1" applyAlignment="1">
      <alignment vertical="center"/>
    </xf>
    <xf numFmtId="169" fontId="66" fillId="28" borderId="49" xfId="0" applyNumberFormat="1" applyFont="1" applyFill="1" applyBorder="1" applyAlignment="1">
      <alignment horizontal="center" vertical="center" wrapText="1"/>
    </xf>
    <xf numFmtId="169" fontId="66" fillId="27" borderId="50" xfId="6" applyNumberFormat="1" applyFont="1" applyFill="1" applyBorder="1" applyAlignment="1">
      <alignment horizontal="center" vertical="center" wrapText="1"/>
    </xf>
    <xf numFmtId="169" fontId="66" fillId="28" borderId="41" xfId="0" applyNumberFormat="1" applyFont="1" applyFill="1" applyBorder="1" applyAlignment="1">
      <alignment horizontal="center" vertical="center" wrapText="1"/>
    </xf>
    <xf numFmtId="170" fontId="57" fillId="2" borderId="45" xfId="0" applyNumberFormat="1" applyFont="1" applyFill="1" applyBorder="1" applyAlignment="1">
      <alignment horizontal="center"/>
    </xf>
    <xf numFmtId="170" fontId="11" fillId="2" borderId="51" xfId="0" applyNumberFormat="1" applyFont="1" applyFill="1" applyBorder="1" applyAlignment="1">
      <alignment horizontal="center"/>
    </xf>
    <xf numFmtId="8" fontId="11" fillId="2" borderId="52" xfId="0" applyNumberFormat="1" applyFont="1" applyFill="1" applyBorder="1" applyAlignment="1">
      <alignment horizontal="center"/>
    </xf>
    <xf numFmtId="0" fontId="55" fillId="2" borderId="0" xfId="0" applyFont="1" applyFill="1" applyBorder="1" applyAlignment="1">
      <alignment horizontal="center" vertical="center"/>
    </xf>
    <xf numFmtId="0" fontId="60" fillId="2" borderId="0" xfId="0" applyFont="1" applyFill="1" applyAlignment="1">
      <alignment horizontal="left"/>
    </xf>
    <xf numFmtId="169" fontId="66" fillId="28" borderId="47" xfId="0" applyNumberFormat="1" applyFont="1" applyFill="1" applyBorder="1" applyAlignment="1">
      <alignment horizontal="center" vertical="center" wrapText="1"/>
    </xf>
    <xf numFmtId="169" fontId="66" fillId="27" borderId="46" xfId="6" applyNumberFormat="1" applyFont="1" applyFill="1" applyBorder="1" applyAlignment="1">
      <alignment horizontal="center" vertical="center" wrapText="1"/>
    </xf>
    <xf numFmtId="169" fontId="66" fillId="28" borderId="46" xfId="0" applyNumberFormat="1" applyFont="1" applyFill="1" applyBorder="1" applyAlignment="1">
      <alignment horizontal="center" vertical="center" wrapText="1"/>
    </xf>
    <xf numFmtId="0" fontId="52" fillId="2" borderId="4" xfId="0" applyFont="1" applyFill="1" applyBorder="1" applyAlignment="1">
      <alignment horizontal="center"/>
    </xf>
    <xf numFmtId="38" fontId="52" fillId="2" borderId="39" xfId="0" applyNumberFormat="1" applyFont="1" applyFill="1" applyBorder="1" applyAlignment="1">
      <alignment horizontal="center"/>
    </xf>
    <xf numFmtId="0" fontId="57" fillId="2" borderId="4" xfId="0" applyFont="1" applyFill="1" applyBorder="1" applyAlignment="1">
      <alignment horizontal="left" vertical="center" wrapText="1"/>
    </xf>
    <xf numFmtId="0" fontId="57" fillId="2" borderId="54" xfId="0" applyFont="1" applyFill="1" applyBorder="1" applyAlignment="1">
      <alignment horizontal="left" vertical="center" wrapText="1"/>
    </xf>
    <xf numFmtId="0" fontId="57" fillId="2" borderId="55" xfId="0" applyFont="1" applyFill="1" applyBorder="1" applyAlignment="1">
      <alignment horizontal="center"/>
    </xf>
    <xf numFmtId="8" fontId="57" fillId="2" borderId="44" xfId="0" applyNumberFormat="1" applyFont="1" applyFill="1" applyBorder="1" applyAlignment="1">
      <alignment horizontal="center"/>
    </xf>
    <xf numFmtId="8" fontId="52" fillId="2" borderId="44" xfId="0" applyNumberFormat="1" applyFont="1" applyFill="1" applyBorder="1" applyAlignment="1">
      <alignment horizontal="center"/>
    </xf>
    <xf numFmtId="0" fontId="0" fillId="2" borderId="6" xfId="0" applyFill="1" applyBorder="1"/>
    <xf numFmtId="0" fontId="64" fillId="2" borderId="0" xfId="0" applyFont="1" applyFill="1" applyBorder="1" applyAlignment="1">
      <alignment vertical="center"/>
    </xf>
    <xf numFmtId="0" fontId="52" fillId="0" borderId="2" xfId="0" applyNumberFormat="1" applyFont="1" applyBorder="1" applyAlignment="1">
      <alignment horizontal="center"/>
    </xf>
    <xf numFmtId="0" fontId="52" fillId="2" borderId="37" xfId="0" applyFont="1" applyFill="1" applyBorder="1"/>
    <xf numFmtId="3" fontId="52" fillId="2" borderId="2" xfId="0" applyNumberFormat="1" applyFont="1" applyFill="1" applyBorder="1" applyAlignment="1">
      <alignment horizontal="center"/>
    </xf>
    <xf numFmtId="3" fontId="52" fillId="2" borderId="2" xfId="0" applyNumberFormat="1" applyFont="1" applyFill="1" applyBorder="1"/>
    <xf numFmtId="3" fontId="52" fillId="2" borderId="37" xfId="0" applyNumberFormat="1" applyFont="1" applyFill="1" applyBorder="1" applyAlignment="1">
      <alignment horizontal="center"/>
    </xf>
    <xf numFmtId="3" fontId="52" fillId="2" borderId="37" xfId="0" applyNumberFormat="1" applyFont="1" applyFill="1" applyBorder="1"/>
    <xf numFmtId="0" fontId="49" fillId="2" borderId="0" xfId="0" applyFont="1" applyFill="1" applyBorder="1" applyAlignment="1">
      <alignment vertical="center"/>
    </xf>
    <xf numFmtId="0" fontId="4" fillId="2" borderId="0" xfId="0" applyFont="1" applyFill="1" applyBorder="1"/>
    <xf numFmtId="173" fontId="0" fillId="2" borderId="0" xfId="0" applyNumberFormat="1" applyFont="1" applyFill="1" applyBorder="1"/>
    <xf numFmtId="0" fontId="60" fillId="2" borderId="0" xfId="0" applyFont="1" applyFill="1" applyBorder="1" applyAlignment="1">
      <alignment horizontal="left"/>
    </xf>
    <xf numFmtId="0" fontId="60" fillId="2" borderId="0" xfId="0" applyFont="1" applyFill="1" applyBorder="1"/>
    <xf numFmtId="0" fontId="6" fillId="2" borderId="0" xfId="0" applyFont="1" applyFill="1" applyBorder="1" applyAlignment="1">
      <alignment wrapText="1"/>
    </xf>
    <xf numFmtId="0" fontId="42" fillId="2" borderId="0" xfId="0" applyFont="1" applyFill="1" applyBorder="1" applyAlignment="1"/>
    <xf numFmtId="0" fontId="57" fillId="2" borderId="34" xfId="0" applyFont="1" applyFill="1" applyBorder="1" applyAlignment="1">
      <alignment horizontal="left" wrapText="1"/>
    </xf>
    <xf numFmtId="0" fontId="57" fillId="2" borderId="35" xfId="0" applyFont="1" applyFill="1" applyBorder="1" applyAlignment="1">
      <alignment horizontal="center" vertical="center"/>
    </xf>
    <xf numFmtId="0" fontId="42" fillId="2" borderId="0" xfId="0" applyFont="1" applyFill="1" applyBorder="1" applyAlignment="1">
      <alignment vertical="center"/>
    </xf>
    <xf numFmtId="0" fontId="60" fillId="2" borderId="0" xfId="0" applyFont="1" applyFill="1" applyAlignment="1">
      <alignment horizontal="center"/>
    </xf>
    <xf numFmtId="0" fontId="58" fillId="2" borderId="0" xfId="0" applyFont="1" applyFill="1" applyAlignment="1">
      <alignment horizontal="center"/>
    </xf>
    <xf numFmtId="0" fontId="70" fillId="2" borderId="4" xfId="0" applyFont="1" applyFill="1" applyBorder="1" applyAlignment="1">
      <alignment horizontal="left" vertical="center" wrapText="1"/>
    </xf>
    <xf numFmtId="0" fontId="70" fillId="2" borderId="39" xfId="0" applyFont="1" applyFill="1" applyBorder="1" applyAlignment="1">
      <alignment horizontal="center" vertical="center" wrapText="1"/>
    </xf>
    <xf numFmtId="0" fontId="70" fillId="2" borderId="3" xfId="0" applyFont="1" applyFill="1" applyBorder="1" applyAlignment="1">
      <alignment horizontal="left" vertical="center" wrapText="1"/>
    </xf>
    <xf numFmtId="0" fontId="57" fillId="2" borderId="40" xfId="0" applyFont="1" applyFill="1" applyBorder="1" applyAlignment="1">
      <alignment horizontal="center" vertical="center" wrapText="1"/>
    </xf>
    <xf numFmtId="0" fontId="70" fillId="2" borderId="40" xfId="0" applyFont="1" applyFill="1" applyBorder="1" applyAlignment="1">
      <alignment horizontal="center" vertical="center" wrapText="1"/>
    </xf>
    <xf numFmtId="0" fontId="11" fillId="2" borderId="57" xfId="0" applyFont="1" applyFill="1" applyBorder="1" applyAlignment="1">
      <alignment horizontal="left" vertical="center" wrapText="1"/>
    </xf>
    <xf numFmtId="0" fontId="11" fillId="2" borderId="58" xfId="0" applyFont="1" applyFill="1" applyBorder="1" applyAlignment="1">
      <alignment horizontal="center" vertical="center" wrapText="1"/>
    </xf>
    <xf numFmtId="174" fontId="65" fillId="0" borderId="0" xfId="40" applyNumberFormat="1" applyFont="1" applyFill="1" applyBorder="1" applyAlignment="1">
      <alignment vertical="center"/>
    </xf>
    <xf numFmtId="0" fontId="66" fillId="27" borderId="59" xfId="0" applyNumberFormat="1" applyFont="1" applyFill="1" applyBorder="1" applyAlignment="1">
      <alignment horizontal="center" vertical="center" wrapText="1"/>
    </xf>
    <xf numFmtId="169" fontId="66" fillId="27" borderId="59" xfId="6" applyNumberFormat="1" applyFont="1" applyFill="1" applyBorder="1" applyAlignment="1">
      <alignment horizontal="center" vertical="center" wrapText="1"/>
    </xf>
    <xf numFmtId="0" fontId="62" fillId="2" borderId="0" xfId="0" applyFont="1" applyFill="1"/>
    <xf numFmtId="0" fontId="42" fillId="2" borderId="0" xfId="0" applyFont="1" applyFill="1"/>
    <xf numFmtId="0" fontId="52" fillId="2" borderId="0" xfId="0" applyFont="1" applyFill="1" applyAlignment="1">
      <alignment wrapText="1"/>
    </xf>
    <xf numFmtId="0" fontId="62" fillId="2" borderId="0" xfId="0" applyFont="1" applyFill="1" applyAlignment="1">
      <alignment horizontal="center"/>
    </xf>
    <xf numFmtId="39" fontId="53" fillId="2" borderId="0" xfId="0" applyNumberFormat="1" applyFont="1" applyFill="1" applyBorder="1" applyAlignment="1">
      <alignment horizontal="center"/>
    </xf>
    <xf numFmtId="0" fontId="72" fillId="2" borderId="0" xfId="0" applyFont="1" applyFill="1" applyBorder="1" applyAlignment="1">
      <alignment horizontal="center" wrapText="1"/>
    </xf>
    <xf numFmtId="0" fontId="68" fillId="2" borderId="0" xfId="0" applyFont="1" applyFill="1" applyAlignment="1">
      <alignment horizontal="center"/>
    </xf>
    <xf numFmtId="0" fontId="68" fillId="2" borderId="0" xfId="0" applyFont="1" applyFill="1" applyAlignment="1">
      <alignment horizontal="center" wrapText="1"/>
    </xf>
    <xf numFmtId="0" fontId="73" fillId="2" borderId="0" xfId="0" applyFont="1" applyFill="1"/>
    <xf numFmtId="0" fontId="57" fillId="2" borderId="12" xfId="0" applyNumberFormat="1" applyFont="1" applyFill="1" applyBorder="1" applyAlignment="1">
      <alignment horizontal="center" vertical="top"/>
    </xf>
    <xf numFmtId="0" fontId="73" fillId="2" borderId="12" xfId="0" applyNumberFormat="1" applyFont="1" applyFill="1" applyBorder="1" applyAlignment="1">
      <alignment horizontal="center" vertical="top"/>
    </xf>
    <xf numFmtId="0" fontId="63" fillId="2" borderId="0" xfId="0" applyFont="1" applyFill="1" applyAlignment="1">
      <alignment vertical="center"/>
    </xf>
    <xf numFmtId="0" fontId="65" fillId="0" borderId="2" xfId="0" applyFont="1" applyBorder="1" applyAlignment="1">
      <alignment horizontal="center" vertical="top"/>
    </xf>
    <xf numFmtId="0" fontId="57" fillId="0" borderId="2" xfId="0" applyFont="1" applyBorder="1" applyAlignment="1">
      <alignment horizontal="center" vertical="top"/>
    </xf>
    <xf numFmtId="0" fontId="65" fillId="2" borderId="2" xfId="0" applyFont="1" applyFill="1" applyBorder="1" applyAlignment="1">
      <alignment horizontal="center" vertical="top"/>
    </xf>
    <xf numFmtId="0" fontId="75" fillId="2" borderId="0" xfId="0" applyFont="1" applyFill="1"/>
    <xf numFmtId="0" fontId="74" fillId="2" borderId="0" xfId="0" applyFont="1" applyFill="1" applyBorder="1" applyAlignment="1">
      <alignment horizontal="center"/>
    </xf>
    <xf numFmtId="0" fontId="52" fillId="2" borderId="0" xfId="0" applyFont="1" applyFill="1" applyAlignment="1">
      <alignment horizontal="center" vertical="center"/>
    </xf>
    <xf numFmtId="0" fontId="52" fillId="2" borderId="0" xfId="0" applyFont="1" applyFill="1" applyBorder="1"/>
    <xf numFmtId="0" fontId="52" fillId="2" borderId="37" xfId="74" applyFont="1" applyFill="1" applyBorder="1" applyAlignment="1" applyProtection="1">
      <alignment horizontal="center"/>
      <protection locked="0"/>
    </xf>
    <xf numFmtId="175" fontId="57" fillId="2" borderId="0" xfId="71" applyNumberFormat="1" applyFont="1" applyFill="1" applyBorder="1" applyAlignment="1" applyProtection="1">
      <alignment horizontal="left" vertical="center"/>
      <protection locked="0"/>
    </xf>
    <xf numFmtId="0" fontId="52" fillId="2" borderId="37" xfId="74" applyFont="1" applyFill="1" applyBorder="1" applyProtection="1">
      <protection locked="0"/>
    </xf>
    <xf numFmtId="175" fontId="57" fillId="2" borderId="0" xfId="71" applyNumberFormat="1" applyFont="1" applyFill="1" applyBorder="1" applyProtection="1">
      <protection locked="0"/>
    </xf>
    <xf numFmtId="175" fontId="57" fillId="2" borderId="37" xfId="71" applyNumberFormat="1" applyFont="1" applyFill="1" applyBorder="1" applyAlignment="1" applyProtection="1">
      <alignment horizontal="left" vertical="center"/>
      <protection locked="0"/>
    </xf>
    <xf numFmtId="175" fontId="57" fillId="2" borderId="37" xfId="71" applyNumberFormat="1" applyFont="1" applyFill="1" applyBorder="1" applyProtection="1">
      <protection locked="0"/>
    </xf>
    <xf numFmtId="0" fontId="52" fillId="2" borderId="0" xfId="0" applyNumberFormat="1" applyFont="1" applyFill="1"/>
    <xf numFmtId="0" fontId="52" fillId="2" borderId="0" xfId="0" applyNumberFormat="1" applyFont="1" applyFill="1" applyBorder="1"/>
    <xf numFmtId="0" fontId="57" fillId="2" borderId="0" xfId="0" applyFont="1" applyFill="1" applyBorder="1"/>
    <xf numFmtId="0" fontId="57" fillId="2" borderId="0" xfId="0" applyFont="1" applyFill="1" applyBorder="1" applyAlignment="1">
      <alignment horizontal="center"/>
    </xf>
    <xf numFmtId="0" fontId="52" fillId="2" borderId="0" xfId="0" applyFont="1" applyFill="1" applyBorder="1" applyAlignment="1">
      <alignment horizontal="left"/>
    </xf>
    <xf numFmtId="0" fontId="64" fillId="2" borderId="0" xfId="0" applyFont="1" applyFill="1" applyAlignment="1">
      <alignment vertical="center"/>
    </xf>
    <xf numFmtId="0" fontId="57" fillId="2" borderId="0" xfId="0" applyFont="1" applyFill="1" applyBorder="1" applyAlignment="1">
      <alignment vertical="center"/>
    </xf>
    <xf numFmtId="0" fontId="66" fillId="27" borderId="37" xfId="0" applyFont="1" applyFill="1" applyBorder="1" applyAlignment="1">
      <alignment horizontal="center" vertical="center" wrapText="1"/>
    </xf>
    <xf numFmtId="0" fontId="71" fillId="27" borderId="37" xfId="0" applyFont="1" applyFill="1" applyBorder="1"/>
    <xf numFmtId="0" fontId="66" fillId="27" borderId="10" xfId="0" applyFont="1" applyFill="1" applyBorder="1" applyAlignment="1">
      <alignment wrapText="1"/>
    </xf>
    <xf numFmtId="0" fontId="66" fillId="27" borderId="1" xfId="0" applyFont="1" applyFill="1" applyBorder="1" applyAlignment="1">
      <alignment vertical="center" wrapText="1"/>
    </xf>
    <xf numFmtId="0" fontId="40" fillId="2" borderId="0" xfId="0" applyFont="1" applyFill="1" applyAlignment="1">
      <alignment horizontal="left" wrapText="1"/>
    </xf>
    <xf numFmtId="0" fontId="66" fillId="27" borderId="59" xfId="0" quotePrefix="1" applyFont="1" applyFill="1" applyBorder="1" applyAlignment="1">
      <alignment horizontal="center" vertical="center"/>
    </xf>
    <xf numFmtId="169" fontId="61" fillId="27" borderId="14" xfId="6" applyNumberFormat="1" applyFont="1" applyFill="1" applyBorder="1" applyAlignment="1">
      <alignment horizontal="center" vertical="center" wrapText="1"/>
    </xf>
    <xf numFmtId="10" fontId="41" fillId="2" borderId="8" xfId="0" applyNumberFormat="1" applyFont="1" applyFill="1" applyBorder="1" applyAlignment="1" applyProtection="1">
      <alignment horizontal="center"/>
      <protection locked="0"/>
    </xf>
    <xf numFmtId="17" fontId="41" fillId="0" borderId="9" xfId="0" applyNumberFormat="1" applyFont="1" applyFill="1" applyBorder="1" applyAlignment="1">
      <alignment horizontal="center"/>
    </xf>
    <xf numFmtId="0" fontId="41" fillId="0" borderId="9" xfId="0" applyFont="1" applyFill="1" applyBorder="1" applyAlignment="1">
      <alignment horizontal="center"/>
    </xf>
    <xf numFmtId="168" fontId="16" fillId="0" borderId="9" xfId="70" applyNumberFormat="1" applyFont="1" applyFill="1" applyBorder="1"/>
    <xf numFmtId="168" fontId="16" fillId="0" borderId="8" xfId="70" applyNumberFormat="1" applyFont="1" applyFill="1" applyBorder="1"/>
    <xf numFmtId="17" fontId="41" fillId="2" borderId="9" xfId="0" applyNumberFormat="1" applyFont="1" applyFill="1" applyBorder="1" applyAlignment="1">
      <alignment horizontal="center"/>
    </xf>
    <xf numFmtId="0" fontId="41" fillId="2" borderId="9" xfId="0" applyFont="1" applyFill="1" applyBorder="1" applyAlignment="1">
      <alignment horizontal="center"/>
    </xf>
    <xf numFmtId="168" fontId="16" fillId="2" borderId="8" xfId="70" applyNumberFormat="1" applyFont="1" applyFill="1" applyBorder="1"/>
    <xf numFmtId="168" fontId="16" fillId="2" borderId="9" xfId="70" applyNumberFormat="1" applyFont="1" applyFill="1" applyBorder="1"/>
    <xf numFmtId="0" fontId="44" fillId="2" borderId="0" xfId="0" applyFont="1" applyFill="1" applyBorder="1" applyAlignment="1">
      <alignment vertical="top"/>
    </xf>
    <xf numFmtId="0" fontId="44" fillId="2" borderId="0" xfId="0" applyFont="1" applyFill="1" applyAlignment="1">
      <alignment vertical="top"/>
    </xf>
    <xf numFmtId="0" fontId="79" fillId="2" borderId="0" xfId="0" applyFont="1" applyFill="1" applyAlignment="1">
      <alignment vertical="top"/>
    </xf>
    <xf numFmtId="169" fontId="61" fillId="2" borderId="0" xfId="6" applyNumberFormat="1" applyFont="1" applyFill="1" applyBorder="1" applyAlignment="1">
      <alignment horizontal="center" vertical="center" wrapText="1"/>
    </xf>
    <xf numFmtId="10" fontId="41" fillId="2" borderId="0" xfId="0" applyNumberFormat="1" applyFont="1" applyFill="1" applyBorder="1" applyAlignment="1">
      <alignment horizontal="center"/>
    </xf>
    <xf numFmtId="17" fontId="14" fillId="2" borderId="8" xfId="0" applyNumberFormat="1" applyFont="1" applyFill="1" applyBorder="1"/>
    <xf numFmtId="0" fontId="14" fillId="2" borderId="8" xfId="0" applyFont="1" applyFill="1" applyBorder="1"/>
    <xf numFmtId="168" fontId="14" fillId="2" borderId="8" xfId="0" applyNumberFormat="1" applyFont="1" applyFill="1" applyBorder="1"/>
    <xf numFmtId="17" fontId="54" fillId="2" borderId="15" xfId="0" applyNumberFormat="1" applyFont="1" applyFill="1" applyBorder="1"/>
    <xf numFmtId="0" fontId="54" fillId="2" borderId="15" xfId="0" applyFont="1" applyFill="1" applyBorder="1"/>
    <xf numFmtId="168" fontId="54" fillId="2" borderId="15" xfId="0" applyNumberFormat="1" applyFont="1" applyFill="1" applyBorder="1"/>
    <xf numFmtId="0" fontId="64" fillId="2" borderId="0" xfId="0" applyFont="1" applyFill="1" applyAlignment="1">
      <alignment horizontal="left"/>
    </xf>
    <xf numFmtId="0" fontId="40" fillId="2" borderId="0" xfId="0" applyFont="1" applyFill="1" applyAlignment="1">
      <alignment horizontal="center" wrapText="1"/>
    </xf>
    <xf numFmtId="174" fontId="65" fillId="29" borderId="29" xfId="40" applyNumberFormat="1" applyFont="1" applyFill="1" applyBorder="1" applyAlignment="1">
      <alignment vertical="center" wrapText="1"/>
    </xf>
    <xf numFmtId="174" fontId="65" fillId="29" borderId="0" xfId="40" applyNumberFormat="1" applyFont="1" applyFill="1" applyBorder="1" applyAlignment="1">
      <alignment vertical="center" wrapText="1"/>
    </xf>
    <xf numFmtId="171" fontId="57" fillId="29" borderId="56" xfId="0" applyNumberFormat="1" applyFont="1" applyFill="1" applyBorder="1" applyAlignment="1" applyProtection="1">
      <alignment horizontal="center" vertical="center"/>
    </xf>
    <xf numFmtId="0" fontId="11" fillId="29" borderId="58" xfId="0" applyFont="1" applyFill="1" applyBorder="1" applyAlignment="1">
      <alignment horizontal="center" vertical="center" wrapText="1"/>
    </xf>
    <xf numFmtId="0" fontId="57" fillId="2" borderId="39" xfId="0" applyFont="1" applyFill="1" applyBorder="1" applyAlignment="1">
      <alignment horizontal="center" vertical="center" wrapText="1"/>
    </xf>
    <xf numFmtId="0" fontId="57" fillId="29" borderId="39" xfId="0" applyFont="1" applyFill="1" applyBorder="1" applyAlignment="1">
      <alignment horizontal="center" vertical="center" wrapText="1"/>
    </xf>
    <xf numFmtId="176" fontId="57" fillId="29" borderId="39" xfId="70" applyNumberFormat="1" applyFont="1" applyFill="1" applyBorder="1" applyAlignment="1" applyProtection="1">
      <alignment horizontal="center"/>
      <protection locked="0"/>
    </xf>
    <xf numFmtId="176" fontId="57" fillId="29" borderId="55" xfId="70" applyNumberFormat="1" applyFont="1" applyFill="1" applyBorder="1" applyAlignment="1" applyProtection="1">
      <alignment horizontal="center"/>
      <protection locked="0"/>
    </xf>
    <xf numFmtId="176" fontId="57" fillId="29" borderId="55" xfId="70" applyNumberFormat="1" applyFont="1" applyFill="1" applyBorder="1"/>
    <xf numFmtId="0" fontId="52" fillId="2" borderId="0" xfId="0" applyFont="1" applyFill="1" applyAlignment="1">
      <alignment vertical="center"/>
    </xf>
    <xf numFmtId="166" fontId="65" fillId="29" borderId="2" xfId="0" applyNumberFormat="1" applyFont="1" applyFill="1" applyBorder="1" applyAlignment="1">
      <alignment horizontal="center" vertical="top"/>
    </xf>
    <xf numFmtId="175" fontId="57" fillId="29" borderId="37" xfId="71" applyNumberFormat="1" applyFont="1" applyFill="1" applyBorder="1" applyAlignment="1" applyProtection="1">
      <alignment horizontal="right" vertical="center"/>
      <protection locked="0"/>
    </xf>
    <xf numFmtId="175" fontId="57" fillId="29" borderId="37" xfId="71" applyNumberFormat="1" applyFont="1" applyFill="1" applyBorder="1" applyAlignment="1" applyProtection="1">
      <alignment horizontal="left" vertical="center"/>
      <protection locked="0"/>
    </xf>
    <xf numFmtId="175" fontId="57" fillId="29" borderId="37" xfId="71" applyNumberFormat="1" applyFont="1" applyFill="1" applyBorder="1" applyProtection="1">
      <protection locked="0"/>
    </xf>
    <xf numFmtId="0" fontId="66" fillId="27" borderId="60" xfId="0" applyNumberFormat="1" applyFont="1" applyFill="1" applyBorder="1" applyAlignment="1">
      <alignment horizontal="center" vertical="center" wrapText="1"/>
    </xf>
    <xf numFmtId="0" fontId="40" fillId="2" borderId="0" xfId="0" applyFont="1" applyFill="1" applyAlignment="1">
      <alignment horizontal="center" wrapText="1"/>
    </xf>
    <xf numFmtId="174" fontId="65" fillId="29" borderId="0" xfId="40" applyNumberFormat="1" applyFont="1" applyFill="1" applyBorder="1" applyAlignment="1">
      <alignment vertical="center"/>
    </xf>
    <xf numFmtId="0" fontId="38" fillId="2" borderId="0" xfId="0" applyFont="1" applyFill="1" applyAlignment="1">
      <alignment horizontal="center"/>
    </xf>
    <xf numFmtId="0" fontId="8" fillId="2" borderId="0" xfId="0" applyFont="1" applyFill="1" applyAlignment="1">
      <alignment horizontal="center"/>
    </xf>
    <xf numFmtId="10" fontId="41" fillId="2" borderId="14" xfId="0" applyNumberFormat="1" applyFont="1" applyFill="1" applyBorder="1" applyAlignment="1" applyProtection="1">
      <alignment horizontal="center"/>
      <protection locked="0"/>
    </xf>
    <xf numFmtId="10" fontId="41" fillId="2" borderId="65" xfId="0" applyNumberFormat="1" applyFont="1" applyFill="1" applyBorder="1" applyAlignment="1" applyProtection="1">
      <alignment horizontal="center"/>
      <protection locked="0"/>
    </xf>
    <xf numFmtId="169" fontId="61" fillId="27" borderId="66" xfId="6" applyNumberFormat="1" applyFont="1" applyFill="1" applyBorder="1" applyAlignment="1">
      <alignment horizontal="center" vertical="center" wrapText="1"/>
    </xf>
    <xf numFmtId="169" fontId="61" fillId="27" borderId="49" xfId="6" applyNumberFormat="1" applyFont="1" applyFill="1" applyBorder="1" applyAlignment="1">
      <alignment horizontal="center" vertical="center" wrapText="1"/>
    </xf>
    <xf numFmtId="10" fontId="41" fillId="29" borderId="8" xfId="0" applyNumberFormat="1" applyFont="1" applyFill="1" applyBorder="1" applyAlignment="1" applyProtection="1">
      <alignment horizontal="center"/>
      <protection locked="0"/>
    </xf>
    <xf numFmtId="10" fontId="41" fillId="29" borderId="65" xfId="0" applyNumberFormat="1" applyFont="1" applyFill="1" applyBorder="1" applyAlignment="1" applyProtection="1">
      <alignment horizontal="center"/>
      <protection locked="0"/>
    </xf>
    <xf numFmtId="1" fontId="41" fillId="0" borderId="9" xfId="0" applyNumberFormat="1" applyFont="1" applyFill="1" applyBorder="1" applyAlignment="1">
      <alignment horizontal="center"/>
    </xf>
    <xf numFmtId="17" fontId="41" fillId="29" borderId="8" xfId="0" applyNumberFormat="1" applyFont="1" applyFill="1" applyBorder="1"/>
    <xf numFmtId="0" fontId="41" fillId="29" borderId="8" xfId="0" applyFont="1" applyFill="1" applyBorder="1"/>
    <xf numFmtId="168" fontId="41" fillId="29" borderId="8" xfId="0" applyNumberFormat="1" applyFont="1" applyFill="1" applyBorder="1" applyProtection="1">
      <protection locked="0"/>
    </xf>
    <xf numFmtId="168" fontId="16" fillId="29" borderId="8" xfId="70" applyNumberFormat="1" applyFont="1" applyFill="1" applyBorder="1" applyProtection="1"/>
    <xf numFmtId="0" fontId="56" fillId="2" borderId="0" xfId="73" applyFont="1" applyFill="1"/>
    <xf numFmtId="8" fontId="57" fillId="29" borderId="64" xfId="0" applyNumberFormat="1" applyFont="1" applyFill="1" applyBorder="1" applyAlignment="1">
      <alignment horizontal="center"/>
    </xf>
    <xf numFmtId="0" fontId="58" fillId="2" borderId="0" xfId="0" applyFont="1" applyFill="1" applyAlignment="1">
      <alignment horizontal="center"/>
    </xf>
    <xf numFmtId="0" fontId="67" fillId="2" borderId="0" xfId="0" applyFont="1" applyFill="1" applyAlignment="1">
      <alignment horizontal="center"/>
    </xf>
    <xf numFmtId="0" fontId="53" fillId="2" borderId="0" xfId="0" applyFont="1" applyFill="1" applyBorder="1" applyAlignment="1">
      <alignment horizontal="left"/>
    </xf>
    <xf numFmtId="174" fontId="65" fillId="29" borderId="0" xfId="40" applyNumberFormat="1" applyFont="1" applyFill="1" applyBorder="1" applyAlignment="1">
      <alignment horizontal="left" vertical="center"/>
    </xf>
    <xf numFmtId="0" fontId="57" fillId="2" borderId="0" xfId="0" applyFont="1" applyFill="1" applyBorder="1" applyAlignment="1">
      <alignment horizontal="left" vertical="center" wrapText="1"/>
    </xf>
    <xf numFmtId="0" fontId="66" fillId="27" borderId="50" xfId="0" applyFont="1" applyFill="1" applyBorder="1" applyAlignment="1">
      <alignment horizontal="center" vertical="center" wrapText="1"/>
    </xf>
    <xf numFmtId="0" fontId="66" fillId="27" borderId="37" xfId="0" applyFont="1" applyFill="1" applyBorder="1" applyAlignment="1">
      <alignment horizontal="center" vertical="center" wrapText="1"/>
    </xf>
    <xf numFmtId="0" fontId="40" fillId="2" borderId="0" xfId="0" applyFont="1" applyFill="1" applyAlignment="1">
      <alignment horizontal="center" wrapText="1"/>
    </xf>
    <xf numFmtId="8" fontId="57" fillId="29" borderId="39" xfId="0" applyNumberFormat="1" applyFont="1" applyFill="1" applyBorder="1" applyAlignment="1">
      <alignment horizontal="center"/>
    </xf>
    <xf numFmtId="8" fontId="57" fillId="29" borderId="53" xfId="0" applyNumberFormat="1" applyFont="1" applyFill="1" applyBorder="1" applyAlignment="1">
      <alignment horizontal="center"/>
    </xf>
    <xf numFmtId="0" fontId="10" fillId="2" borderId="0" xfId="0" applyFont="1" applyFill="1" applyAlignment="1">
      <alignment horizontal="left"/>
    </xf>
    <xf numFmtId="0" fontId="10" fillId="2" borderId="0" xfId="0" applyFont="1" applyFill="1" applyBorder="1" applyAlignment="1">
      <alignment horizontal="left"/>
    </xf>
    <xf numFmtId="0" fontId="6" fillId="2" borderId="0" xfId="0" applyFont="1" applyFill="1" applyAlignment="1">
      <alignment horizontal="left"/>
    </xf>
    <xf numFmtId="170" fontId="53" fillId="2" borderId="5" xfId="0" applyNumberFormat="1" applyFont="1" applyFill="1" applyBorder="1" applyAlignment="1">
      <alignment horizontal="center" wrapText="1"/>
    </xf>
    <xf numFmtId="0" fontId="69" fillId="2" borderId="0" xfId="0" applyFont="1" applyFill="1" applyBorder="1" applyAlignment="1">
      <alignment horizontal="center" vertical="center" textRotation="90"/>
    </xf>
    <xf numFmtId="3" fontId="62" fillId="26" borderId="34" xfId="0" applyNumberFormat="1" applyFont="1" applyFill="1" applyBorder="1" applyAlignment="1">
      <alignment horizontal="center" vertical="center"/>
    </xf>
    <xf numFmtId="3" fontId="62" fillId="26" borderId="35" xfId="0" applyNumberFormat="1" applyFont="1" applyFill="1" applyBorder="1" applyAlignment="1">
      <alignment horizontal="center" vertical="center"/>
    </xf>
    <xf numFmtId="3" fontId="62" fillId="26" borderId="35" xfId="0" applyNumberFormat="1" applyFont="1" applyFill="1" applyBorder="1" applyAlignment="1">
      <alignment vertical="center"/>
    </xf>
    <xf numFmtId="3" fontId="62" fillId="26" borderId="36" xfId="0" applyNumberFormat="1" applyFont="1" applyFill="1" applyBorder="1" applyAlignment="1">
      <alignment vertical="center"/>
    </xf>
    <xf numFmtId="9" fontId="52" fillId="2" borderId="13" xfId="0" applyNumberFormat="1" applyFont="1" applyFill="1" applyBorder="1"/>
    <xf numFmtId="3" fontId="57" fillId="2" borderId="0" xfId="0" applyNumberFormat="1" applyFont="1" applyFill="1" applyBorder="1" applyAlignment="1">
      <alignment horizontal="center" vertical="center"/>
    </xf>
    <xf numFmtId="174" fontId="65" fillId="0" borderId="0" xfId="40" applyNumberFormat="1" applyFont="1" applyFill="1" applyBorder="1" applyAlignment="1">
      <alignment horizontal="center" vertical="center"/>
    </xf>
    <xf numFmtId="3" fontId="57" fillId="2" borderId="0" xfId="0" applyNumberFormat="1" applyFont="1" applyFill="1" applyBorder="1" applyAlignment="1">
      <alignment vertical="center" wrapText="1"/>
    </xf>
    <xf numFmtId="3" fontId="62" fillId="2" borderId="0" xfId="0" applyNumberFormat="1" applyFont="1" applyFill="1" applyBorder="1" applyAlignment="1">
      <alignment vertical="center" wrapText="1"/>
    </xf>
    <xf numFmtId="0" fontId="57" fillId="2" borderId="0" xfId="0" applyNumberFormat="1" applyFont="1" applyFill="1" applyBorder="1" applyAlignment="1">
      <alignment vertical="top" wrapText="1"/>
    </xf>
    <xf numFmtId="3" fontId="57" fillId="0" borderId="0" xfId="0" applyNumberFormat="1" applyFont="1" applyFill="1" applyBorder="1" applyAlignment="1">
      <alignment horizontal="center" vertical="center"/>
    </xf>
    <xf numFmtId="3" fontId="57" fillId="29" borderId="39" xfId="0" applyNumberFormat="1" applyFont="1" applyFill="1" applyBorder="1" applyAlignment="1">
      <alignment horizontal="center" vertical="center"/>
    </xf>
    <xf numFmtId="3" fontId="53" fillId="2" borderId="0" xfId="0" applyNumberFormat="1" applyFont="1" applyFill="1" applyBorder="1" applyAlignment="1">
      <alignment horizontal="center" vertical="center"/>
    </xf>
    <xf numFmtId="3" fontId="11" fillId="2" borderId="0" xfId="0" applyNumberFormat="1" applyFont="1" applyFill="1" applyBorder="1" applyAlignment="1">
      <alignment horizontal="left" vertical="center"/>
    </xf>
    <xf numFmtId="3" fontId="11" fillId="2" borderId="0" xfId="0" applyNumberFormat="1" applyFont="1" applyFill="1" applyBorder="1" applyAlignment="1">
      <alignment horizontal="center" vertical="center"/>
    </xf>
    <xf numFmtId="3" fontId="57" fillId="2" borderId="0" xfId="0" applyNumberFormat="1" applyFont="1" applyFill="1" applyBorder="1" applyAlignment="1">
      <alignment horizontal="left" vertical="center"/>
    </xf>
    <xf numFmtId="3" fontId="52" fillId="2" borderId="0" xfId="0" applyNumberFormat="1" applyFont="1" applyFill="1" applyBorder="1" applyAlignment="1">
      <alignment horizontal="center" vertical="center"/>
    </xf>
    <xf numFmtId="167" fontId="57" fillId="2" borderId="0" xfId="0" applyNumberFormat="1" applyFont="1" applyFill="1" applyBorder="1" applyAlignment="1">
      <alignment horizontal="center" vertical="center"/>
    </xf>
    <xf numFmtId="170" fontId="11" fillId="2" borderId="0" xfId="0" applyNumberFormat="1" applyFont="1" applyFill="1" applyBorder="1" applyAlignment="1">
      <alignment horizontal="center" vertical="center"/>
    </xf>
    <xf numFmtId="3" fontId="53" fillId="2" borderId="39" xfId="0" applyNumberFormat="1" applyFont="1" applyFill="1" applyBorder="1" applyAlignment="1">
      <alignment horizontal="center" vertical="center"/>
    </xf>
    <xf numFmtId="3" fontId="11" fillId="2" borderId="39" xfId="0" applyNumberFormat="1" applyFont="1" applyFill="1" applyBorder="1" applyAlignment="1">
      <alignment horizontal="left" vertical="center"/>
    </xf>
    <xf numFmtId="3" fontId="11" fillId="2" borderId="39" xfId="0" applyNumberFormat="1" applyFont="1" applyFill="1" applyBorder="1" applyAlignment="1">
      <alignment horizontal="center" vertical="center"/>
    </xf>
    <xf numFmtId="3" fontId="11" fillId="29" borderId="39" xfId="0" applyNumberFormat="1" applyFont="1" applyFill="1" applyBorder="1" applyAlignment="1">
      <alignment horizontal="center" vertical="center"/>
    </xf>
    <xf numFmtId="0" fontId="7" fillId="2" borderId="0" xfId="0" applyFont="1" applyFill="1" applyBorder="1" applyAlignment="1">
      <alignment vertical="center" textRotation="90"/>
    </xf>
    <xf numFmtId="0" fontId="66" fillId="27" borderId="70" xfId="0" applyNumberFormat="1" applyFont="1" applyFill="1" applyBorder="1" applyAlignment="1">
      <alignment horizontal="center" vertical="center" wrapText="1"/>
    </xf>
    <xf numFmtId="0" fontId="66" fillId="27" borderId="75" xfId="0" applyNumberFormat="1" applyFont="1" applyFill="1" applyBorder="1" applyAlignment="1">
      <alignment horizontal="center" vertical="center" wrapText="1"/>
    </xf>
    <xf numFmtId="3" fontId="57" fillId="2" borderId="12" xfId="0" applyNumberFormat="1" applyFont="1" applyFill="1" applyBorder="1" applyAlignment="1">
      <alignment horizontal="center" vertical="center"/>
    </xf>
    <xf numFmtId="3" fontId="53" fillId="2" borderId="4" xfId="0" applyNumberFormat="1" applyFont="1" applyFill="1" applyBorder="1" applyAlignment="1">
      <alignment horizontal="center" vertical="center"/>
    </xf>
    <xf numFmtId="3" fontId="11" fillId="2" borderId="53" xfId="0" applyNumberFormat="1" applyFont="1" applyFill="1" applyBorder="1" applyAlignment="1">
      <alignment horizontal="center" vertical="center"/>
    </xf>
    <xf numFmtId="3" fontId="53" fillId="2" borderId="12" xfId="0" applyNumberFormat="1" applyFont="1" applyFill="1" applyBorder="1" applyAlignment="1">
      <alignment horizontal="center" vertical="center"/>
    </xf>
    <xf numFmtId="3" fontId="11" fillId="2" borderId="13" xfId="0" applyNumberFormat="1" applyFont="1" applyFill="1" applyBorder="1" applyAlignment="1">
      <alignment horizontal="center" vertical="center"/>
    </xf>
    <xf numFmtId="170" fontId="57" fillId="2" borderId="13" xfId="0" applyNumberFormat="1" applyFont="1" applyFill="1" applyBorder="1" applyAlignment="1">
      <alignment horizontal="center" vertical="center"/>
    </xf>
    <xf numFmtId="170" fontId="11" fillId="2" borderId="13" xfId="0" applyNumberFormat="1" applyFont="1" applyFill="1" applyBorder="1" applyAlignment="1">
      <alignment horizontal="center" vertical="center"/>
    </xf>
    <xf numFmtId="3" fontId="53" fillId="2" borderId="5" xfId="0" applyNumberFormat="1" applyFont="1" applyFill="1" applyBorder="1" applyAlignment="1">
      <alignment horizontal="center" vertical="center"/>
    </xf>
    <xf numFmtId="3" fontId="11" fillId="2" borderId="6" xfId="0" applyNumberFormat="1" applyFont="1" applyFill="1" applyBorder="1" applyAlignment="1">
      <alignment horizontal="center" vertical="center"/>
    </xf>
    <xf numFmtId="3" fontId="53" fillId="2" borderId="6" xfId="0" applyNumberFormat="1" applyFont="1" applyFill="1" applyBorder="1" applyAlignment="1">
      <alignment horizontal="center" vertical="center"/>
    </xf>
    <xf numFmtId="3" fontId="11" fillId="2" borderId="7" xfId="0" applyNumberFormat="1" applyFont="1" applyFill="1" applyBorder="1" applyAlignment="1">
      <alignment horizontal="center" vertical="center"/>
    </xf>
    <xf numFmtId="0" fontId="66" fillId="27" borderId="76" xfId="0" applyFont="1" applyFill="1" applyBorder="1" applyAlignment="1">
      <alignment horizontal="left" vertical="center" wrapText="1"/>
    </xf>
    <xf numFmtId="0" fontId="66" fillId="27" borderId="79" xfId="0" applyFont="1" applyFill="1" applyBorder="1" applyAlignment="1">
      <alignment horizontal="center" vertical="center" wrapText="1"/>
    </xf>
    <xf numFmtId="0" fontId="66" fillId="27" borderId="80" xfId="0" applyFont="1" applyFill="1" applyBorder="1" applyAlignment="1">
      <alignment horizontal="center" vertical="center" wrapText="1"/>
    </xf>
    <xf numFmtId="176" fontId="57" fillId="2" borderId="0" xfId="70" applyNumberFormat="1" applyFont="1" applyFill="1" applyBorder="1" applyAlignment="1" applyProtection="1">
      <alignment horizontal="center"/>
    </xf>
    <xf numFmtId="0" fontId="57" fillId="2" borderId="0" xfId="0" applyFont="1" applyFill="1" applyBorder="1" applyAlignment="1">
      <alignment horizontal="center"/>
    </xf>
    <xf numFmtId="0" fontId="57" fillId="2" borderId="12" xfId="0" applyFont="1" applyFill="1" applyBorder="1" applyAlignment="1">
      <alignment horizontal="left" vertical="center" wrapText="1"/>
    </xf>
    <xf numFmtId="176" fontId="57" fillId="2" borderId="13" xfId="70" applyNumberFormat="1" applyFont="1" applyFill="1" applyBorder="1" applyAlignment="1" applyProtection="1">
      <alignment horizontal="center"/>
    </xf>
    <xf numFmtId="0" fontId="57" fillId="2" borderId="5" xfId="0" applyFont="1" applyFill="1" applyBorder="1" applyAlignment="1">
      <alignment horizontal="left" vertical="center" wrapText="1"/>
    </xf>
    <xf numFmtId="176" fontId="57" fillId="2" borderId="6" xfId="70" applyNumberFormat="1" applyFont="1" applyFill="1" applyBorder="1" applyAlignment="1" applyProtection="1">
      <alignment horizontal="center"/>
    </xf>
    <xf numFmtId="176" fontId="57" fillId="2" borderId="7" xfId="70" applyNumberFormat="1" applyFont="1" applyFill="1" applyBorder="1" applyAlignment="1" applyProtection="1">
      <alignment horizontal="center"/>
    </xf>
    <xf numFmtId="9" fontId="52" fillId="29" borderId="0" xfId="0" applyNumberFormat="1" applyFont="1" applyFill="1" applyBorder="1" applyAlignment="1">
      <alignment horizontal="center" vertical="center"/>
    </xf>
    <xf numFmtId="9" fontId="52" fillId="29" borderId="0" xfId="0" applyNumberFormat="1" applyFont="1" applyFill="1" applyBorder="1"/>
    <xf numFmtId="9" fontId="52" fillId="29" borderId="0" xfId="0" applyNumberFormat="1" applyFont="1" applyFill="1" applyBorder="1" applyAlignment="1">
      <alignment horizontal="center"/>
    </xf>
    <xf numFmtId="3" fontId="57" fillId="29" borderId="40" xfId="0" applyNumberFormat="1" applyFont="1" applyFill="1" applyBorder="1" applyAlignment="1">
      <alignment horizontal="center" vertical="center"/>
    </xf>
    <xf numFmtId="3" fontId="57" fillId="29" borderId="81" xfId="0" applyNumberFormat="1" applyFont="1" applyFill="1" applyBorder="1" applyAlignment="1">
      <alignment horizontal="center" vertical="center"/>
    </xf>
    <xf numFmtId="0" fontId="16" fillId="2" borderId="0" xfId="53" applyFont="1" applyFill="1" applyBorder="1" applyAlignment="1"/>
    <xf numFmtId="0" fontId="16" fillId="2" borderId="0" xfId="53" applyFont="1" applyFill="1" applyBorder="1"/>
    <xf numFmtId="2" fontId="16" fillId="2" borderId="0" xfId="53" applyNumberFormat="1" applyFont="1" applyFill="1" applyBorder="1" applyAlignment="1">
      <alignment horizontal="center"/>
    </xf>
    <xf numFmtId="0" fontId="56" fillId="2" borderId="11" xfId="73" applyFont="1" applyFill="1" applyBorder="1" applyAlignment="1">
      <alignment vertical="center"/>
    </xf>
    <xf numFmtId="0" fontId="66" fillId="27" borderId="2" xfId="0" applyFont="1" applyFill="1" applyBorder="1" applyAlignment="1">
      <alignment horizontal="center" wrapText="1"/>
    </xf>
    <xf numFmtId="0" fontId="10" fillId="2" borderId="0" xfId="0" applyFont="1" applyFill="1" applyAlignment="1">
      <alignment horizontal="center"/>
    </xf>
    <xf numFmtId="0" fontId="80" fillId="2" borderId="0" xfId="0" applyFont="1" applyFill="1"/>
    <xf numFmtId="0" fontId="0" fillId="2" borderId="0" xfId="0" applyFill="1" applyAlignment="1">
      <alignment vertical="top"/>
    </xf>
    <xf numFmtId="0" fontId="64" fillId="2" borderId="0" xfId="0" applyFont="1" applyFill="1" applyAlignment="1">
      <alignment horizontal="left" vertical="top"/>
    </xf>
    <xf numFmtId="0" fontId="64" fillId="2" borderId="0" xfId="0" applyFont="1" applyFill="1" applyAlignment="1">
      <alignment vertical="top"/>
    </xf>
    <xf numFmtId="0" fontId="40" fillId="2" borderId="0" xfId="0" applyFont="1" applyFill="1" applyAlignment="1">
      <alignment horizontal="center" vertical="top"/>
    </xf>
    <xf numFmtId="0" fontId="66" fillId="27" borderId="10" xfId="0" applyFont="1" applyFill="1" applyBorder="1" applyAlignment="1">
      <alignment vertical="center" wrapText="1"/>
    </xf>
    <xf numFmtId="0" fontId="66" fillId="27" borderId="66" xfId="0" applyFont="1" applyFill="1" applyBorder="1" applyAlignment="1">
      <alignment horizontal="center" vertical="center" wrapText="1"/>
    </xf>
    <xf numFmtId="0" fontId="66" fillId="27" borderId="10" xfId="53" applyFont="1" applyFill="1" applyBorder="1" applyAlignment="1">
      <alignment vertical="center"/>
    </xf>
    <xf numFmtId="0" fontId="66" fillId="27" borderId="66" xfId="53" applyFont="1" applyFill="1" applyBorder="1" applyAlignment="1">
      <alignment horizontal="center" vertical="center"/>
    </xf>
    <xf numFmtId="174" fontId="65" fillId="2" borderId="0" xfId="40" applyNumberFormat="1" applyFont="1" applyFill="1" applyBorder="1" applyAlignment="1">
      <alignment vertical="center"/>
    </xf>
    <xf numFmtId="3" fontId="11" fillId="2" borderId="35" xfId="0" applyNumberFormat="1" applyFont="1" applyFill="1" applyBorder="1" applyAlignment="1">
      <alignment horizontal="center" vertical="center" wrapText="1"/>
    </xf>
    <xf numFmtId="0" fontId="53" fillId="2" borderId="12" xfId="0" applyFont="1" applyFill="1" applyBorder="1" applyAlignment="1">
      <alignment horizontal="left"/>
    </xf>
    <xf numFmtId="3" fontId="62" fillId="2" borderId="0" xfId="0" applyNumberFormat="1" applyFont="1" applyFill="1" applyBorder="1" applyAlignment="1">
      <alignment horizontal="center" vertical="center" wrapText="1"/>
    </xf>
    <xf numFmtId="0" fontId="52" fillId="29" borderId="0" xfId="0" applyFont="1" applyFill="1" applyBorder="1"/>
    <xf numFmtId="38" fontId="57" fillId="29" borderId="0" xfId="0" applyNumberFormat="1" applyFont="1" applyFill="1" applyBorder="1" applyAlignment="1">
      <alignment horizontal="center"/>
    </xf>
    <xf numFmtId="0" fontId="52" fillId="29" borderId="6" xfId="0" applyFont="1" applyFill="1" applyBorder="1" applyAlignment="1">
      <alignment vertical="top"/>
    </xf>
    <xf numFmtId="0" fontId="52" fillId="2" borderId="0" xfId="0" applyFont="1" applyFill="1" applyBorder="1" applyAlignment="1">
      <alignment horizontal="left" vertical="top"/>
    </xf>
    <xf numFmtId="0" fontId="52" fillId="2" borderId="0" xfId="0" applyFont="1" applyFill="1" applyBorder="1" applyAlignment="1">
      <alignment vertical="top"/>
    </xf>
    <xf numFmtId="172" fontId="57" fillId="2" borderId="0" xfId="0" applyNumberFormat="1" applyFont="1" applyFill="1" applyBorder="1" applyAlignment="1">
      <alignment horizontal="center"/>
    </xf>
    <xf numFmtId="3" fontId="52" fillId="2" borderId="0" xfId="0" applyNumberFormat="1" applyFont="1" applyFill="1" applyBorder="1" applyAlignment="1">
      <alignment horizontal="right"/>
    </xf>
    <xf numFmtId="10" fontId="52" fillId="2" borderId="0" xfId="72" applyNumberFormat="1" applyFont="1" applyFill="1" applyBorder="1" applyAlignment="1">
      <alignment horizontal="center"/>
    </xf>
    <xf numFmtId="38" fontId="52" fillId="2" borderId="0" xfId="71" applyNumberFormat="1" applyFont="1" applyFill="1" applyBorder="1" applyAlignment="1">
      <alignment horizontal="center"/>
    </xf>
    <xf numFmtId="38" fontId="52" fillId="2" borderId="0" xfId="0" applyNumberFormat="1" applyFont="1" applyFill="1" applyBorder="1" applyAlignment="1">
      <alignment horizontal="center"/>
    </xf>
    <xf numFmtId="0" fontId="52" fillId="29" borderId="6" xfId="0" applyFont="1" applyFill="1" applyBorder="1"/>
    <xf numFmtId="0" fontId="57" fillId="29" borderId="6" xfId="0" applyFont="1" applyFill="1" applyBorder="1"/>
    <xf numFmtId="0" fontId="53" fillId="2" borderId="12" xfId="0" applyFont="1" applyFill="1" applyBorder="1"/>
    <xf numFmtId="0" fontId="52" fillId="2" borderId="6" xfId="0" applyFont="1" applyFill="1" applyBorder="1"/>
    <xf numFmtId="0" fontId="80" fillId="2" borderId="0" xfId="0" applyFont="1" applyFill="1" applyBorder="1"/>
    <xf numFmtId="0" fontId="11" fillId="2" borderId="0" xfId="0" applyFont="1" applyFill="1" applyBorder="1"/>
    <xf numFmtId="0" fontId="11" fillId="2" borderId="0" xfId="0" applyFont="1" applyFill="1"/>
    <xf numFmtId="0" fontId="53" fillId="2" borderId="0" xfId="0" applyFont="1" applyFill="1"/>
    <xf numFmtId="0" fontId="53" fillId="2" borderId="0" xfId="0" applyFont="1" applyFill="1" applyBorder="1"/>
    <xf numFmtId="0" fontId="0" fillId="2" borderId="0" xfId="0" applyFont="1" applyFill="1" applyBorder="1" applyAlignment="1">
      <alignment horizontal="left"/>
    </xf>
    <xf numFmtId="0" fontId="11" fillId="2" borderId="34" xfId="0" applyNumberFormat="1" applyFont="1" applyFill="1" applyBorder="1" applyAlignment="1">
      <alignment horizontal="center" vertical="center" wrapText="1"/>
    </xf>
    <xf numFmtId="0" fontId="11" fillId="2" borderId="36" xfId="0" applyFont="1" applyFill="1" applyBorder="1" applyAlignment="1">
      <alignment horizontal="center" vertical="center" wrapText="1"/>
    </xf>
    <xf numFmtId="38" fontId="11" fillId="2" borderId="0" xfId="71" applyNumberFormat="1" applyFont="1" applyFill="1" applyBorder="1" applyAlignment="1">
      <alignment horizontal="center" vertical="center"/>
    </xf>
    <xf numFmtId="0" fontId="62" fillId="2" borderId="13" xfId="0" applyFont="1" applyFill="1" applyBorder="1" applyAlignment="1">
      <alignment horizontal="center" vertical="center" wrapText="1"/>
    </xf>
    <xf numFmtId="38" fontId="57" fillId="2" borderId="0" xfId="71" applyNumberFormat="1" applyFont="1" applyFill="1" applyBorder="1" applyAlignment="1">
      <alignment horizontal="center" vertical="center"/>
    </xf>
    <xf numFmtId="38" fontId="57" fillId="29" borderId="0" xfId="71" applyNumberFormat="1" applyFont="1" applyFill="1" applyBorder="1" applyAlignment="1">
      <alignment horizontal="center" vertical="center"/>
    </xf>
    <xf numFmtId="0" fontId="57" fillId="2" borderId="12" xfId="0" applyFont="1" applyFill="1" applyBorder="1" applyAlignment="1">
      <alignment horizontal="left" vertical="center"/>
    </xf>
    <xf numFmtId="0" fontId="52" fillId="2" borderId="0" xfId="0" applyFont="1" applyFill="1" applyBorder="1" applyAlignment="1">
      <alignment horizontal="center"/>
    </xf>
    <xf numFmtId="38" fontId="52" fillId="2" borderId="13" xfId="0" applyNumberFormat="1" applyFont="1" applyFill="1" applyBorder="1" applyAlignment="1">
      <alignment horizontal="center"/>
    </xf>
    <xf numFmtId="38" fontId="57" fillId="2" borderId="0" xfId="0" applyNumberFormat="1" applyFont="1" applyFill="1" applyBorder="1" applyAlignment="1">
      <alignment horizontal="center" vertical="center"/>
    </xf>
    <xf numFmtId="0" fontId="62" fillId="2" borderId="0" xfId="0" applyFont="1" applyFill="1" applyBorder="1" applyAlignment="1">
      <alignment horizontal="center" vertical="center" wrapText="1"/>
    </xf>
    <xf numFmtId="0" fontId="57" fillId="2" borderId="0" xfId="0" applyFont="1" applyFill="1" applyBorder="1" applyAlignment="1">
      <alignment horizontal="left" vertical="center"/>
    </xf>
    <xf numFmtId="0" fontId="57" fillId="2" borderId="0" xfId="0" applyFont="1" applyFill="1" applyBorder="1" applyAlignment="1">
      <alignment horizontal="right" vertical="center"/>
    </xf>
    <xf numFmtId="0" fontId="52" fillId="2" borderId="13" xfId="0" applyFont="1" applyFill="1" applyBorder="1"/>
    <xf numFmtId="38" fontId="57" fillId="2" borderId="13" xfId="71" applyNumberFormat="1" applyFont="1" applyFill="1" applyBorder="1" applyAlignment="1">
      <alignment horizontal="center" vertical="center"/>
    </xf>
    <xf numFmtId="3" fontId="11" fillId="2" borderId="81" xfId="0" applyNumberFormat="1" applyFont="1" applyFill="1" applyBorder="1" applyAlignment="1">
      <alignment horizontal="left" vertical="center"/>
    </xf>
    <xf numFmtId="3" fontId="53" fillId="2" borderId="47" xfId="0" applyNumberFormat="1" applyFont="1" applyFill="1" applyBorder="1" applyAlignment="1">
      <alignment horizontal="center" vertical="center"/>
    </xf>
    <xf numFmtId="3" fontId="11" fillId="2" borderId="46" xfId="0" applyNumberFormat="1" applyFont="1" applyFill="1" applyBorder="1" applyAlignment="1">
      <alignment horizontal="center" vertical="center"/>
    </xf>
    <xf numFmtId="3" fontId="53" fillId="2" borderId="46" xfId="0" applyNumberFormat="1" applyFont="1" applyFill="1" applyBorder="1" applyAlignment="1">
      <alignment horizontal="center" vertical="center"/>
    </xf>
    <xf numFmtId="3" fontId="11" fillId="29" borderId="46" xfId="0" applyNumberFormat="1" applyFont="1" applyFill="1" applyBorder="1" applyAlignment="1">
      <alignment horizontal="center" vertical="center"/>
    </xf>
    <xf numFmtId="3" fontId="11" fillId="0" borderId="46" xfId="0" applyNumberFormat="1" applyFont="1" applyFill="1" applyBorder="1" applyAlignment="1">
      <alignment horizontal="center" vertical="center"/>
    </xf>
    <xf numFmtId="3" fontId="11" fillId="2" borderId="48" xfId="0" applyNumberFormat="1" applyFont="1" applyFill="1" applyBorder="1" applyAlignment="1">
      <alignment horizontal="center" vertical="center"/>
    </xf>
    <xf numFmtId="0" fontId="81" fillId="2" borderId="0" xfId="0" applyFont="1" applyFill="1" applyAlignment="1">
      <alignment vertical="center"/>
    </xf>
    <xf numFmtId="0" fontId="15" fillId="2" borderId="0" xfId="0" applyFont="1" applyFill="1" applyAlignment="1">
      <alignment vertical="center"/>
    </xf>
    <xf numFmtId="0" fontId="53" fillId="2" borderId="0" xfId="0" applyFont="1" applyFill="1" applyAlignment="1">
      <alignment horizontal="left" wrapText="1"/>
    </xf>
    <xf numFmtId="0" fontId="53" fillId="2" borderId="0" xfId="0" applyFont="1" applyFill="1" applyAlignment="1">
      <alignment horizontal="left"/>
    </xf>
    <xf numFmtId="0" fontId="4" fillId="2" borderId="0" xfId="0" applyFont="1" applyFill="1" applyAlignment="1">
      <alignment vertical="center"/>
    </xf>
    <xf numFmtId="38" fontId="52" fillId="2" borderId="37" xfId="0" applyNumberFormat="1" applyFont="1" applyFill="1" applyBorder="1" applyAlignment="1">
      <alignment horizontal="center"/>
    </xf>
    <xf numFmtId="176" fontId="57" fillId="2" borderId="0" xfId="70" applyNumberFormat="1" applyFont="1" applyFill="1" applyBorder="1" applyAlignment="1" applyProtection="1">
      <alignment horizontal="center"/>
      <protection locked="0"/>
    </xf>
    <xf numFmtId="176" fontId="57" fillId="2" borderId="0" xfId="70" applyNumberFormat="1" applyFont="1" applyFill="1" applyBorder="1"/>
    <xf numFmtId="0" fontId="11" fillId="2" borderId="0" xfId="0" applyFont="1" applyFill="1" applyAlignment="1">
      <alignment horizontal="left" vertical="center" wrapText="1"/>
    </xf>
    <xf numFmtId="0" fontId="79" fillId="2" borderId="0" xfId="0" applyFont="1" applyFill="1" applyBorder="1" applyAlignment="1">
      <alignment vertical="center"/>
    </xf>
    <xf numFmtId="0" fontId="11" fillId="2" borderId="0" xfId="0" applyFont="1" applyFill="1" applyBorder="1" applyAlignment="1">
      <alignment horizontal="left" vertical="top"/>
    </xf>
    <xf numFmtId="0" fontId="11" fillId="2" borderId="0" xfId="0" applyFont="1" applyFill="1" applyBorder="1" applyAlignment="1"/>
    <xf numFmtId="0" fontId="82" fillId="2" borderId="0" xfId="0" applyFont="1" applyFill="1" applyBorder="1" applyAlignment="1">
      <alignment horizontal="center"/>
    </xf>
    <xf numFmtId="0" fontId="57" fillId="2" borderId="0" xfId="0" applyFont="1" applyFill="1" applyBorder="1" applyAlignment="1">
      <alignment horizontal="left"/>
    </xf>
    <xf numFmtId="0" fontId="57" fillId="2" borderId="0" xfId="0" applyFont="1" applyFill="1" applyAlignment="1">
      <alignment horizontal="center"/>
    </xf>
    <xf numFmtId="3" fontId="62" fillId="26" borderId="49" xfId="0" applyNumberFormat="1" applyFont="1" applyFill="1" applyBorder="1" applyAlignment="1">
      <alignment horizontal="center" vertical="center"/>
    </xf>
    <xf numFmtId="3" fontId="62" fillId="26" borderId="50" xfId="0" applyNumberFormat="1" applyFont="1" applyFill="1" applyBorder="1" applyAlignment="1">
      <alignment horizontal="center" vertical="center"/>
    </xf>
    <xf numFmtId="3" fontId="62" fillId="26" borderId="50" xfId="0" applyNumberFormat="1" applyFont="1" applyFill="1" applyBorder="1" applyAlignment="1">
      <alignment vertical="center"/>
    </xf>
    <xf numFmtId="3" fontId="62" fillId="26" borderId="41" xfId="0" applyNumberFormat="1" applyFont="1" applyFill="1" applyBorder="1" applyAlignment="1">
      <alignment vertical="center"/>
    </xf>
    <xf numFmtId="170" fontId="57" fillId="2" borderId="0" xfId="0" applyNumberFormat="1" applyFont="1" applyFill="1" applyBorder="1" applyAlignment="1">
      <alignment horizontal="center" vertical="center"/>
    </xf>
    <xf numFmtId="3" fontId="11" fillId="2" borderId="0" xfId="0" applyNumberFormat="1" applyFont="1" applyFill="1" applyBorder="1" applyAlignment="1">
      <alignment horizontal="left" vertical="center" wrapText="1"/>
    </xf>
    <xf numFmtId="0" fontId="66" fillId="27" borderId="86" xfId="0" applyNumberFormat="1" applyFont="1" applyFill="1" applyBorder="1" applyAlignment="1">
      <alignment horizontal="center" vertical="center" wrapText="1"/>
    </xf>
    <xf numFmtId="3" fontId="52" fillId="2" borderId="12" xfId="0" applyNumberFormat="1" applyFont="1" applyFill="1" applyBorder="1" applyAlignment="1">
      <alignment horizontal="center" vertical="center"/>
    </xf>
    <xf numFmtId="3" fontId="57" fillId="2" borderId="13" xfId="0" applyNumberFormat="1" applyFont="1" applyFill="1" applyBorder="1" applyAlignment="1">
      <alignment horizontal="center" vertical="center"/>
    </xf>
    <xf numFmtId="3" fontId="62" fillId="26" borderId="12" xfId="0" applyNumberFormat="1" applyFont="1" applyFill="1" applyBorder="1" applyAlignment="1">
      <alignment horizontal="center" vertical="center"/>
    </xf>
    <xf numFmtId="3" fontId="62" fillId="26" borderId="0" xfId="0" applyNumberFormat="1" applyFont="1" applyFill="1" applyBorder="1" applyAlignment="1">
      <alignment horizontal="center" vertical="center"/>
    </xf>
    <xf numFmtId="3" fontId="62" fillId="26" borderId="0" xfId="0" applyNumberFormat="1" applyFont="1" applyFill="1" applyBorder="1" applyAlignment="1">
      <alignment vertical="center"/>
    </xf>
    <xf numFmtId="3" fontId="62" fillId="26" borderId="13" xfId="0" applyNumberFormat="1" applyFont="1" applyFill="1" applyBorder="1" applyAlignment="1">
      <alignment vertical="center"/>
    </xf>
    <xf numFmtId="9" fontId="73" fillId="2" borderId="13" xfId="0" applyNumberFormat="1" applyFont="1" applyFill="1" applyBorder="1"/>
    <xf numFmtId="0" fontId="57" fillId="2" borderId="0" xfId="0" applyFont="1" applyFill="1" applyAlignment="1">
      <alignment horizontal="left"/>
    </xf>
    <xf numFmtId="0" fontId="82" fillId="2" borderId="0" xfId="0" applyFont="1" applyFill="1" applyAlignment="1">
      <alignment vertical="center"/>
    </xf>
    <xf numFmtId="0" fontId="83" fillId="2" borderId="0" xfId="0" applyFont="1" applyFill="1" applyAlignment="1">
      <alignment vertical="center"/>
    </xf>
    <xf numFmtId="0" fontId="84" fillId="2" borderId="0" xfId="0" applyFont="1" applyFill="1" applyAlignment="1">
      <alignment horizontal="center" wrapText="1"/>
    </xf>
    <xf numFmtId="0" fontId="84" fillId="2" borderId="0" xfId="0" applyFont="1" applyFill="1" applyAlignment="1">
      <alignment horizontal="left" wrapText="1"/>
    </xf>
    <xf numFmtId="0" fontId="11" fillId="2" borderId="0" xfId="0" applyFont="1" applyFill="1" applyBorder="1" applyAlignment="1">
      <alignment horizontal="left"/>
    </xf>
    <xf numFmtId="0" fontId="84" fillId="2" borderId="0" xfId="0" applyFont="1" applyFill="1" applyAlignment="1">
      <alignment horizontal="center"/>
    </xf>
    <xf numFmtId="0" fontId="84" fillId="2" borderId="0" xfId="0" applyFont="1" applyFill="1" applyAlignment="1">
      <alignment horizontal="center" vertical="center"/>
    </xf>
    <xf numFmtId="0" fontId="45" fillId="2" borderId="0" xfId="0" applyFont="1" applyFill="1" applyBorder="1" applyAlignment="1">
      <alignment vertical="top"/>
    </xf>
    <xf numFmtId="0" fontId="52" fillId="2" borderId="5" xfId="0" applyFont="1" applyFill="1" applyBorder="1" applyAlignment="1">
      <alignment horizontal="center"/>
    </xf>
    <xf numFmtId="0" fontId="62" fillId="2" borderId="6" xfId="0" applyFont="1" applyFill="1" applyBorder="1" applyAlignment="1">
      <alignment horizontal="center"/>
    </xf>
    <xf numFmtId="39" fontId="53" fillId="2" borderId="6" xfId="0" applyNumberFormat="1" applyFont="1" applyFill="1" applyBorder="1" applyAlignment="1">
      <alignment horizontal="center"/>
    </xf>
    <xf numFmtId="0" fontId="52" fillId="2" borderId="7" xfId="0" applyFont="1" applyFill="1" applyBorder="1"/>
    <xf numFmtId="3" fontId="57" fillId="29" borderId="87" xfId="0" applyNumberFormat="1" applyFont="1" applyFill="1" applyBorder="1" applyAlignment="1">
      <alignment horizontal="center" vertical="center"/>
    </xf>
    <xf numFmtId="9" fontId="73" fillId="29" borderId="0" xfId="0" applyNumberFormat="1" applyFont="1" applyFill="1" applyBorder="1" applyAlignment="1">
      <alignment horizontal="center" vertical="center"/>
    </xf>
    <xf numFmtId="9" fontId="73" fillId="29" borderId="0" xfId="0" applyNumberFormat="1" applyFont="1" applyFill="1" applyBorder="1"/>
    <xf numFmtId="3" fontId="57" fillId="29" borderId="88" xfId="0" applyNumberFormat="1" applyFont="1" applyFill="1" applyBorder="1" applyAlignment="1">
      <alignment horizontal="center" vertical="center"/>
    </xf>
    <xf numFmtId="9" fontId="52" fillId="29" borderId="13" xfId="0" applyNumberFormat="1" applyFont="1" applyFill="1" applyBorder="1"/>
    <xf numFmtId="9" fontId="73" fillId="29" borderId="13" xfId="0" applyNumberFormat="1" applyFont="1" applyFill="1" applyBorder="1"/>
    <xf numFmtId="0" fontId="0" fillId="2" borderId="12" xfId="0" applyFill="1" applyBorder="1" applyAlignment="1">
      <alignment horizontal="center"/>
    </xf>
    <xf numFmtId="0" fontId="0" fillId="2" borderId="13" xfId="0" applyFill="1" applyBorder="1"/>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xf numFmtId="174" fontId="65" fillId="29" borderId="29" xfId="40" applyNumberFormat="1" applyFont="1" applyFill="1" applyBorder="1" applyAlignment="1">
      <alignment horizontal="center" vertical="center" wrapText="1"/>
    </xf>
    <xf numFmtId="0" fontId="57" fillId="2" borderId="0" xfId="0" applyFont="1" applyFill="1" applyBorder="1" applyAlignment="1">
      <alignment vertical="top"/>
    </xf>
    <xf numFmtId="0" fontId="57" fillId="2" borderId="0" xfId="0" applyFont="1" applyFill="1" applyBorder="1" applyAlignment="1">
      <alignment vertical="top" wrapText="1"/>
    </xf>
    <xf numFmtId="0" fontId="52" fillId="2" borderId="0" xfId="0" applyFont="1" applyFill="1" applyBorder="1" applyAlignment="1">
      <alignment horizontal="center" wrapText="1"/>
    </xf>
    <xf numFmtId="3" fontId="57" fillId="29" borderId="0" xfId="0" applyNumberFormat="1" applyFont="1" applyFill="1" applyBorder="1" applyAlignment="1">
      <alignment vertical="top"/>
    </xf>
    <xf numFmtId="0" fontId="57" fillId="2" borderId="0" xfId="0" applyFont="1" applyFill="1" applyBorder="1" applyAlignment="1">
      <alignment horizontal="center" vertical="top" wrapText="1"/>
    </xf>
    <xf numFmtId="0" fontId="77" fillId="2" borderId="0" xfId="0" applyFont="1" applyFill="1" applyBorder="1" applyAlignment="1">
      <alignment vertical="top" wrapText="1"/>
    </xf>
    <xf numFmtId="0" fontId="77" fillId="2" borderId="0" xfId="0" applyFont="1" applyFill="1" applyBorder="1" applyAlignment="1">
      <alignment horizontal="center" vertical="top" wrapText="1"/>
    </xf>
    <xf numFmtId="0" fontId="77" fillId="29" borderId="0" xfId="0" applyFont="1" applyFill="1" applyBorder="1" applyAlignment="1">
      <alignment vertical="top"/>
    </xf>
    <xf numFmtId="0" fontId="57" fillId="29" borderId="0" xfId="0" applyFont="1" applyFill="1" applyBorder="1" applyAlignment="1">
      <alignment vertical="top"/>
    </xf>
    <xf numFmtId="3" fontId="57" fillId="29" borderId="0" xfId="0" applyNumberFormat="1" applyFont="1" applyFill="1" applyBorder="1" applyAlignment="1">
      <alignment horizontal="center" vertical="top"/>
    </xf>
    <xf numFmtId="0" fontId="52" fillId="2" borderId="12" xfId="0" applyFont="1" applyFill="1" applyBorder="1"/>
    <xf numFmtId="0" fontId="52" fillId="2" borderId="5" xfId="0" applyFont="1" applyFill="1" applyBorder="1"/>
    <xf numFmtId="0" fontId="52" fillId="2" borderId="6" xfId="0" applyFont="1" applyFill="1" applyBorder="1" applyAlignment="1">
      <alignment horizontal="center" wrapText="1"/>
    </xf>
    <xf numFmtId="9" fontId="57" fillId="29" borderId="0" xfId="72" applyFont="1" applyFill="1" applyBorder="1" applyAlignment="1">
      <alignment vertical="top"/>
    </xf>
    <xf numFmtId="0" fontId="66" fillId="27" borderId="70" xfId="0" applyFont="1" applyFill="1" applyBorder="1" applyAlignment="1">
      <alignment horizontal="center" vertical="center" wrapText="1"/>
    </xf>
    <xf numFmtId="169" fontId="66" fillId="27" borderId="86" xfId="6" applyNumberFormat="1" applyFont="1" applyFill="1" applyBorder="1" applyAlignment="1">
      <alignment horizontal="center" vertical="center" wrapText="1"/>
    </xf>
    <xf numFmtId="0" fontId="57" fillId="2" borderId="12" xfId="0" applyFont="1" applyFill="1" applyBorder="1" applyAlignment="1">
      <alignment vertical="top"/>
    </xf>
    <xf numFmtId="9" fontId="57" fillId="29" borderId="13" xfId="72" applyFont="1" applyFill="1" applyBorder="1" applyAlignment="1">
      <alignment vertical="top"/>
    </xf>
    <xf numFmtId="3" fontId="62" fillId="2" borderId="12" xfId="0" applyNumberFormat="1" applyFont="1" applyFill="1" applyBorder="1" applyAlignment="1"/>
    <xf numFmtId="0" fontId="78" fillId="2" borderId="12" xfId="0" applyFont="1" applyFill="1" applyBorder="1" applyAlignment="1">
      <alignment vertical="top"/>
    </xf>
    <xf numFmtId="0" fontId="76" fillId="2" borderId="12" xfId="0" applyFont="1" applyFill="1" applyBorder="1" applyAlignment="1">
      <alignment vertical="top"/>
    </xf>
    <xf numFmtId="9" fontId="57" fillId="2" borderId="13" xfId="72" applyFont="1" applyFill="1" applyBorder="1" applyAlignment="1">
      <alignment vertical="top"/>
    </xf>
    <xf numFmtId="0" fontId="57" fillId="2" borderId="5" xfId="0" applyFont="1" applyFill="1" applyBorder="1" applyAlignment="1">
      <alignment vertical="top"/>
    </xf>
    <xf numFmtId="3" fontId="57" fillId="29" borderId="6" xfId="0" applyNumberFormat="1" applyFont="1" applyFill="1" applyBorder="1" applyAlignment="1">
      <alignment horizontal="center" vertical="top"/>
    </xf>
    <xf numFmtId="9" fontId="57" fillId="29" borderId="7" xfId="72" applyFont="1" applyFill="1" applyBorder="1" applyAlignment="1">
      <alignment vertical="top"/>
    </xf>
    <xf numFmtId="0" fontId="66" fillId="27" borderId="0" xfId="0" quotePrefix="1" applyFont="1" applyFill="1" applyBorder="1" applyAlignment="1">
      <alignment horizontal="center" vertical="center"/>
    </xf>
    <xf numFmtId="169" fontId="66" fillId="27" borderId="0" xfId="6" applyNumberFormat="1" applyFont="1" applyFill="1" applyBorder="1" applyAlignment="1">
      <alignment horizontal="center" vertical="center" wrapText="1"/>
    </xf>
    <xf numFmtId="0" fontId="0" fillId="2" borderId="0" xfId="0" applyFont="1" applyFill="1" applyBorder="1" applyAlignment="1">
      <alignment wrapText="1"/>
    </xf>
    <xf numFmtId="0" fontId="0" fillId="2" borderId="0" xfId="0" applyFont="1" applyFill="1" applyBorder="1" applyAlignment="1">
      <alignment horizontal="center" wrapText="1"/>
    </xf>
    <xf numFmtId="169" fontId="66" fillId="27" borderId="13" xfId="6" applyNumberFormat="1" applyFont="1" applyFill="1" applyBorder="1" applyAlignment="1">
      <alignment horizontal="center" vertical="center" wrapText="1"/>
    </xf>
    <xf numFmtId="0" fontId="40" fillId="2" borderId="0" xfId="0" applyFont="1" applyFill="1" applyBorder="1" applyAlignment="1">
      <alignment horizontal="center" wrapText="1"/>
    </xf>
    <xf numFmtId="0" fontId="84" fillId="2" borderId="0" xfId="0" applyFont="1" applyFill="1" applyBorder="1" applyAlignment="1">
      <alignment horizontal="center" wrapText="1"/>
    </xf>
    <xf numFmtId="0" fontId="84" fillId="2" borderId="0" xfId="0" applyFont="1" applyFill="1" applyBorder="1" applyAlignment="1">
      <alignment horizontal="left" wrapText="1"/>
    </xf>
    <xf numFmtId="0" fontId="79" fillId="2" borderId="0" xfId="0" applyFont="1" applyFill="1" applyBorder="1" applyAlignment="1">
      <alignment vertical="top"/>
    </xf>
    <xf numFmtId="0" fontId="51" fillId="2" borderId="0" xfId="0" applyFont="1" applyFill="1" applyBorder="1" applyAlignment="1">
      <alignment vertical="top" wrapText="1"/>
    </xf>
    <xf numFmtId="0" fontId="51" fillId="2" borderId="0" xfId="0" applyFont="1" applyFill="1" applyBorder="1" applyAlignment="1">
      <alignment horizontal="center" vertical="top" wrapText="1"/>
    </xf>
    <xf numFmtId="0" fontId="40" fillId="2" borderId="0" xfId="0" applyFont="1" applyFill="1" applyBorder="1" applyAlignment="1">
      <alignment horizontal="left" wrapText="1"/>
    </xf>
    <xf numFmtId="0" fontId="51" fillId="2" borderId="0" xfId="0" applyFont="1" applyFill="1" applyBorder="1" applyAlignment="1">
      <alignment vertical="top"/>
    </xf>
    <xf numFmtId="0" fontId="10" fillId="2" borderId="0" xfId="0" applyFont="1" applyFill="1" applyBorder="1" applyAlignment="1">
      <alignment vertical="top"/>
    </xf>
    <xf numFmtId="0" fontId="0" fillId="29" borderId="0" xfId="0" applyFont="1" applyFill="1" applyBorder="1" applyAlignment="1">
      <alignment horizontal="left"/>
    </xf>
    <xf numFmtId="3" fontId="11" fillId="2" borderId="6" xfId="0" applyNumberFormat="1" applyFont="1" applyFill="1" applyBorder="1" applyAlignment="1">
      <alignment horizontal="left" vertical="center" wrapText="1"/>
    </xf>
    <xf numFmtId="170" fontId="11" fillId="2" borderId="6" xfId="0" applyNumberFormat="1" applyFont="1" applyFill="1" applyBorder="1" applyAlignment="1">
      <alignment horizontal="center" vertical="center"/>
    </xf>
    <xf numFmtId="170" fontId="11" fillId="2" borderId="7" xfId="0" applyNumberFormat="1" applyFont="1" applyFill="1" applyBorder="1" applyAlignment="1">
      <alignment horizontal="center" vertical="center"/>
    </xf>
    <xf numFmtId="0" fontId="85" fillId="2" borderId="0" xfId="0" applyFont="1" applyFill="1"/>
    <xf numFmtId="0" fontId="37" fillId="2" borderId="0" xfId="0" applyFont="1" applyFill="1"/>
    <xf numFmtId="0" fontId="85" fillId="2" borderId="0" xfId="0" applyFont="1" applyFill="1" applyAlignment="1">
      <alignment horizontal="left"/>
    </xf>
    <xf numFmtId="0" fontId="85" fillId="2" borderId="0" xfId="0" applyFont="1" applyFill="1" applyAlignment="1">
      <alignment horizontal="center"/>
    </xf>
    <xf numFmtId="0" fontId="57" fillId="2" borderId="11" xfId="0" applyFont="1" applyFill="1" applyBorder="1" applyAlignment="1">
      <alignment vertical="center" wrapText="1"/>
    </xf>
    <xf numFmtId="0" fontId="53" fillId="2" borderId="0" xfId="0" applyFont="1" applyFill="1" applyAlignment="1">
      <alignment horizontal="left" vertical="center"/>
    </xf>
    <xf numFmtId="0" fontId="2" fillId="0" borderId="0" xfId="0" applyFont="1" applyFill="1" applyAlignment="1">
      <alignment wrapText="1"/>
    </xf>
    <xf numFmtId="0" fontId="0" fillId="0" borderId="0" xfId="0" applyFont="1" applyFill="1"/>
    <xf numFmtId="0" fontId="70" fillId="29" borderId="39" xfId="0" applyFont="1" applyFill="1" applyBorder="1" applyAlignment="1">
      <alignment horizontal="center" vertical="center" wrapText="1"/>
    </xf>
    <xf numFmtId="0" fontId="66" fillId="27" borderId="66" xfId="0" applyFont="1" applyFill="1" applyBorder="1" applyAlignment="1">
      <alignment horizontal="center" vertical="center"/>
    </xf>
    <xf numFmtId="0" fontId="56" fillId="2" borderId="66" xfId="73" applyFont="1" applyFill="1" applyBorder="1" applyAlignment="1">
      <alignment vertical="center"/>
    </xf>
    <xf numFmtId="0" fontId="57" fillId="2" borderId="66" xfId="0" applyFont="1" applyFill="1" applyBorder="1" applyAlignment="1">
      <alignment vertical="center" wrapText="1"/>
    </xf>
    <xf numFmtId="0" fontId="52" fillId="2" borderId="0" xfId="0" applyFont="1" applyFill="1" applyAlignment="1">
      <alignment horizontal="center"/>
    </xf>
    <xf numFmtId="0" fontId="40" fillId="2" borderId="0" xfId="0" applyFont="1" applyFill="1" applyAlignment="1">
      <alignment horizontal="center" wrapText="1"/>
    </xf>
    <xf numFmtId="0" fontId="52" fillId="2" borderId="49" xfId="0" applyFont="1" applyFill="1" applyBorder="1"/>
    <xf numFmtId="0" fontId="52" fillId="2" borderId="50" xfId="0" applyFont="1" applyFill="1" applyBorder="1"/>
    <xf numFmtId="0" fontId="52" fillId="2" borderId="41" xfId="0" applyFont="1" applyFill="1" applyBorder="1"/>
    <xf numFmtId="0" fontId="52" fillId="2" borderId="0" xfId="0" quotePrefix="1" applyFont="1" applyFill="1"/>
    <xf numFmtId="10" fontId="16" fillId="0" borderId="9" xfId="0" applyNumberFormat="1" applyFont="1" applyFill="1" applyBorder="1" applyAlignment="1">
      <alignment horizontal="center"/>
    </xf>
    <xf numFmtId="10" fontId="15" fillId="2" borderId="15" xfId="0" applyNumberFormat="1" applyFont="1" applyFill="1" applyBorder="1"/>
    <xf numFmtId="10" fontId="16" fillId="29" borderId="8" xfId="0" applyNumberFormat="1" applyFont="1" applyFill="1" applyBorder="1"/>
    <xf numFmtId="10" fontId="15" fillId="2" borderId="8" xfId="0" applyNumberFormat="1" applyFont="1" applyFill="1" applyBorder="1"/>
    <xf numFmtId="10" fontId="16" fillId="2" borderId="9" xfId="0" applyNumberFormat="1" applyFont="1" applyFill="1" applyBorder="1" applyAlignment="1">
      <alignment horizontal="center"/>
    </xf>
    <xf numFmtId="10" fontId="16" fillId="2" borderId="9" xfId="0" quotePrefix="1" applyNumberFormat="1" applyFont="1" applyFill="1" applyBorder="1" applyAlignment="1">
      <alignment horizontal="center"/>
    </xf>
    <xf numFmtId="17" fontId="15" fillId="2" borderId="15" xfId="0" applyNumberFormat="1" applyFont="1" applyFill="1" applyBorder="1"/>
    <xf numFmtId="10" fontId="16" fillId="29" borderId="9" xfId="0" applyNumberFormat="1" applyFont="1" applyFill="1" applyBorder="1" applyAlignment="1">
      <alignment horizontal="center"/>
    </xf>
    <xf numFmtId="8" fontId="53" fillId="2" borderId="6" xfId="0" applyNumberFormat="1" applyFont="1" applyFill="1" applyBorder="1" applyAlignment="1">
      <alignment horizontal="center"/>
    </xf>
    <xf numFmtId="170" fontId="53" fillId="2" borderId="82" xfId="0" applyNumberFormat="1" applyFont="1" applyFill="1" applyBorder="1" applyAlignment="1">
      <alignment horizontal="center"/>
    </xf>
    <xf numFmtId="8" fontId="11" fillId="2" borderId="55" xfId="0" applyNumberFormat="1" applyFont="1" applyFill="1" applyBorder="1" applyAlignment="1">
      <alignment horizontal="center"/>
    </xf>
    <xf numFmtId="8" fontId="53" fillId="2" borderId="83" xfId="0" applyNumberFormat="1" applyFont="1" applyFill="1" applyBorder="1" applyAlignment="1">
      <alignment horizontal="center"/>
    </xf>
    <xf numFmtId="8" fontId="53" fillId="2" borderId="84" xfId="0" applyNumberFormat="1" applyFont="1" applyFill="1" applyBorder="1" applyAlignment="1">
      <alignment horizontal="center"/>
    </xf>
    <xf numFmtId="0" fontId="57" fillId="2" borderId="0" xfId="72" applyNumberFormat="1" applyFont="1" applyFill="1" applyBorder="1" applyAlignment="1">
      <alignment horizontal="center" vertical="center"/>
    </xf>
    <xf numFmtId="9" fontId="52" fillId="2" borderId="13" xfId="72" applyFont="1" applyFill="1" applyBorder="1" applyAlignment="1">
      <alignment horizontal="center"/>
    </xf>
    <xf numFmtId="38" fontId="57" fillId="2" borderId="12" xfId="0" applyNumberFormat="1" applyFont="1" applyFill="1" applyBorder="1" applyAlignment="1">
      <alignment horizontal="left"/>
    </xf>
    <xf numFmtId="10" fontId="57" fillId="2" borderId="0" xfId="72" applyNumberFormat="1" applyFont="1" applyFill="1" applyBorder="1" applyAlignment="1">
      <alignment horizontal="center" vertical="center"/>
    </xf>
    <xf numFmtId="43" fontId="52" fillId="2" borderId="13" xfId="71" applyFont="1" applyFill="1" applyBorder="1" applyAlignment="1">
      <alignment horizontal="center"/>
    </xf>
    <xf numFmtId="0" fontId="57" fillId="2" borderId="5" xfId="0" applyFont="1" applyFill="1" applyBorder="1" applyAlignment="1">
      <alignment horizontal="left" vertical="center"/>
    </xf>
    <xf numFmtId="38" fontId="57" fillId="2" borderId="13" xfId="0" applyNumberFormat="1" applyFont="1" applyFill="1" applyBorder="1" applyAlignment="1">
      <alignment horizontal="center"/>
    </xf>
    <xf numFmtId="0" fontId="57" fillId="2" borderId="7" xfId="0" applyFont="1" applyFill="1" applyBorder="1" applyAlignment="1">
      <alignment horizontal="center"/>
    </xf>
    <xf numFmtId="3" fontId="53" fillId="2" borderId="3" xfId="0" applyNumberFormat="1" applyFont="1" applyFill="1" applyBorder="1" applyAlignment="1">
      <alignment horizontal="center" vertical="center"/>
    </xf>
    <xf numFmtId="3" fontId="11" fillId="2" borderId="40" xfId="0" applyNumberFormat="1" applyFont="1" applyFill="1" applyBorder="1" applyAlignment="1">
      <alignment horizontal="left" vertical="center"/>
    </xf>
    <xf numFmtId="3" fontId="11" fillId="2" borderId="40" xfId="0" applyNumberFormat="1" applyFont="1" applyFill="1" applyBorder="1" applyAlignment="1">
      <alignment horizontal="center" vertical="center"/>
    </xf>
    <xf numFmtId="3" fontId="53" fillId="2" borderId="40" xfId="0" applyNumberFormat="1" applyFont="1" applyFill="1" applyBorder="1" applyAlignment="1">
      <alignment horizontal="center" vertical="center"/>
    </xf>
    <xf numFmtId="3" fontId="11" fillId="29" borderId="40" xfId="0" applyNumberFormat="1" applyFont="1" applyFill="1" applyBorder="1" applyAlignment="1">
      <alignment horizontal="center" vertical="center"/>
    </xf>
    <xf numFmtId="3" fontId="11" fillId="0" borderId="40" xfId="0" applyNumberFormat="1" applyFont="1" applyFill="1" applyBorder="1" applyAlignment="1">
      <alignment horizontal="center" vertical="center"/>
    </xf>
    <xf numFmtId="3" fontId="11" fillId="2" borderId="94" xfId="0" applyNumberFormat="1" applyFont="1" applyFill="1" applyBorder="1" applyAlignment="1">
      <alignment horizontal="center" vertical="center"/>
    </xf>
    <xf numFmtId="3" fontId="62" fillId="0" borderId="0" xfId="0" applyNumberFormat="1" applyFont="1" applyFill="1" applyBorder="1" applyAlignment="1">
      <alignment vertical="center" wrapText="1"/>
    </xf>
    <xf numFmtId="0" fontId="57" fillId="0" borderId="0" xfId="0" applyFont="1" applyFill="1" applyBorder="1" applyAlignment="1">
      <alignment vertical="top" wrapText="1"/>
    </xf>
    <xf numFmtId="3" fontId="57" fillId="2" borderId="40" xfId="0" applyNumberFormat="1" applyFont="1" applyFill="1" applyBorder="1" applyAlignment="1">
      <alignment horizontal="center" vertical="center"/>
    </xf>
    <xf numFmtId="166" fontId="52" fillId="2" borderId="37" xfId="0" applyNumberFormat="1" applyFont="1" applyFill="1" applyBorder="1"/>
    <xf numFmtId="164" fontId="65" fillId="29" borderId="29" xfId="70" applyFont="1" applyFill="1" applyBorder="1" applyAlignment="1">
      <alignment horizontal="left" vertical="center" wrapText="1"/>
    </xf>
    <xf numFmtId="38" fontId="80" fillId="2" borderId="0" xfId="71" applyNumberFormat="1" applyFont="1" applyFill="1" applyBorder="1" applyAlignment="1">
      <alignment horizontal="center" vertical="center"/>
    </xf>
    <xf numFmtId="177" fontId="52" fillId="29" borderId="39" xfId="71" applyNumberFormat="1" applyFont="1" applyFill="1" applyBorder="1" applyAlignment="1">
      <alignment horizontal="center"/>
    </xf>
    <xf numFmtId="3" fontId="52" fillId="2" borderId="2" xfId="0" applyNumberFormat="1" applyFont="1" applyFill="1" applyBorder="1" applyAlignment="1" applyProtection="1">
      <alignment horizontal="center"/>
      <protection locked="0"/>
    </xf>
    <xf numFmtId="9" fontId="52" fillId="29" borderId="6" xfId="72" applyFont="1" applyFill="1" applyBorder="1"/>
    <xf numFmtId="10" fontId="57" fillId="29" borderId="6" xfId="72" applyNumberFormat="1" applyFont="1" applyFill="1" applyBorder="1" applyAlignment="1">
      <alignment horizontal="center"/>
    </xf>
    <xf numFmtId="38" fontId="52" fillId="2" borderId="0" xfId="0" applyNumberFormat="1" applyFont="1" applyFill="1" applyBorder="1"/>
    <xf numFmtId="1" fontId="65" fillId="29" borderId="29" xfId="40" applyNumberFormat="1" applyFont="1" applyFill="1" applyBorder="1" applyAlignment="1">
      <alignment horizontal="center" vertical="center" wrapText="1"/>
    </xf>
    <xf numFmtId="0" fontId="58" fillId="2" borderId="0" xfId="0" applyFont="1" applyFill="1" applyAlignment="1">
      <alignment horizontal="center"/>
    </xf>
    <xf numFmtId="3" fontId="57" fillId="2" borderId="0" xfId="0" applyNumberFormat="1" applyFont="1" applyFill="1" applyBorder="1" applyAlignment="1">
      <alignment horizontal="left" vertical="center"/>
    </xf>
    <xf numFmtId="3" fontId="57" fillId="2" borderId="6" xfId="0" applyNumberFormat="1" applyFont="1" applyFill="1" applyBorder="1" applyAlignment="1">
      <alignment horizontal="left" vertical="center"/>
    </xf>
    <xf numFmtId="0" fontId="66" fillId="27" borderId="37" xfId="0" applyFont="1" applyFill="1" applyBorder="1" applyAlignment="1">
      <alignment horizontal="center" vertical="center" wrapText="1"/>
    </xf>
    <xf numFmtId="3" fontId="11" fillId="2" borderId="0" xfId="0" applyNumberFormat="1" applyFont="1" applyFill="1" applyBorder="1" applyAlignment="1">
      <alignment horizontal="left" vertical="center"/>
    </xf>
    <xf numFmtId="3" fontId="57" fillId="2" borderId="0" xfId="0" applyNumberFormat="1" applyFont="1" applyFill="1" applyBorder="1" applyAlignment="1">
      <alignment horizontal="left" vertical="center"/>
    </xf>
    <xf numFmtId="3" fontId="57" fillId="2" borderId="6" xfId="0" applyNumberFormat="1" applyFont="1" applyFill="1" applyBorder="1" applyAlignment="1">
      <alignment horizontal="left" vertical="center"/>
    </xf>
    <xf numFmtId="166" fontId="52" fillId="2" borderId="0" xfId="0" applyNumberFormat="1" applyFont="1" applyFill="1" applyBorder="1"/>
    <xf numFmtId="0" fontId="16" fillId="2" borderId="37" xfId="53" applyFont="1" applyFill="1" applyBorder="1" applyAlignment="1">
      <alignment horizontal="center"/>
    </xf>
    <xf numFmtId="0" fontId="16" fillId="2" borderId="37" xfId="53" applyFont="1" applyFill="1" applyBorder="1" applyAlignment="1"/>
    <xf numFmtId="0" fontId="16" fillId="2" borderId="37" xfId="53" applyFont="1" applyFill="1" applyBorder="1"/>
    <xf numFmtId="2" fontId="16" fillId="2" borderId="37" xfId="53" applyNumberFormat="1" applyFont="1" applyFill="1" applyBorder="1" applyAlignment="1">
      <alignment horizontal="center"/>
    </xf>
    <xf numFmtId="0" fontId="50" fillId="2" borderId="37" xfId="53" applyFont="1" applyFill="1" applyBorder="1" applyAlignment="1"/>
    <xf numFmtId="3" fontId="57" fillId="2" borderId="6" xfId="0" applyNumberFormat="1" applyFont="1" applyFill="1" applyBorder="1" applyAlignment="1">
      <alignment horizontal="center" vertical="center"/>
    </xf>
    <xf numFmtId="2" fontId="52" fillId="2" borderId="37" xfId="0" applyNumberFormat="1" applyFont="1" applyFill="1" applyBorder="1" applyAlignment="1">
      <alignment horizontal="center"/>
    </xf>
    <xf numFmtId="8" fontId="53" fillId="0" borderId="7" xfId="0" applyNumberFormat="1" applyFont="1" applyFill="1" applyBorder="1" applyAlignment="1">
      <alignment horizontal="center"/>
    </xf>
    <xf numFmtId="8" fontId="74" fillId="0" borderId="38" xfId="70" applyNumberFormat="1" applyFont="1" applyFill="1" applyBorder="1" applyAlignment="1">
      <alignment horizontal="center" vertical="center" wrapText="1"/>
    </xf>
    <xf numFmtId="174" fontId="65" fillId="29" borderId="29" xfId="40" quotePrefix="1" applyNumberFormat="1" applyFont="1" applyFill="1" applyBorder="1" applyAlignment="1">
      <alignment horizontal="right" vertical="center" wrapText="1"/>
    </xf>
    <xf numFmtId="0" fontId="58" fillId="2" borderId="0" xfId="0" applyFont="1" applyFill="1" applyBorder="1" applyAlignment="1">
      <alignment horizontal="center" vertical="center"/>
    </xf>
    <xf numFmtId="0" fontId="41" fillId="2" borderId="0" xfId="0" applyFont="1" applyFill="1" applyAlignment="1">
      <alignment horizontal="left" vertical="top" wrapText="1"/>
    </xf>
    <xf numFmtId="0" fontId="52" fillId="2" borderId="49" xfId="0" applyFont="1" applyFill="1" applyBorder="1" applyAlignment="1">
      <alignment horizontal="left" wrapText="1"/>
    </xf>
    <xf numFmtId="0" fontId="52" fillId="2" borderId="50" xfId="0" applyFont="1" applyFill="1" applyBorder="1" applyAlignment="1">
      <alignment horizontal="left" wrapText="1"/>
    </xf>
    <xf numFmtId="0" fontId="52" fillId="2" borderId="41" xfId="0" applyFont="1" applyFill="1" applyBorder="1" applyAlignment="1">
      <alignment horizontal="left" wrapText="1"/>
    </xf>
    <xf numFmtId="0" fontId="52" fillId="2" borderId="12" xfId="0" applyFont="1" applyFill="1" applyBorder="1" applyAlignment="1">
      <alignment horizontal="left" wrapText="1"/>
    </xf>
    <xf numFmtId="0" fontId="52" fillId="2" borderId="0" xfId="0" applyFont="1" applyFill="1" applyBorder="1" applyAlignment="1">
      <alignment horizontal="left" wrapText="1"/>
    </xf>
    <xf numFmtId="0" fontId="52" fillId="2" borderId="13" xfId="0" applyFont="1" applyFill="1" applyBorder="1" applyAlignment="1">
      <alignment horizontal="left" wrapText="1"/>
    </xf>
    <xf numFmtId="0" fontId="52" fillId="2" borderId="5" xfId="0" applyFont="1" applyFill="1" applyBorder="1" applyAlignment="1">
      <alignment horizontal="left" wrapText="1"/>
    </xf>
    <xf numFmtId="0" fontId="52" fillId="2" borderId="6" xfId="0" applyFont="1" applyFill="1" applyBorder="1" applyAlignment="1">
      <alignment horizontal="left" wrapText="1"/>
    </xf>
    <xf numFmtId="0" fontId="52" fillId="2" borderId="7" xfId="0" applyFont="1" applyFill="1" applyBorder="1" applyAlignment="1">
      <alignment horizontal="left" wrapText="1"/>
    </xf>
    <xf numFmtId="0" fontId="52" fillId="2" borderId="13" xfId="0" applyFont="1" applyFill="1" applyBorder="1" applyAlignment="1">
      <alignment horizontal="center" vertical="center"/>
    </xf>
    <xf numFmtId="0" fontId="52" fillId="2" borderId="0" xfId="0" applyFont="1" applyFill="1" applyBorder="1" applyAlignment="1">
      <alignment horizontal="left" vertical="center"/>
    </xf>
    <xf numFmtId="0" fontId="52" fillId="2" borderId="49" xfId="0" applyFont="1" applyFill="1" applyBorder="1" applyAlignment="1">
      <alignment horizontal="center" vertical="center" wrapText="1"/>
    </xf>
    <xf numFmtId="0" fontId="52" fillId="2" borderId="50" xfId="0" applyFont="1" applyFill="1" applyBorder="1" applyAlignment="1">
      <alignment horizontal="center" vertical="center" wrapText="1"/>
    </xf>
    <xf numFmtId="0" fontId="52" fillId="2" borderId="41" xfId="0" applyFont="1" applyFill="1" applyBorder="1" applyAlignment="1">
      <alignment horizontal="center" vertical="center" wrapText="1"/>
    </xf>
    <xf numFmtId="0" fontId="52" fillId="2" borderId="12" xfId="0" applyFont="1" applyFill="1" applyBorder="1" applyAlignment="1">
      <alignment horizontal="center" vertical="center" wrapText="1"/>
    </xf>
    <xf numFmtId="0" fontId="52" fillId="2" borderId="0" xfId="0" applyFont="1" applyFill="1" applyBorder="1" applyAlignment="1">
      <alignment horizontal="center" vertical="center" wrapText="1"/>
    </xf>
    <xf numFmtId="0" fontId="52" fillId="2" borderId="13" xfId="0" applyFont="1" applyFill="1" applyBorder="1" applyAlignment="1">
      <alignment horizontal="center" vertical="center" wrapText="1"/>
    </xf>
    <xf numFmtId="0" fontId="52" fillId="2" borderId="5" xfId="0" applyFont="1" applyFill="1" applyBorder="1" applyAlignment="1">
      <alignment horizontal="center" vertical="center" wrapText="1"/>
    </xf>
    <xf numFmtId="0" fontId="52" fillId="2" borderId="6" xfId="0" applyFont="1" applyFill="1" applyBorder="1" applyAlignment="1">
      <alignment horizontal="center" vertical="center" wrapText="1"/>
    </xf>
    <xf numFmtId="0" fontId="52" fillId="2" borderId="7" xfId="0" applyFont="1" applyFill="1" applyBorder="1" applyAlignment="1">
      <alignment horizontal="center" vertical="center" wrapText="1"/>
    </xf>
    <xf numFmtId="0" fontId="58" fillId="2" borderId="0" xfId="0" applyFont="1" applyFill="1" applyAlignment="1">
      <alignment horizontal="center"/>
    </xf>
    <xf numFmtId="0" fontId="53" fillId="2" borderId="13" xfId="0" applyFont="1" applyFill="1" applyBorder="1" applyAlignment="1">
      <alignment horizontal="left" vertical="center"/>
    </xf>
    <xf numFmtId="0" fontId="52" fillId="2" borderId="0" xfId="0" applyFont="1" applyFill="1" applyAlignment="1">
      <alignment horizontal="center"/>
    </xf>
    <xf numFmtId="0" fontId="53" fillId="2" borderId="0" xfId="0" applyFont="1" applyFill="1" applyAlignment="1">
      <alignment horizontal="left" vertical="center" wrapText="1"/>
    </xf>
    <xf numFmtId="0" fontId="53" fillId="2" borderId="13" xfId="0" applyFont="1" applyFill="1" applyBorder="1" applyAlignment="1">
      <alignment horizontal="left" vertical="center" wrapText="1"/>
    </xf>
    <xf numFmtId="0" fontId="11" fillId="2" borderId="0" xfId="0" applyFont="1" applyFill="1" applyAlignment="1">
      <alignment horizontal="left" vertical="center" wrapText="1"/>
    </xf>
    <xf numFmtId="0" fontId="11" fillId="2" borderId="13" xfId="0" applyFont="1" applyFill="1" applyBorder="1" applyAlignment="1">
      <alignment horizontal="left" vertical="center" wrapText="1"/>
    </xf>
    <xf numFmtId="0" fontId="53" fillId="2" borderId="0" xfId="0" applyFont="1" applyFill="1" applyBorder="1" applyAlignment="1">
      <alignment horizontal="left" vertical="center"/>
    </xf>
    <xf numFmtId="0" fontId="57" fillId="2" borderId="0" xfId="0" applyFont="1" applyFill="1" applyAlignment="1">
      <alignment horizontal="left" wrapText="1"/>
    </xf>
    <xf numFmtId="0" fontId="64" fillId="2" borderId="0" xfId="0" applyFont="1" applyFill="1" applyBorder="1" applyAlignment="1">
      <alignment horizontal="center" vertical="center"/>
    </xf>
    <xf numFmtId="0" fontId="66" fillId="27" borderId="77" xfId="0" applyFont="1" applyFill="1" applyBorder="1" applyAlignment="1">
      <alignment horizontal="center" vertical="center" wrapText="1"/>
    </xf>
    <xf numFmtId="0" fontId="66" fillId="27" borderId="78" xfId="0" applyFont="1" applyFill="1" applyBorder="1" applyAlignment="1">
      <alignment horizontal="center" vertical="center" wrapText="1"/>
    </xf>
    <xf numFmtId="43" fontId="57" fillId="2" borderId="0" xfId="71" applyFont="1" applyFill="1" applyBorder="1" applyAlignment="1">
      <alignment horizontal="center"/>
    </xf>
    <xf numFmtId="0" fontId="57" fillId="2" borderId="0" xfId="0" applyFont="1" applyFill="1" applyBorder="1" applyAlignment="1">
      <alignment horizontal="center"/>
    </xf>
    <xf numFmtId="0" fontId="67" fillId="2" borderId="0" xfId="0" applyFont="1" applyFill="1" applyAlignment="1">
      <alignment horizontal="center"/>
    </xf>
    <xf numFmtId="0" fontId="53" fillId="2" borderId="0" xfId="0" applyFont="1" applyFill="1" applyBorder="1" applyAlignment="1">
      <alignment horizontal="left" vertical="top"/>
    </xf>
    <xf numFmtId="174" fontId="65" fillId="29" borderId="0" xfId="40" applyNumberFormat="1" applyFont="1" applyFill="1" applyBorder="1" applyAlignment="1">
      <alignment horizontal="left" vertical="top"/>
    </xf>
    <xf numFmtId="174" fontId="65" fillId="0" borderId="0" xfId="40" applyNumberFormat="1" applyFont="1" applyFill="1" applyBorder="1" applyAlignment="1">
      <alignment horizontal="left" vertical="top"/>
    </xf>
    <xf numFmtId="0" fontId="57" fillId="2" borderId="0" xfId="40" applyNumberFormat="1" applyFont="1" applyFill="1" applyBorder="1" applyAlignment="1">
      <alignment horizontal="left" vertical="top" wrapText="1"/>
    </xf>
    <xf numFmtId="0" fontId="57" fillId="2" borderId="6" xfId="0" applyFont="1" applyFill="1" applyBorder="1" applyAlignment="1">
      <alignment horizontal="center"/>
    </xf>
    <xf numFmtId="3" fontId="57" fillId="2" borderId="0" xfId="0" applyNumberFormat="1" applyFont="1" applyFill="1" applyBorder="1" applyAlignment="1">
      <alignment horizontal="left" vertical="center"/>
    </xf>
    <xf numFmtId="3" fontId="57" fillId="2" borderId="6" xfId="0" applyNumberFormat="1" applyFont="1" applyFill="1" applyBorder="1" applyAlignment="1">
      <alignment horizontal="left" vertical="center"/>
    </xf>
    <xf numFmtId="3" fontId="11" fillId="2" borderId="39" xfId="0" applyNumberFormat="1" applyFont="1" applyFill="1" applyBorder="1" applyAlignment="1">
      <alignment horizontal="left" vertical="center"/>
    </xf>
    <xf numFmtId="0" fontId="64" fillId="2" borderId="0" xfId="0" applyFont="1" applyFill="1" applyAlignment="1">
      <alignment horizontal="left"/>
    </xf>
    <xf numFmtId="0" fontId="66" fillId="27" borderId="71" xfId="0" applyNumberFormat="1" applyFont="1" applyFill="1" applyBorder="1" applyAlignment="1">
      <alignment horizontal="center" vertical="center" wrapText="1"/>
    </xf>
    <xf numFmtId="0" fontId="66" fillId="27" borderId="72" xfId="0" applyNumberFormat="1" applyFont="1" applyFill="1" applyBorder="1" applyAlignment="1">
      <alignment horizontal="center" vertical="center" wrapText="1"/>
    </xf>
    <xf numFmtId="0" fontId="66" fillId="27" borderId="73" xfId="0" applyNumberFormat="1" applyFont="1" applyFill="1" applyBorder="1" applyAlignment="1">
      <alignment horizontal="center" vertical="center" wrapText="1"/>
    </xf>
    <xf numFmtId="0" fontId="66" fillId="27" borderId="68" xfId="0" applyNumberFormat="1" applyFont="1" applyFill="1" applyBorder="1" applyAlignment="1">
      <alignment horizontal="center" vertical="center" wrapText="1"/>
    </xf>
    <xf numFmtId="0" fontId="66" fillId="27" borderId="85" xfId="0" applyNumberFormat="1" applyFont="1" applyFill="1" applyBorder="1" applyAlignment="1">
      <alignment horizontal="center" vertical="center" wrapText="1"/>
    </xf>
    <xf numFmtId="0" fontId="66" fillId="27" borderId="69" xfId="0" applyNumberFormat="1" applyFont="1" applyFill="1" applyBorder="1" applyAlignment="1">
      <alignment horizontal="center" vertical="center" wrapText="1"/>
    </xf>
    <xf numFmtId="0" fontId="66" fillId="27" borderId="61" xfId="0" applyNumberFormat="1" applyFont="1" applyFill="1" applyBorder="1" applyAlignment="1">
      <alignment horizontal="center" vertical="center" wrapText="1"/>
    </xf>
    <xf numFmtId="3" fontId="11" fillId="2" borderId="81" xfId="0" applyNumberFormat="1" applyFont="1" applyFill="1" applyBorder="1" applyAlignment="1">
      <alignment horizontal="left" vertical="center"/>
    </xf>
    <xf numFmtId="3" fontId="62" fillId="26" borderId="35" xfId="0" applyNumberFormat="1" applyFont="1" applyFill="1" applyBorder="1" applyAlignment="1">
      <alignment horizontal="left" vertical="center"/>
    </xf>
    <xf numFmtId="0" fontId="69" fillId="2" borderId="0" xfId="0" applyFont="1" applyFill="1" applyBorder="1" applyAlignment="1">
      <alignment horizontal="center" vertical="center" textRotation="90"/>
    </xf>
    <xf numFmtId="3" fontId="62" fillId="26" borderId="50" xfId="0" applyNumberFormat="1" applyFont="1" applyFill="1" applyBorder="1" applyAlignment="1">
      <alignment horizontal="left" vertical="center"/>
    </xf>
    <xf numFmtId="3" fontId="62" fillId="26" borderId="0" xfId="0" applyNumberFormat="1" applyFont="1" applyFill="1" applyBorder="1" applyAlignment="1">
      <alignment horizontal="left" vertical="center"/>
    </xf>
    <xf numFmtId="3" fontId="11" fillId="2" borderId="46" xfId="0" applyNumberFormat="1" applyFont="1" applyFill="1" applyBorder="1" applyAlignment="1">
      <alignment horizontal="left" vertical="center"/>
    </xf>
    <xf numFmtId="3" fontId="11" fillId="2" borderId="0" xfId="0" applyNumberFormat="1" applyFont="1" applyFill="1" applyBorder="1" applyAlignment="1">
      <alignment horizontal="left" vertical="center"/>
    </xf>
    <xf numFmtId="0" fontId="66" fillId="27" borderId="67" xfId="0" applyNumberFormat="1" applyFont="1" applyFill="1" applyBorder="1" applyAlignment="1">
      <alignment horizontal="center" vertical="center" wrapText="1"/>
    </xf>
    <xf numFmtId="0" fontId="66" fillId="27" borderId="74" xfId="0" applyNumberFormat="1" applyFont="1" applyFill="1" applyBorder="1" applyAlignment="1">
      <alignment horizontal="center" vertical="center" wrapText="1"/>
    </xf>
    <xf numFmtId="0" fontId="57" fillId="2" borderId="0" xfId="0" applyFont="1" applyFill="1" applyAlignment="1">
      <alignment horizontal="left" vertical="top" wrapText="1"/>
    </xf>
    <xf numFmtId="0" fontId="57" fillId="2" borderId="0" xfId="0" applyFont="1" applyFill="1" applyBorder="1" applyAlignment="1">
      <alignment horizontal="left" vertical="top"/>
    </xf>
    <xf numFmtId="3" fontId="62" fillId="30" borderId="12" xfId="0" applyNumberFormat="1" applyFont="1" applyFill="1" applyBorder="1" applyAlignment="1">
      <alignment horizontal="left" vertical="center"/>
    </xf>
    <xf numFmtId="3" fontId="62" fillId="30" borderId="0" xfId="0" applyNumberFormat="1" applyFont="1" applyFill="1" applyBorder="1" applyAlignment="1">
      <alignment horizontal="left" vertical="center"/>
    </xf>
    <xf numFmtId="3" fontId="62" fillId="30" borderId="13" xfId="0" applyNumberFormat="1" applyFont="1" applyFill="1" applyBorder="1" applyAlignment="1">
      <alignment horizontal="left" vertical="center"/>
    </xf>
    <xf numFmtId="3" fontId="62" fillId="26" borderId="12" xfId="0" applyNumberFormat="1" applyFont="1" applyFill="1" applyBorder="1" applyAlignment="1">
      <alignment horizontal="left" vertical="center"/>
    </xf>
    <xf numFmtId="3" fontId="62" fillId="26" borderId="13" xfId="0" applyNumberFormat="1" applyFont="1" applyFill="1" applyBorder="1" applyAlignment="1">
      <alignment horizontal="left" vertical="center"/>
    </xf>
    <xf numFmtId="0" fontId="40" fillId="2" borderId="0" xfId="0" applyFont="1" applyFill="1" applyAlignment="1">
      <alignment horizontal="center" wrapText="1"/>
    </xf>
    <xf numFmtId="0" fontId="66" fillId="27" borderId="69" xfId="0" applyFont="1" applyFill="1" applyBorder="1" applyAlignment="1">
      <alignment horizontal="center" vertical="center" wrapText="1"/>
    </xf>
    <xf numFmtId="0" fontId="66" fillId="27" borderId="63" xfId="0" applyFont="1" applyFill="1" applyBorder="1" applyAlignment="1">
      <alignment horizontal="center" vertical="center" wrapText="1"/>
    </xf>
    <xf numFmtId="0" fontId="59" fillId="31" borderId="12" xfId="0" applyFont="1" applyFill="1" applyBorder="1" applyAlignment="1">
      <alignment horizontal="left" vertical="center" wrapText="1"/>
    </xf>
    <xf numFmtId="0" fontId="59" fillId="31" borderId="0" xfId="0" applyFont="1" applyFill="1" applyBorder="1" applyAlignment="1">
      <alignment horizontal="left" vertical="center" wrapText="1"/>
    </xf>
    <xf numFmtId="0" fontId="59" fillId="31" borderId="13" xfId="0" applyFont="1" applyFill="1" applyBorder="1" applyAlignment="1">
      <alignment horizontal="left" vertical="center" wrapText="1"/>
    </xf>
    <xf numFmtId="0" fontId="59" fillId="31" borderId="92" xfId="0" applyFont="1" applyFill="1" applyBorder="1" applyAlignment="1">
      <alignment horizontal="left" vertical="center" wrapText="1"/>
    </xf>
    <xf numFmtId="0" fontId="59" fillId="31" borderId="62" xfId="0" applyFont="1" applyFill="1" applyBorder="1" applyAlignment="1">
      <alignment horizontal="left" vertical="center" wrapText="1"/>
    </xf>
    <xf numFmtId="0" fontId="59" fillId="31" borderId="93" xfId="0" applyFont="1" applyFill="1" applyBorder="1" applyAlignment="1">
      <alignment horizontal="left" vertical="center" wrapText="1"/>
    </xf>
    <xf numFmtId="0" fontId="66" fillId="27" borderId="89" xfId="0" applyFont="1" applyFill="1" applyBorder="1" applyAlignment="1">
      <alignment horizontal="center" vertical="center" wrapText="1"/>
    </xf>
    <xf numFmtId="0" fontId="66" fillId="27" borderId="91" xfId="0" applyFont="1" applyFill="1" applyBorder="1" applyAlignment="1">
      <alignment horizontal="center" vertical="center" wrapText="1"/>
    </xf>
    <xf numFmtId="169" fontId="66" fillId="27" borderId="70" xfId="6" applyNumberFormat="1" applyFont="1" applyFill="1" applyBorder="1" applyAlignment="1">
      <alignment horizontal="center" vertical="center"/>
    </xf>
    <xf numFmtId="169" fontId="66" fillId="27" borderId="90" xfId="6" applyNumberFormat="1" applyFont="1" applyFill="1" applyBorder="1" applyAlignment="1">
      <alignment horizontal="center" vertical="center"/>
    </xf>
    <xf numFmtId="0" fontId="58" fillId="2" borderId="0" xfId="0" applyFont="1" applyFill="1" applyAlignment="1">
      <alignment horizontal="center" wrapText="1"/>
    </xf>
    <xf numFmtId="174" fontId="65" fillId="29" borderId="0" xfId="40" applyNumberFormat="1" applyFont="1" applyFill="1" applyBorder="1" applyAlignment="1">
      <alignment horizontal="left" vertical="center"/>
    </xf>
    <xf numFmtId="0" fontId="66" fillId="27" borderId="49" xfId="0" applyFont="1" applyFill="1" applyBorder="1" applyAlignment="1">
      <alignment horizontal="center" vertical="center" wrapText="1"/>
    </xf>
    <xf numFmtId="0" fontId="66" fillId="27" borderId="12" xfId="0" applyFont="1" applyFill="1" applyBorder="1" applyAlignment="1">
      <alignment horizontal="center" vertical="center" wrapText="1"/>
    </xf>
    <xf numFmtId="0" fontId="66" fillId="27" borderId="50" xfId="0" applyFont="1" applyFill="1" applyBorder="1" applyAlignment="1">
      <alignment horizontal="center" vertical="center" wrapText="1"/>
    </xf>
    <xf numFmtId="0" fontId="66" fillId="27" borderId="0" xfId="0" applyFont="1" applyFill="1" applyBorder="1" applyAlignment="1">
      <alignment horizontal="center" vertical="center" wrapText="1"/>
    </xf>
    <xf numFmtId="169" fontId="66" fillId="27" borderId="50" xfId="6" applyNumberFormat="1" applyFont="1" applyFill="1" applyBorder="1" applyAlignment="1">
      <alignment horizontal="center" vertical="center"/>
    </xf>
    <xf numFmtId="169" fontId="66" fillId="27" borderId="41" xfId="6" applyNumberFormat="1" applyFont="1" applyFill="1" applyBorder="1" applyAlignment="1">
      <alignment horizontal="center" vertical="center"/>
    </xf>
    <xf numFmtId="174" fontId="57" fillId="29" borderId="0" xfId="40" applyNumberFormat="1" applyFont="1" applyFill="1" applyBorder="1" applyAlignment="1">
      <alignment horizontal="left" vertical="center"/>
    </xf>
    <xf numFmtId="0" fontId="57" fillId="2" borderId="0" xfId="0" applyFont="1" applyFill="1" applyBorder="1" applyAlignment="1">
      <alignment horizontal="left" vertical="center"/>
    </xf>
    <xf numFmtId="0" fontId="58" fillId="2" borderId="0" xfId="0" applyFont="1" applyFill="1" applyBorder="1" applyAlignment="1">
      <alignment horizontal="center" wrapText="1"/>
    </xf>
    <xf numFmtId="0" fontId="57" fillId="2" borderId="0" xfId="0" applyFont="1" applyFill="1" applyBorder="1" applyAlignment="1">
      <alignment horizontal="left" wrapText="1"/>
    </xf>
    <xf numFmtId="174" fontId="65" fillId="0" borderId="0" xfId="40" applyNumberFormat="1" applyFont="1" applyFill="1" applyBorder="1" applyAlignment="1">
      <alignment horizontal="left" vertical="center"/>
    </xf>
    <xf numFmtId="0" fontId="44" fillId="2" borderId="0" xfId="0" applyFont="1" applyFill="1" applyAlignment="1">
      <alignment horizontal="left" vertical="center" wrapText="1"/>
    </xf>
    <xf numFmtId="0" fontId="66" fillId="27" borderId="41" xfId="0" applyFont="1" applyFill="1" applyBorder="1" applyAlignment="1">
      <alignment horizontal="center" vertical="center" wrapText="1"/>
    </xf>
    <xf numFmtId="0" fontId="66" fillId="27" borderId="1" xfId="0" applyFont="1" applyFill="1" applyBorder="1" applyAlignment="1">
      <alignment horizontal="center" vertical="center" wrapText="1"/>
    </xf>
    <xf numFmtId="0" fontId="66" fillId="27" borderId="10" xfId="0" applyFont="1" applyFill="1" applyBorder="1" applyAlignment="1">
      <alignment horizontal="center" vertical="center" wrapText="1"/>
    </xf>
    <xf numFmtId="0" fontId="66" fillId="27" borderId="37" xfId="0" applyFont="1" applyFill="1" applyBorder="1" applyAlignment="1">
      <alignment horizontal="center" vertical="center"/>
    </xf>
    <xf numFmtId="0" fontId="66" fillId="27" borderId="34" xfId="0" applyFont="1" applyFill="1" applyBorder="1" applyAlignment="1">
      <alignment horizontal="center"/>
    </xf>
    <xf numFmtId="0" fontId="66" fillId="27" borderId="35" xfId="0" applyFont="1" applyFill="1" applyBorder="1" applyAlignment="1">
      <alignment horizontal="center"/>
    </xf>
    <xf numFmtId="0" fontId="66" fillId="27" borderId="36" xfId="0" applyFont="1" applyFill="1" applyBorder="1" applyAlignment="1">
      <alignment horizontal="center"/>
    </xf>
    <xf numFmtId="0" fontId="61" fillId="27" borderId="34" xfId="53" applyFont="1" applyFill="1" applyBorder="1" applyAlignment="1">
      <alignment horizontal="center"/>
    </xf>
    <xf numFmtId="0" fontId="61" fillId="27" borderId="35" xfId="53" applyFont="1" applyFill="1" applyBorder="1" applyAlignment="1">
      <alignment horizontal="center"/>
    </xf>
    <xf numFmtId="0" fontId="61" fillId="27" borderId="36" xfId="53" applyFont="1" applyFill="1" applyBorder="1" applyAlignment="1">
      <alignment horizontal="center"/>
    </xf>
    <xf numFmtId="0" fontId="66" fillId="27" borderId="5" xfId="0" applyFont="1" applyFill="1" applyBorder="1" applyAlignment="1">
      <alignment horizontal="center" vertical="center" wrapText="1"/>
    </xf>
    <xf numFmtId="0" fontId="66" fillId="27" borderId="6" xfId="0" applyFont="1" applyFill="1" applyBorder="1" applyAlignment="1">
      <alignment horizontal="center" vertical="center" wrapText="1"/>
    </xf>
    <xf numFmtId="0" fontId="57" fillId="2" borderId="0" xfId="0" applyFont="1" applyFill="1" applyBorder="1" applyAlignment="1">
      <alignment horizontal="left" vertical="center" wrapText="1"/>
    </xf>
    <xf numFmtId="0" fontId="58" fillId="2" borderId="0" xfId="0" applyFont="1" applyFill="1" applyAlignment="1">
      <alignment horizontal="center" vertical="center"/>
    </xf>
    <xf numFmtId="0" fontId="64" fillId="2" borderId="0" xfId="0" applyFont="1" applyFill="1" applyAlignment="1">
      <alignment horizontal="left" vertical="top" wrapText="1"/>
    </xf>
  </cellXfs>
  <cellStyles count="91">
    <cellStyle name="20% - Accent1 2" xfId="11"/>
    <cellStyle name="20% - Accent2 2" xfId="12"/>
    <cellStyle name="20% - Accent3 2" xfId="13"/>
    <cellStyle name="20% - Accent4 2" xfId="14"/>
    <cellStyle name="20% - Accent5 2" xfId="15"/>
    <cellStyle name="20% - Accent6 2" xfId="16"/>
    <cellStyle name="40% - Accent1 2" xfId="17"/>
    <cellStyle name="40% - Accent2 2" xfId="18"/>
    <cellStyle name="40% - Accent3 2" xfId="19"/>
    <cellStyle name="40% - Accent4 2" xfId="20"/>
    <cellStyle name="40% - Accent5 2" xfId="21"/>
    <cellStyle name="40% - Accent6 2" xfId="22"/>
    <cellStyle name="60% - Accent1 2" xfId="23"/>
    <cellStyle name="60% - Accent2 2" xfId="24"/>
    <cellStyle name="60% - Accent3 2" xfId="25"/>
    <cellStyle name="60% - Accent4 2" xfId="26"/>
    <cellStyle name="60% - Accent5 2" xfId="27"/>
    <cellStyle name="60% - Accent6 2" xfId="28"/>
    <cellStyle name="Accent1 2" xfId="29"/>
    <cellStyle name="Accent2 2" xfId="30"/>
    <cellStyle name="Accent3 2" xfId="31"/>
    <cellStyle name="Accent4 2" xfId="32"/>
    <cellStyle name="Accent5 2" xfId="33"/>
    <cellStyle name="Accent6 2" xfId="34"/>
    <cellStyle name="Bad 2" xfId="35"/>
    <cellStyle name="Calculation 2" xfId="36"/>
    <cellStyle name="Calculation 2 2" xfId="64"/>
    <cellStyle name="Calculation 2 2 2" xfId="84"/>
    <cellStyle name="Calculation 2 3" xfId="78"/>
    <cellStyle name="Check Cell 2" xfId="37"/>
    <cellStyle name="Comma" xfId="71" builtinId="3"/>
    <cellStyle name="Comma 2" xfId="1"/>
    <cellStyle name="Comma 2 2" xfId="2"/>
    <cellStyle name="Comma 2 3" xfId="39"/>
    <cellStyle name="Comma 3" xfId="3"/>
    <cellStyle name="Comma 3 2" xfId="40"/>
    <cellStyle name="Comma 4" xfId="38"/>
    <cellStyle name="Comma 5" xfId="90"/>
    <cellStyle name="Currency" xfId="70" builtinId="4"/>
    <cellStyle name="Currency 2" xfId="4"/>
    <cellStyle name="Explanatory Text 2" xfId="41"/>
    <cellStyle name="Good 2" xfId="42"/>
    <cellStyle name="Heading 1 2" xfId="43"/>
    <cellStyle name="Heading 2 2" xfId="44"/>
    <cellStyle name="Heading 3 2" xfId="45"/>
    <cellStyle name="Heading 4 2" xfId="46"/>
    <cellStyle name="Hyperlink" xfId="73" builtinId="8"/>
    <cellStyle name="Input 2" xfId="47"/>
    <cellStyle name="Input 2 2" xfId="65"/>
    <cellStyle name="Input 2 2 2" xfId="85"/>
    <cellStyle name="Input 2 3" xfId="79"/>
    <cellStyle name="Linked Cell 2" xfId="48"/>
    <cellStyle name="Neutral 2" xfId="49"/>
    <cellStyle name="Normal" xfId="0" builtinId="0"/>
    <cellStyle name="Normal 2" xfId="5"/>
    <cellStyle name="Normal 2 2" xfId="6"/>
    <cellStyle name="Normal 2 2 2" xfId="51"/>
    <cellStyle name="Normal 2 3" xfId="50"/>
    <cellStyle name="Normal 3" xfId="7"/>
    <cellStyle name="Normal 3 2" xfId="52"/>
    <cellStyle name="Normal 4" xfId="53"/>
    <cellStyle name="Normal 5" xfId="54"/>
    <cellStyle name="Normal 5 2" xfId="74"/>
    <cellStyle name="Note 2" xfId="56"/>
    <cellStyle name="Note 2 2" xfId="67"/>
    <cellStyle name="Note 2 2 2" xfId="87"/>
    <cellStyle name="Note 2 3" xfId="81"/>
    <cellStyle name="Note 3" xfId="55"/>
    <cellStyle name="Note 3 2" xfId="66"/>
    <cellStyle name="Note 3 2 2" xfId="86"/>
    <cellStyle name="Note 3 3" xfId="80"/>
    <cellStyle name="Output 2" xfId="57"/>
    <cellStyle name="Output 2 2" xfId="68"/>
    <cellStyle name="Output 2 2 2" xfId="88"/>
    <cellStyle name="Output 2 3" xfId="82"/>
    <cellStyle name="Percent" xfId="72" builtinId="5"/>
    <cellStyle name="Percent 2" xfId="8"/>
    <cellStyle name="Percent 2 2" xfId="9"/>
    <cellStyle name="Percent 2 3" xfId="10"/>
    <cellStyle name="Percent 3" xfId="58"/>
    <cellStyle name="Percent 3 2" xfId="75"/>
    <cellStyle name="Style 23" xfId="59"/>
    <cellStyle name="Style 23 2" xfId="60"/>
    <cellStyle name="Style 23 2 2" xfId="76"/>
    <cellStyle name="Style 23 3" xfId="77"/>
    <cellStyle name="Title 2" xfId="61"/>
    <cellStyle name="Total 2" xfId="62"/>
    <cellStyle name="Total 2 2" xfId="69"/>
    <cellStyle name="Total 2 2 2" xfId="89"/>
    <cellStyle name="Total 2 3" xfId="83"/>
    <cellStyle name="Warning Text 2" xfId="63"/>
  </cellStyles>
  <dxfs count="0"/>
  <tableStyles count="0" defaultTableStyle="TableStyleMedium9" defaultPivotStyle="PivotStyleLight16"/>
  <colors>
    <mruColors>
      <color rgb="FFFFFF66"/>
      <color rgb="FFFFFF99"/>
      <color rgb="FF0033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31</xdr:row>
      <xdr:rowOff>11206</xdr:rowOff>
    </xdr:from>
    <xdr:to>
      <xdr:col>2</xdr:col>
      <xdr:colOff>7655859</xdr:colOff>
      <xdr:row>38</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3</xdr:col>
      <xdr:colOff>100853</xdr:colOff>
      <xdr:row>15</xdr:row>
      <xdr:rowOff>134471</xdr:rowOff>
    </xdr:from>
    <xdr:to>
      <xdr:col>3</xdr:col>
      <xdr:colOff>481852</xdr:colOff>
      <xdr:row>22</xdr:row>
      <xdr:rowOff>123264</xdr:rowOff>
    </xdr:to>
    <xdr:sp macro="" textlink="">
      <xdr:nvSpPr>
        <xdr:cNvPr id="3" name="Right Brace 2"/>
        <xdr:cNvSpPr/>
      </xdr:nvSpPr>
      <xdr:spPr>
        <a:xfrm>
          <a:off x="10466294" y="4314265"/>
          <a:ext cx="380999" cy="1277470"/>
        </a:xfrm>
        <a:prstGeom prst="rightBrace">
          <a:avLst/>
        </a:prstGeom>
        <a:ln w="38100"/>
        <a:effectLst>
          <a:outerShdw blurRad="88900" dist="330200" dir="2700000" algn="tl" rotWithShape="0">
            <a:schemeClr val="bg1">
              <a:lumMod val="75000"/>
              <a:alpha val="25000"/>
            </a:schemeClr>
          </a:outerShdw>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33616</xdr:colOff>
      <xdr:row>0</xdr:row>
      <xdr:rowOff>0</xdr:rowOff>
    </xdr:from>
    <xdr:to>
      <xdr:col>4</xdr:col>
      <xdr:colOff>33617</xdr:colOff>
      <xdr:row>1</xdr:row>
      <xdr:rowOff>134469</xdr:rowOff>
    </xdr:to>
    <xdr:grpSp>
      <xdr:nvGrpSpPr>
        <xdr:cNvPr id="4" name="Group 3"/>
        <xdr:cNvGrpSpPr/>
      </xdr:nvGrpSpPr>
      <xdr:grpSpPr>
        <a:xfrm>
          <a:off x="33616" y="0"/>
          <a:ext cx="10922001" cy="2346386"/>
          <a:chOff x="10997237" y="5479676"/>
          <a:chExt cx="8857420" cy="20058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6297705</xdr:colOff>
      <xdr:row>0</xdr:row>
      <xdr:rowOff>1748117</xdr:rowOff>
    </xdr:from>
    <xdr:to>
      <xdr:col>3</xdr:col>
      <xdr:colOff>306481</xdr:colOff>
      <xdr:row>0</xdr:row>
      <xdr:rowOff>1995767</xdr:rowOff>
    </xdr:to>
    <xdr:sp macro="" textlink="">
      <xdr:nvSpPr>
        <xdr:cNvPr id="9" name="TextBox 8"/>
        <xdr:cNvSpPr txBox="1"/>
      </xdr:nvSpPr>
      <xdr:spPr>
        <a:xfrm>
          <a:off x="9043146" y="1748117"/>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169332</xdr:colOff>
      <xdr:row>14</xdr:row>
      <xdr:rowOff>31750</xdr:rowOff>
    </xdr:from>
    <xdr:to>
      <xdr:col>5</xdr:col>
      <xdr:colOff>380999</xdr:colOff>
      <xdr:row>21</xdr:row>
      <xdr:rowOff>0</xdr:rowOff>
    </xdr:to>
    <xdr:sp macro="" textlink="">
      <xdr:nvSpPr>
        <xdr:cNvPr id="2" name="Right Brace 1"/>
        <xdr:cNvSpPr/>
      </xdr:nvSpPr>
      <xdr:spPr>
        <a:xfrm>
          <a:off x="5302249" y="4423833"/>
          <a:ext cx="211667" cy="13017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5</xdr:col>
      <xdr:colOff>127000</xdr:colOff>
      <xdr:row>22</xdr:row>
      <xdr:rowOff>0</xdr:rowOff>
    </xdr:from>
    <xdr:to>
      <xdr:col>5</xdr:col>
      <xdr:colOff>371475</xdr:colOff>
      <xdr:row>26</xdr:row>
      <xdr:rowOff>0</xdr:rowOff>
    </xdr:to>
    <xdr:sp macro="" textlink="">
      <xdr:nvSpPr>
        <xdr:cNvPr id="3" name="Right Brace 2"/>
        <xdr:cNvSpPr/>
      </xdr:nvSpPr>
      <xdr:spPr>
        <a:xfrm>
          <a:off x="5259917" y="5916083"/>
          <a:ext cx="244475" cy="7620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0</xdr:col>
      <xdr:colOff>0</xdr:colOff>
      <xdr:row>0</xdr:row>
      <xdr:rowOff>1</xdr:rowOff>
    </xdr:from>
    <xdr:to>
      <xdr:col>11</xdr:col>
      <xdr:colOff>504825</xdr:colOff>
      <xdr:row>1</xdr:row>
      <xdr:rowOff>9525</xdr:rowOff>
    </xdr:to>
    <xdr:grpSp>
      <xdr:nvGrpSpPr>
        <xdr:cNvPr id="4" name="Group 3"/>
        <xdr:cNvGrpSpPr/>
      </xdr:nvGrpSpPr>
      <xdr:grpSpPr>
        <a:xfrm>
          <a:off x="0" y="1"/>
          <a:ext cx="9828742" cy="1872191"/>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Input-Output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9</xdr:col>
      <xdr:colOff>730250</xdr:colOff>
      <xdr:row>2</xdr:row>
      <xdr:rowOff>73025</xdr:rowOff>
    </xdr:to>
    <xdr:grpSp>
      <xdr:nvGrpSpPr>
        <xdr:cNvPr id="2" name="Group 1"/>
        <xdr:cNvGrpSpPr/>
      </xdr:nvGrpSpPr>
      <xdr:grpSpPr>
        <a:xfrm>
          <a:off x="465667" y="0"/>
          <a:ext cx="7344833" cy="21050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Table</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254000</xdr:colOff>
      <xdr:row>1</xdr:row>
      <xdr:rowOff>178858</xdr:rowOff>
    </xdr:to>
    <xdr:grpSp>
      <xdr:nvGrpSpPr>
        <xdr:cNvPr id="2" name="Group 1"/>
        <xdr:cNvGrpSpPr/>
      </xdr:nvGrpSpPr>
      <xdr:grpSpPr>
        <a:xfrm>
          <a:off x="0" y="0"/>
          <a:ext cx="13414375" cy="209973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CDM Allocation</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10583</xdr:colOff>
      <xdr:row>2</xdr:row>
      <xdr:rowOff>115358</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1885083" cy="2359025"/>
        </a:xfrm>
        <a:prstGeom prst="rect">
          <a:avLst/>
        </a:prstGeom>
        <a:ln>
          <a:noFill/>
        </a:ln>
        <a:effectLst>
          <a:softEdge rad="112500"/>
        </a:effectLst>
      </xdr:spPr>
    </xdr:pic>
    <xdr:clientData/>
  </xdr:twoCellAnchor>
  <xdr:twoCellAnchor>
    <xdr:from>
      <xdr:col>0</xdr:col>
      <xdr:colOff>320001</xdr:colOff>
      <xdr:row>0</xdr:row>
      <xdr:rowOff>289473</xdr:rowOff>
    </xdr:from>
    <xdr:to>
      <xdr:col>10</xdr:col>
      <xdr:colOff>804336</xdr:colOff>
      <xdr:row>1</xdr:row>
      <xdr:rowOff>55662</xdr:rowOff>
    </xdr:to>
    <xdr:grpSp>
      <xdr:nvGrpSpPr>
        <xdr:cNvPr id="3" name="Group 2"/>
        <xdr:cNvGrpSpPr/>
      </xdr:nvGrpSpPr>
      <xdr:grpSpPr>
        <a:xfrm>
          <a:off x="320001" y="289473"/>
          <a:ext cx="11448668" cy="1819356"/>
          <a:chOff x="11107771" y="5637897"/>
          <a:chExt cx="7550541" cy="1604481"/>
        </a:xfrm>
      </xdr:grpSpPr>
      <xdr:sp macro="" textlink="">
        <xdr:nvSpPr>
          <xdr:cNvPr id="5" name="Rectangle 4"/>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52918</xdr:colOff>
      <xdr:row>0</xdr:row>
      <xdr:rowOff>31750</xdr:rowOff>
    </xdr:from>
    <xdr:to>
      <xdr:col>12</xdr:col>
      <xdr:colOff>137584</xdr:colOff>
      <xdr:row>1</xdr:row>
      <xdr:rowOff>275166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52918" y="31750"/>
          <a:ext cx="12160249" cy="2328333"/>
        </a:xfrm>
        <a:prstGeom prst="rect">
          <a:avLst/>
        </a:prstGeom>
        <a:ln>
          <a:noFill/>
        </a:ln>
        <a:effectLst>
          <a:softEdge rad="112500"/>
        </a:effectLst>
      </xdr:spPr>
    </xdr:pic>
    <xdr:clientData/>
  </xdr:twoCellAnchor>
  <xdr:twoCellAnchor>
    <xdr:from>
      <xdr:col>0</xdr:col>
      <xdr:colOff>264575</xdr:colOff>
      <xdr:row>0</xdr:row>
      <xdr:rowOff>275158</xdr:rowOff>
    </xdr:from>
    <xdr:to>
      <xdr:col>11</xdr:col>
      <xdr:colOff>169333</xdr:colOff>
      <xdr:row>1</xdr:row>
      <xdr:rowOff>83681</xdr:rowOff>
    </xdr:to>
    <xdr:grpSp>
      <xdr:nvGrpSpPr>
        <xdr:cNvPr id="3" name="Group 2"/>
        <xdr:cNvGrpSpPr/>
      </xdr:nvGrpSpPr>
      <xdr:grpSpPr>
        <a:xfrm>
          <a:off x="264575" y="275158"/>
          <a:ext cx="11334758" cy="1892117"/>
          <a:chOff x="11107771" y="5637897"/>
          <a:chExt cx="7550541" cy="1604481"/>
        </a:xfrm>
      </xdr:grpSpPr>
      <xdr:sp macro="" textlink="">
        <xdr:nvSpPr>
          <xdr:cNvPr id="4" name="Rectangle 3"/>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274544</xdr:colOff>
      <xdr:row>0</xdr:row>
      <xdr:rowOff>2105025</xdr:rowOff>
    </xdr:to>
    <xdr:grpSp>
      <xdr:nvGrpSpPr>
        <xdr:cNvPr id="4" name="Group 3"/>
        <xdr:cNvGrpSpPr/>
      </xdr:nvGrpSpPr>
      <xdr:grpSpPr>
        <a:xfrm>
          <a:off x="0" y="0"/>
          <a:ext cx="14101669" cy="210502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89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264583</xdr:colOff>
      <xdr:row>1</xdr:row>
      <xdr:rowOff>231775</xdr:rowOff>
    </xdr:to>
    <xdr:grpSp>
      <xdr:nvGrpSpPr>
        <xdr:cNvPr id="2" name="Group 1"/>
        <xdr:cNvGrpSpPr/>
      </xdr:nvGrpSpPr>
      <xdr:grpSpPr>
        <a:xfrm>
          <a:off x="0" y="0"/>
          <a:ext cx="15843250" cy="220027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Persistence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502708</xdr:colOff>
      <xdr:row>2</xdr:row>
      <xdr:rowOff>69056</xdr:rowOff>
    </xdr:to>
    <xdr:grpSp>
      <xdr:nvGrpSpPr>
        <xdr:cNvPr id="2" name="Group 1"/>
        <xdr:cNvGrpSpPr/>
      </xdr:nvGrpSpPr>
      <xdr:grpSpPr>
        <a:xfrm>
          <a:off x="0" y="0"/>
          <a:ext cx="12874625" cy="2206889"/>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ntarioenergyboard.ca/OEB/Industry/Rules+and+Requirements/Rules+Codes+Guidelines+and+Forms/Prescribed+Interest+Rates" TargetMode="External"/><Relationship Id="rId5" Type="http://schemas.openxmlformats.org/officeDocument/2006/relationships/comments" Target="../comments13.xml"/><Relationship Id="rId4" Type="http://schemas.openxmlformats.org/officeDocument/2006/relationships/vmlDrawing" Target="../drawings/vmlDrawing13.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0"/>
  <sheetViews>
    <sheetView zoomScale="90" zoomScaleNormal="90" workbookViewId="0">
      <selection activeCell="A3" sqref="A3"/>
    </sheetView>
  </sheetViews>
  <sheetFormatPr defaultRowHeight="15" x14ac:dyDescent="0.25"/>
  <cols>
    <col min="1" max="1" width="9.140625" style="23"/>
    <col min="2" max="2" width="32.140625" style="66" customWidth="1"/>
    <col min="3" max="3" width="114.28515625" style="23" customWidth="1"/>
    <col min="4" max="4" width="8.140625" style="23" customWidth="1"/>
    <col min="5" max="16384" width="9.140625" style="23"/>
  </cols>
  <sheetData>
    <row r="1" spans="1:3" ht="174" customHeight="1" x14ac:dyDescent="0.25"/>
    <row r="3" spans="1:3" ht="20.25" x14ac:dyDescent="0.25">
      <c r="B3" s="536" t="s">
        <v>341</v>
      </c>
      <c r="C3" s="536"/>
    </row>
    <row r="4" spans="1:3" ht="21" customHeight="1" x14ac:dyDescent="0.25"/>
    <row r="5" spans="1:3" s="73" customFormat="1" ht="25.5" customHeight="1" x14ac:dyDescent="0.2">
      <c r="B5" s="469" t="s">
        <v>376</v>
      </c>
      <c r="C5" s="469" t="s">
        <v>340</v>
      </c>
    </row>
    <row r="6" spans="1:3" s="80" customFormat="1" ht="32.25" customHeight="1" x14ac:dyDescent="0.25">
      <c r="A6" s="43"/>
      <c r="B6" s="470" t="s">
        <v>336</v>
      </c>
      <c r="C6" s="471" t="s">
        <v>460</v>
      </c>
    </row>
    <row r="7" spans="1:3" s="80" customFormat="1" ht="9.75" customHeight="1" x14ac:dyDescent="0.25">
      <c r="B7" s="91"/>
      <c r="C7" s="93"/>
    </row>
    <row r="8" spans="1:3" s="80" customFormat="1" x14ac:dyDescent="0.25">
      <c r="B8" s="305" t="s">
        <v>331</v>
      </c>
      <c r="C8" s="93" t="s">
        <v>348</v>
      </c>
    </row>
    <row r="9" spans="1:3" s="80" customFormat="1" ht="14.25" x14ac:dyDescent="0.25">
      <c r="B9" s="91"/>
      <c r="C9" s="93"/>
    </row>
    <row r="10" spans="1:3" s="80" customFormat="1" x14ac:dyDescent="0.25">
      <c r="B10" s="305" t="s">
        <v>332</v>
      </c>
      <c r="C10" s="93" t="s">
        <v>350</v>
      </c>
    </row>
    <row r="11" spans="1:3" s="80" customFormat="1" ht="14.25" x14ac:dyDescent="0.25">
      <c r="B11" s="91"/>
      <c r="C11" s="93"/>
    </row>
    <row r="12" spans="1:3" s="80" customFormat="1" ht="30" customHeight="1" x14ac:dyDescent="0.25">
      <c r="B12" s="305" t="s">
        <v>333</v>
      </c>
      <c r="C12" s="464" t="s">
        <v>461</v>
      </c>
    </row>
    <row r="13" spans="1:3" s="80" customFormat="1" ht="14.25" x14ac:dyDescent="0.25">
      <c r="B13" s="91"/>
      <c r="C13" s="93"/>
    </row>
    <row r="14" spans="1:3" s="80" customFormat="1" x14ac:dyDescent="0.25">
      <c r="B14" s="305" t="s">
        <v>502</v>
      </c>
      <c r="C14" s="93" t="s">
        <v>481</v>
      </c>
    </row>
    <row r="15" spans="1:3" s="80" customFormat="1" hidden="1" x14ac:dyDescent="0.25">
      <c r="B15" s="305" t="s">
        <v>469</v>
      </c>
      <c r="C15" s="93" t="s">
        <v>482</v>
      </c>
    </row>
    <row r="16" spans="1:3" s="80" customFormat="1" ht="14.25" hidden="1" x14ac:dyDescent="0.25">
      <c r="B16" s="91"/>
      <c r="C16" s="93"/>
    </row>
    <row r="17" spans="2:8" s="80" customFormat="1" hidden="1" x14ac:dyDescent="0.25">
      <c r="B17" s="305" t="s">
        <v>470</v>
      </c>
      <c r="C17" s="93" t="s">
        <v>483</v>
      </c>
    </row>
    <row r="18" spans="2:8" s="80" customFormat="1" ht="14.25" hidden="1" x14ac:dyDescent="0.25">
      <c r="B18" s="91"/>
      <c r="C18" s="93"/>
    </row>
    <row r="19" spans="2:8" s="80" customFormat="1" hidden="1" x14ac:dyDescent="0.25">
      <c r="B19" s="305" t="s">
        <v>471</v>
      </c>
      <c r="C19" s="93" t="s">
        <v>484</v>
      </c>
      <c r="E19" s="537" t="s">
        <v>466</v>
      </c>
      <c r="F19" s="537"/>
      <c r="G19" s="537"/>
      <c r="H19" s="537"/>
    </row>
    <row r="20" spans="2:8" s="80" customFormat="1" ht="14.25" hidden="1" x14ac:dyDescent="0.25">
      <c r="B20" s="91"/>
      <c r="C20" s="93"/>
      <c r="E20" s="537"/>
      <c r="F20" s="537"/>
      <c r="G20" s="537"/>
      <c r="H20" s="537"/>
    </row>
    <row r="21" spans="2:8" s="80" customFormat="1" hidden="1" x14ac:dyDescent="0.25">
      <c r="B21" s="305" t="s">
        <v>472</v>
      </c>
      <c r="C21" s="93" t="s">
        <v>485</v>
      </c>
      <c r="E21" s="537"/>
      <c r="F21" s="537"/>
      <c r="G21" s="537"/>
      <c r="H21" s="537"/>
    </row>
    <row r="22" spans="2:8" s="80" customFormat="1" ht="14.25" hidden="1" x14ac:dyDescent="0.25">
      <c r="B22" s="91"/>
      <c r="C22" s="93"/>
    </row>
    <row r="23" spans="2:8" s="80" customFormat="1" hidden="1" x14ac:dyDescent="0.25">
      <c r="B23" s="305" t="s">
        <v>473</v>
      </c>
      <c r="C23" s="93" t="s">
        <v>486</v>
      </c>
    </row>
    <row r="24" spans="2:8" s="80" customFormat="1" ht="14.25" x14ac:dyDescent="0.25">
      <c r="B24" s="91"/>
      <c r="C24" s="93"/>
    </row>
    <row r="25" spans="2:8" s="80" customFormat="1" x14ac:dyDescent="0.25">
      <c r="B25" s="305" t="s">
        <v>468</v>
      </c>
      <c r="C25" s="464" t="s">
        <v>490</v>
      </c>
    </row>
    <row r="26" spans="2:8" s="80" customFormat="1" ht="14.25" x14ac:dyDescent="0.25">
      <c r="B26" s="305"/>
      <c r="C26" s="464"/>
    </row>
    <row r="27" spans="2:8" s="80" customFormat="1" x14ac:dyDescent="0.25">
      <c r="B27" s="305" t="s">
        <v>334</v>
      </c>
      <c r="C27" s="93" t="s">
        <v>363</v>
      </c>
    </row>
    <row r="28" spans="2:8" s="80" customFormat="1" ht="14.25" x14ac:dyDescent="0.25">
      <c r="B28" s="92"/>
      <c r="C28" s="92"/>
    </row>
    <row r="29" spans="2:8" s="81" customFormat="1" x14ac:dyDescent="0.25">
      <c r="B29" s="212"/>
    </row>
    <row r="30" spans="2:8" s="81" customFormat="1" x14ac:dyDescent="0.25">
      <c r="B30" s="159"/>
    </row>
  </sheetData>
  <mergeCells count="2">
    <mergeCell ref="B3:C3"/>
    <mergeCell ref="E19:H21"/>
  </mergeCells>
  <hyperlinks>
    <hyperlink ref="B6" location="'1.  LRAMVA Summary'!A1" display="1.  LRAMVA Summary"/>
    <hyperlink ref="B8" location="'2.  CDM Allocation'!A1" display="2.  CDM Allocation"/>
    <hyperlink ref="B10" location="'3.  Distribution Rates'!A1" display="3.  Distribution Rates"/>
    <hyperlink ref="B12" location="'4.  2011-14 LRAM'!A1" display="4.  2011-14 LRAM"/>
    <hyperlink ref="B25" location="'6.  Persistence Rates'!A1" display="6.  Persistence Rates"/>
    <hyperlink ref="B15" location="'6-b. 2016 LRAM'!A1" display="6-b. 2016 LRAM"/>
    <hyperlink ref="B17" location="'6-c.  2017 LRAM'!A1" display="6-c.  2017 LRAM"/>
    <hyperlink ref="B19" location="'6-d.  2018 LRAM'!A1" display="6-d.  2018 LRAM"/>
    <hyperlink ref="B21" location="'6-e.  2019 LRAM'!A1" display="6-e.  2019 LRAM"/>
    <hyperlink ref="B23" location="'6-f.  2020 LRAM'!A1" display="6-f.  2020 LRAM"/>
    <hyperlink ref="B27" location="'7.  Carrying Charges'!A1" display="7.  Carrying Charges"/>
    <hyperlink ref="B14" location="'5.  2015 LRAM'!A1" display="5-a.  2015 LRAM"/>
  </hyperlinks>
  <pageMargins left="0.70866141732283472" right="0.70866141732283472" top="0.74803149606299213" bottom="0.74803149606299213" header="0.31496062992125984" footer="0.31496062992125984"/>
  <pageSetup scale="60" orientation="landscape" horizontalDpi="1200" verticalDpi="1200"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85" zoomScaleNormal="85" workbookViewId="0">
      <pane ySplit="14" topLeftCell="A96" activePane="bottomLeft" state="frozen"/>
      <selection pane="bottomLeft" activeCell="B13" sqref="B13:B14"/>
    </sheetView>
  </sheetViews>
  <sheetFormatPr defaultRowHeight="15" outlineLevelRow="1" x14ac:dyDescent="0.25"/>
  <cols>
    <col min="1" max="1" width="6.5703125" style="23" customWidth="1"/>
    <col min="2" max="2" width="5.140625" style="68" customWidth="1"/>
    <col min="3" max="3" width="44.28515625" style="444" customWidth="1"/>
    <col min="4" max="4" width="12.28515625" style="445" customWidth="1"/>
    <col min="5" max="5" width="13.28515625" style="445" customWidth="1"/>
    <col min="6" max="7" width="19.42578125" style="68" customWidth="1"/>
    <col min="8" max="14" width="12.7109375" style="68" customWidth="1"/>
    <col min="15" max="15" width="8.140625" style="68" customWidth="1"/>
    <col min="16" max="16" width="11.28515625" style="68" customWidth="1"/>
    <col min="17" max="17" width="13.140625" style="23" customWidth="1"/>
    <col min="18" max="16384" width="9.140625" style="23"/>
  </cols>
  <sheetData>
    <row r="2" spans="1:18" ht="18.75" customHeight="1" x14ac:dyDescent="0.3">
      <c r="B2" s="628" t="s">
        <v>280</v>
      </c>
      <c r="C2" s="628"/>
      <c r="D2" s="628"/>
      <c r="E2" s="628"/>
      <c r="F2" s="628"/>
      <c r="G2" s="628"/>
      <c r="H2" s="628"/>
      <c r="I2" s="628"/>
      <c r="J2" s="628"/>
      <c r="K2" s="628"/>
      <c r="L2" s="628"/>
      <c r="M2" s="628"/>
      <c r="N2" s="628"/>
      <c r="O2" s="628"/>
      <c r="P2" s="628"/>
    </row>
    <row r="3" spans="1:18" ht="18.75" outlineLevel="1" x14ac:dyDescent="0.3">
      <c r="B3" s="447"/>
      <c r="C3" s="448"/>
      <c r="D3" s="448"/>
      <c r="E3" s="448"/>
      <c r="F3" s="448"/>
      <c r="G3" s="448"/>
      <c r="H3" s="448"/>
      <c r="I3" s="448"/>
      <c r="J3" s="448"/>
      <c r="K3" s="448"/>
      <c r="L3" s="448"/>
      <c r="M3" s="448"/>
      <c r="N3" s="448"/>
      <c r="O3" s="448"/>
      <c r="P3" s="448"/>
    </row>
    <row r="4" spans="1:18" ht="35.25" customHeight="1" outlineLevel="1" x14ac:dyDescent="0.3">
      <c r="A4" s="65"/>
      <c r="B4" s="447"/>
      <c r="C4" s="373" t="s">
        <v>401</v>
      </c>
      <c r="D4" s="448"/>
      <c r="E4" s="629" t="s">
        <v>364</v>
      </c>
      <c r="F4" s="629"/>
      <c r="G4" s="629"/>
      <c r="H4" s="629"/>
      <c r="I4" s="629"/>
      <c r="J4" s="629"/>
      <c r="K4" s="629"/>
      <c r="L4" s="629"/>
      <c r="M4" s="629"/>
      <c r="N4" s="629"/>
      <c r="O4" s="629"/>
      <c r="P4" s="629"/>
    </row>
    <row r="5" spans="1:18" ht="18.75" customHeight="1" outlineLevel="1" x14ac:dyDescent="0.3">
      <c r="B5" s="447"/>
      <c r="C5" s="449"/>
      <c r="D5" s="448"/>
      <c r="E5" s="376" t="s">
        <v>358</v>
      </c>
      <c r="F5" s="448"/>
      <c r="G5" s="448"/>
      <c r="H5" s="448"/>
      <c r="I5" s="448"/>
      <c r="J5" s="448"/>
      <c r="K5" s="448"/>
      <c r="L5" s="448"/>
      <c r="M5" s="448"/>
      <c r="N5" s="448"/>
      <c r="O5" s="448"/>
      <c r="P5" s="448"/>
    </row>
    <row r="6" spans="1:18" ht="18.75" customHeight="1" outlineLevel="1" x14ac:dyDescent="0.3">
      <c r="B6" s="447"/>
      <c r="C6" s="449"/>
      <c r="D6" s="448"/>
      <c r="E6" s="376" t="s">
        <v>359</v>
      </c>
      <c r="F6" s="448"/>
      <c r="G6" s="448"/>
      <c r="H6" s="448"/>
      <c r="I6" s="448"/>
      <c r="J6" s="448"/>
      <c r="K6" s="448"/>
      <c r="L6" s="448"/>
      <c r="M6" s="448"/>
      <c r="N6" s="448"/>
      <c r="O6" s="448"/>
      <c r="P6" s="448"/>
    </row>
    <row r="7" spans="1:18" ht="18.75" customHeight="1" outlineLevel="1" x14ac:dyDescent="0.3">
      <c r="B7" s="447"/>
      <c r="C7" s="449"/>
      <c r="D7" s="448"/>
      <c r="E7" s="376" t="s">
        <v>418</v>
      </c>
      <c r="F7" s="448"/>
      <c r="G7" s="448"/>
      <c r="H7" s="448"/>
      <c r="I7" s="448"/>
      <c r="J7" s="448"/>
      <c r="K7" s="448"/>
      <c r="L7" s="448"/>
      <c r="M7" s="448"/>
      <c r="N7" s="448"/>
      <c r="O7" s="448"/>
      <c r="P7" s="448"/>
    </row>
    <row r="8" spans="1:18" ht="18.75" customHeight="1" outlineLevel="1" x14ac:dyDescent="0.3">
      <c r="B8" s="447"/>
      <c r="C8" s="449"/>
      <c r="D8" s="448"/>
      <c r="E8" s="376"/>
      <c r="F8" s="448"/>
      <c r="G8" s="448"/>
      <c r="H8" s="448"/>
      <c r="I8" s="448"/>
      <c r="J8" s="448"/>
      <c r="K8" s="448"/>
      <c r="L8" s="448"/>
      <c r="M8" s="448"/>
      <c r="N8" s="448"/>
      <c r="O8" s="448"/>
      <c r="P8" s="448"/>
    </row>
    <row r="9" spans="1:18" ht="18.75" customHeight="1" outlineLevel="1" x14ac:dyDescent="0.3">
      <c r="B9" s="447"/>
      <c r="C9" s="237" t="s">
        <v>338</v>
      </c>
      <c r="D9" s="447"/>
      <c r="E9" s="619" t="s">
        <v>365</v>
      </c>
      <c r="F9" s="619"/>
      <c r="G9" s="447"/>
      <c r="H9" s="447"/>
      <c r="I9" s="447"/>
      <c r="J9" s="447"/>
      <c r="K9" s="447"/>
      <c r="L9" s="447"/>
      <c r="M9" s="447"/>
      <c r="N9" s="447"/>
      <c r="O9" s="447"/>
      <c r="P9" s="447"/>
      <c r="R9" s="82"/>
    </row>
    <row r="10" spans="1:18" ht="18.75" customHeight="1" outlineLevel="1" x14ac:dyDescent="0.3">
      <c r="B10" s="447"/>
      <c r="C10" s="447"/>
      <c r="D10" s="447"/>
      <c r="E10" s="548" t="s">
        <v>339</v>
      </c>
      <c r="F10" s="548"/>
      <c r="G10" s="447"/>
      <c r="H10" s="447"/>
      <c r="I10" s="447"/>
      <c r="J10" s="447"/>
      <c r="K10" s="447"/>
      <c r="L10" s="447"/>
      <c r="M10" s="447"/>
      <c r="N10" s="447"/>
      <c r="O10" s="447"/>
      <c r="P10" s="447"/>
    </row>
    <row r="11" spans="1:18" ht="18.75" customHeight="1" x14ac:dyDescent="0.3">
      <c r="B11" s="447"/>
      <c r="C11" s="447"/>
      <c r="D11" s="447"/>
      <c r="E11" s="139"/>
      <c r="G11" s="447"/>
      <c r="H11" s="447"/>
      <c r="I11" s="447"/>
      <c r="J11" s="447"/>
      <c r="K11" s="447"/>
      <c r="L11" s="447"/>
      <c r="M11" s="447"/>
      <c r="N11" s="447"/>
      <c r="O11" s="447"/>
      <c r="P11" s="447"/>
    </row>
    <row r="12" spans="1:18" x14ac:dyDescent="0.25">
      <c r="A12" s="48"/>
      <c r="B12" s="450" t="s">
        <v>478</v>
      </c>
      <c r="C12" s="451"/>
      <c r="D12" s="452"/>
      <c r="E12" s="452"/>
    </row>
    <row r="13" spans="1:18" ht="45" x14ac:dyDescent="0.25">
      <c r="B13" s="620" t="s">
        <v>59</v>
      </c>
      <c r="C13" s="622" t="s">
        <v>0</v>
      </c>
      <c r="D13" s="622" t="s">
        <v>45</v>
      </c>
      <c r="E13" s="622" t="s">
        <v>206</v>
      </c>
      <c r="F13" s="240" t="s">
        <v>203</v>
      </c>
      <c r="G13" s="240" t="s">
        <v>46</v>
      </c>
      <c r="H13" s="624" t="s">
        <v>60</v>
      </c>
      <c r="I13" s="624"/>
      <c r="J13" s="624"/>
      <c r="K13" s="624"/>
      <c r="L13" s="624"/>
      <c r="M13" s="624"/>
      <c r="N13" s="624"/>
      <c r="O13" s="624"/>
      <c r="P13" s="625"/>
    </row>
    <row r="14" spans="1:18" ht="60" x14ac:dyDescent="0.25">
      <c r="B14" s="621"/>
      <c r="C14" s="623"/>
      <c r="D14" s="623"/>
      <c r="E14" s="623"/>
      <c r="F14" s="442" t="s">
        <v>214</v>
      </c>
      <c r="G14" s="442" t="s">
        <v>215</v>
      </c>
      <c r="H14" s="443" t="s">
        <v>38</v>
      </c>
      <c r="I14" s="443" t="s">
        <v>40</v>
      </c>
      <c r="J14" s="443" t="s">
        <v>109</v>
      </c>
      <c r="K14" s="443" t="s">
        <v>110</v>
      </c>
      <c r="L14" s="443" t="s">
        <v>41</v>
      </c>
      <c r="M14" s="443" t="s">
        <v>42</v>
      </c>
      <c r="N14" s="443" t="s">
        <v>43</v>
      </c>
      <c r="O14" s="443" t="s">
        <v>106</v>
      </c>
      <c r="P14" s="446" t="s">
        <v>35</v>
      </c>
    </row>
    <row r="15" spans="1:18" ht="29.25" customHeight="1" x14ac:dyDescent="0.25">
      <c r="B15" s="608" t="s">
        <v>142</v>
      </c>
      <c r="C15" s="609"/>
      <c r="D15" s="609"/>
      <c r="E15" s="609"/>
      <c r="F15" s="609"/>
      <c r="G15" s="609"/>
      <c r="H15" s="609"/>
      <c r="I15" s="609"/>
      <c r="J15" s="609"/>
      <c r="K15" s="609"/>
      <c r="L15" s="609"/>
      <c r="M15" s="609"/>
      <c r="N15" s="609"/>
      <c r="O15" s="609"/>
      <c r="P15" s="610"/>
    </row>
    <row r="16" spans="1:18" ht="26.25" customHeight="1" x14ac:dyDescent="0.25">
      <c r="A16" s="50"/>
      <c r="B16" s="600" t="s">
        <v>143</v>
      </c>
      <c r="C16" s="601"/>
      <c r="D16" s="601"/>
      <c r="E16" s="601"/>
      <c r="F16" s="601"/>
      <c r="G16" s="601"/>
      <c r="H16" s="601"/>
      <c r="I16" s="601"/>
      <c r="J16" s="601"/>
      <c r="K16" s="601"/>
      <c r="L16" s="601"/>
      <c r="M16" s="601"/>
      <c r="N16" s="601"/>
      <c r="O16" s="601"/>
      <c r="P16" s="602"/>
    </row>
    <row r="17" spans="1:16" x14ac:dyDescent="0.25">
      <c r="A17" s="50"/>
      <c r="B17" s="433">
        <v>1</v>
      </c>
      <c r="C17" s="418" t="s">
        <v>144</v>
      </c>
      <c r="D17" s="255" t="s">
        <v>34</v>
      </c>
      <c r="E17" s="419"/>
      <c r="F17" s="300"/>
      <c r="G17" s="300"/>
      <c r="H17" s="430">
        <v>1</v>
      </c>
      <c r="I17" s="420"/>
      <c r="J17" s="420"/>
      <c r="K17" s="420"/>
      <c r="L17" s="420"/>
      <c r="M17" s="420"/>
      <c r="N17" s="420"/>
      <c r="O17" s="420"/>
      <c r="P17" s="434">
        <f>SUM(H17:O17)</f>
        <v>1</v>
      </c>
    </row>
    <row r="18" spans="1:16" x14ac:dyDescent="0.25">
      <c r="A18" s="47"/>
      <c r="B18" s="433">
        <v>2</v>
      </c>
      <c r="C18" s="418" t="s">
        <v>145</v>
      </c>
      <c r="D18" s="255" t="s">
        <v>34</v>
      </c>
      <c r="E18" s="421"/>
      <c r="F18" s="300"/>
      <c r="G18" s="300"/>
      <c r="H18" s="430">
        <v>1</v>
      </c>
      <c r="I18" s="420"/>
      <c r="J18" s="420"/>
      <c r="K18" s="420"/>
      <c r="L18" s="420"/>
      <c r="M18" s="420"/>
      <c r="N18" s="420"/>
      <c r="O18" s="420"/>
      <c r="P18" s="434">
        <f t="shared" ref="P18:P79" si="0">SUM(H18:O18)</f>
        <v>1</v>
      </c>
    </row>
    <row r="19" spans="1:16" x14ac:dyDescent="0.25">
      <c r="A19" s="50"/>
      <c r="B19" s="433">
        <v>3</v>
      </c>
      <c r="C19" s="418" t="s">
        <v>146</v>
      </c>
      <c r="D19" s="255" t="s">
        <v>34</v>
      </c>
      <c r="E19" s="421"/>
      <c r="F19" s="300"/>
      <c r="G19" s="300"/>
      <c r="H19" s="430">
        <v>1</v>
      </c>
      <c r="I19" s="420"/>
      <c r="J19" s="420"/>
      <c r="K19" s="420"/>
      <c r="L19" s="420"/>
      <c r="M19" s="420"/>
      <c r="N19" s="420"/>
      <c r="O19" s="420"/>
      <c r="P19" s="434">
        <f t="shared" si="0"/>
        <v>1</v>
      </c>
    </row>
    <row r="20" spans="1:16" x14ac:dyDescent="0.25">
      <c r="A20" s="50"/>
      <c r="B20" s="433">
        <v>4</v>
      </c>
      <c r="C20" s="418" t="s">
        <v>147</v>
      </c>
      <c r="D20" s="255" t="s">
        <v>34</v>
      </c>
      <c r="E20" s="421"/>
      <c r="F20" s="300"/>
      <c r="G20" s="300"/>
      <c r="H20" s="430">
        <v>1</v>
      </c>
      <c r="I20" s="420"/>
      <c r="J20" s="420"/>
      <c r="K20" s="420"/>
      <c r="L20" s="420"/>
      <c r="M20" s="420"/>
      <c r="N20" s="420"/>
      <c r="O20" s="420"/>
      <c r="P20" s="434">
        <f t="shared" si="0"/>
        <v>1</v>
      </c>
    </row>
    <row r="21" spans="1:16" x14ac:dyDescent="0.25">
      <c r="A21" s="50"/>
      <c r="B21" s="433">
        <v>5</v>
      </c>
      <c r="C21" s="418" t="s">
        <v>148</v>
      </c>
      <c r="D21" s="255" t="s">
        <v>34</v>
      </c>
      <c r="E21" s="421"/>
      <c r="F21" s="300"/>
      <c r="G21" s="300"/>
      <c r="H21" s="430">
        <v>1</v>
      </c>
      <c r="I21" s="420"/>
      <c r="J21" s="420"/>
      <c r="K21" s="420"/>
      <c r="L21" s="420"/>
      <c r="M21" s="420"/>
      <c r="N21" s="420"/>
      <c r="O21" s="420"/>
      <c r="P21" s="434">
        <f t="shared" si="0"/>
        <v>1</v>
      </c>
    </row>
    <row r="22" spans="1:16" ht="28.5" x14ac:dyDescent="0.25">
      <c r="A22" s="50"/>
      <c r="B22" s="433">
        <v>6</v>
      </c>
      <c r="C22" s="418" t="s">
        <v>149</v>
      </c>
      <c r="D22" s="255" t="s">
        <v>34</v>
      </c>
      <c r="E22" s="421"/>
      <c r="F22" s="300"/>
      <c r="G22" s="300"/>
      <c r="H22" s="430">
        <v>1</v>
      </c>
      <c r="I22" s="420"/>
      <c r="J22" s="420"/>
      <c r="K22" s="420"/>
      <c r="L22" s="420"/>
      <c r="M22" s="420"/>
      <c r="N22" s="420"/>
      <c r="O22" s="420"/>
      <c r="P22" s="434">
        <f t="shared" si="0"/>
        <v>1</v>
      </c>
    </row>
    <row r="23" spans="1:16" x14ac:dyDescent="0.25">
      <c r="A23" s="50"/>
      <c r="B23" s="435" t="s">
        <v>281</v>
      </c>
      <c r="C23" s="418"/>
      <c r="D23" s="255" t="s">
        <v>254</v>
      </c>
      <c r="E23" s="421"/>
      <c r="F23" s="300"/>
      <c r="G23" s="300"/>
      <c r="H23" s="430"/>
      <c r="I23" s="420"/>
      <c r="J23" s="420"/>
      <c r="K23" s="420"/>
      <c r="L23" s="420"/>
      <c r="M23" s="420"/>
      <c r="N23" s="420"/>
      <c r="O23" s="420"/>
      <c r="P23" s="434">
        <f t="shared" si="0"/>
        <v>0</v>
      </c>
    </row>
    <row r="24" spans="1:16" x14ac:dyDescent="0.25">
      <c r="A24" s="50"/>
      <c r="B24" s="433"/>
      <c r="C24" s="418"/>
      <c r="D24" s="255"/>
      <c r="E24" s="421"/>
      <c r="F24" s="300"/>
      <c r="G24" s="300"/>
      <c r="H24" s="430"/>
      <c r="I24" s="420"/>
      <c r="J24" s="420"/>
      <c r="K24" s="420"/>
      <c r="L24" s="420"/>
      <c r="M24" s="420"/>
      <c r="N24" s="420"/>
      <c r="O24" s="420"/>
      <c r="P24" s="434">
        <f t="shared" si="0"/>
        <v>0</v>
      </c>
    </row>
    <row r="25" spans="1:16" x14ac:dyDescent="0.25">
      <c r="A25" s="50"/>
      <c r="B25" s="433"/>
      <c r="C25" s="418"/>
      <c r="D25" s="255"/>
      <c r="E25" s="421"/>
      <c r="F25" s="300"/>
      <c r="G25" s="300"/>
      <c r="H25" s="430"/>
      <c r="I25" s="420"/>
      <c r="J25" s="420"/>
      <c r="K25" s="420"/>
      <c r="L25" s="420"/>
      <c r="M25" s="420"/>
      <c r="N25" s="420"/>
      <c r="O25" s="420"/>
      <c r="P25" s="434">
        <f t="shared" si="0"/>
        <v>0</v>
      </c>
    </row>
    <row r="26" spans="1:16" x14ac:dyDescent="0.25">
      <c r="A26" s="50"/>
      <c r="B26" s="433"/>
      <c r="C26" s="418"/>
      <c r="D26" s="255"/>
      <c r="E26" s="421"/>
      <c r="F26" s="300"/>
      <c r="G26" s="300"/>
      <c r="H26" s="430"/>
      <c r="I26" s="420"/>
      <c r="J26" s="420"/>
      <c r="K26" s="420"/>
      <c r="L26" s="420"/>
      <c r="M26" s="420"/>
      <c r="N26" s="420"/>
      <c r="O26" s="420"/>
      <c r="P26" s="434">
        <f t="shared" si="0"/>
        <v>0</v>
      </c>
    </row>
    <row r="27" spans="1:16" ht="25.5" customHeight="1" x14ac:dyDescent="0.25">
      <c r="A27" s="50"/>
      <c r="B27" s="600" t="s">
        <v>150</v>
      </c>
      <c r="C27" s="601"/>
      <c r="D27" s="601"/>
      <c r="E27" s="601"/>
      <c r="F27" s="601"/>
      <c r="G27" s="601"/>
      <c r="H27" s="601"/>
      <c r="I27" s="601"/>
      <c r="J27" s="601"/>
      <c r="K27" s="601"/>
      <c r="L27" s="601"/>
      <c r="M27" s="601"/>
      <c r="N27" s="601"/>
      <c r="O27" s="601"/>
      <c r="P27" s="602"/>
    </row>
    <row r="28" spans="1:16" x14ac:dyDescent="0.25">
      <c r="A28" s="50"/>
      <c r="B28" s="433">
        <v>7</v>
      </c>
      <c r="C28" s="418" t="s">
        <v>151</v>
      </c>
      <c r="D28" s="255" t="s">
        <v>34</v>
      </c>
      <c r="E28" s="421">
        <v>12</v>
      </c>
      <c r="F28" s="300"/>
      <c r="G28" s="300"/>
      <c r="H28" s="420"/>
      <c r="I28" s="430">
        <v>0.2</v>
      </c>
      <c r="J28" s="430">
        <v>0.5</v>
      </c>
      <c r="K28" s="430">
        <v>0.3</v>
      </c>
      <c r="L28" s="420"/>
      <c r="M28" s="420"/>
      <c r="N28" s="420"/>
      <c r="O28" s="420"/>
      <c r="P28" s="434">
        <f t="shared" si="0"/>
        <v>1</v>
      </c>
    </row>
    <row r="29" spans="1:16" ht="28.5" x14ac:dyDescent="0.25">
      <c r="A29" s="50"/>
      <c r="B29" s="433">
        <v>8</v>
      </c>
      <c r="C29" s="418" t="s">
        <v>152</v>
      </c>
      <c r="D29" s="255" t="s">
        <v>34</v>
      </c>
      <c r="E29" s="421">
        <v>12</v>
      </c>
      <c r="F29" s="300"/>
      <c r="G29" s="300"/>
      <c r="H29" s="420"/>
      <c r="I29" s="430">
        <v>0.8</v>
      </c>
      <c r="J29" s="430">
        <v>0.2</v>
      </c>
      <c r="K29" s="420"/>
      <c r="L29" s="420"/>
      <c r="M29" s="420"/>
      <c r="N29" s="420"/>
      <c r="O29" s="420"/>
      <c r="P29" s="434">
        <f t="shared" si="0"/>
        <v>1</v>
      </c>
    </row>
    <row r="30" spans="1:16" ht="28.5" x14ac:dyDescent="0.25">
      <c r="A30" s="50"/>
      <c r="B30" s="433">
        <v>9</v>
      </c>
      <c r="C30" s="418" t="s">
        <v>153</v>
      </c>
      <c r="D30" s="255" t="s">
        <v>34</v>
      </c>
      <c r="E30" s="421">
        <v>12</v>
      </c>
      <c r="F30" s="300"/>
      <c r="G30" s="300"/>
      <c r="H30" s="420"/>
      <c r="I30" s="430">
        <v>0.5</v>
      </c>
      <c r="J30" s="430">
        <v>0.5</v>
      </c>
      <c r="K30" s="420"/>
      <c r="L30" s="420"/>
      <c r="M30" s="420"/>
      <c r="N30" s="420"/>
      <c r="O30" s="420"/>
      <c r="P30" s="434">
        <f t="shared" si="0"/>
        <v>1</v>
      </c>
    </row>
    <row r="31" spans="1:16" ht="28.5" x14ac:dyDescent="0.25">
      <c r="A31" s="50"/>
      <c r="B31" s="433">
        <v>10</v>
      </c>
      <c r="C31" s="418" t="s">
        <v>154</v>
      </c>
      <c r="D31" s="255" t="s">
        <v>34</v>
      </c>
      <c r="E31" s="421">
        <v>12</v>
      </c>
      <c r="F31" s="300"/>
      <c r="G31" s="300"/>
      <c r="H31" s="420"/>
      <c r="I31" s="430">
        <v>1</v>
      </c>
      <c r="J31" s="420"/>
      <c r="K31" s="420"/>
      <c r="L31" s="420"/>
      <c r="M31" s="420"/>
      <c r="N31" s="420"/>
      <c r="O31" s="420"/>
      <c r="P31" s="434">
        <f t="shared" si="0"/>
        <v>1</v>
      </c>
    </row>
    <row r="32" spans="1:16" ht="28.5" x14ac:dyDescent="0.25">
      <c r="A32" s="50"/>
      <c r="B32" s="433">
        <v>11</v>
      </c>
      <c r="C32" s="418" t="s">
        <v>155</v>
      </c>
      <c r="D32" s="255" t="s">
        <v>34</v>
      </c>
      <c r="E32" s="421">
        <v>3</v>
      </c>
      <c r="F32" s="300"/>
      <c r="G32" s="300"/>
      <c r="H32" s="420"/>
      <c r="I32" s="420"/>
      <c r="J32" s="430">
        <v>1</v>
      </c>
      <c r="K32" s="420"/>
      <c r="L32" s="420"/>
      <c r="M32" s="420"/>
      <c r="N32" s="420"/>
      <c r="O32" s="420"/>
      <c r="P32" s="434">
        <f t="shared" si="0"/>
        <v>1</v>
      </c>
    </row>
    <row r="33" spans="1:16" x14ac:dyDescent="0.25">
      <c r="A33" s="50"/>
      <c r="B33" s="435" t="s">
        <v>281</v>
      </c>
      <c r="C33" s="418"/>
      <c r="D33" s="255" t="s">
        <v>254</v>
      </c>
      <c r="E33" s="421"/>
      <c r="F33" s="300"/>
      <c r="G33" s="300"/>
      <c r="H33" s="420"/>
      <c r="I33" s="420"/>
      <c r="J33" s="420"/>
      <c r="K33" s="420"/>
      <c r="L33" s="420"/>
      <c r="M33" s="420"/>
      <c r="N33" s="420"/>
      <c r="O33" s="420"/>
      <c r="P33" s="434">
        <f t="shared" si="0"/>
        <v>0</v>
      </c>
    </row>
    <row r="34" spans="1:16" x14ac:dyDescent="0.25">
      <c r="A34" s="50"/>
      <c r="B34" s="433"/>
      <c r="C34" s="418"/>
      <c r="D34" s="255"/>
      <c r="E34" s="421"/>
      <c r="F34" s="300"/>
      <c r="G34" s="300"/>
      <c r="H34" s="420"/>
      <c r="I34" s="420"/>
      <c r="J34" s="420"/>
      <c r="K34" s="420"/>
      <c r="L34" s="420"/>
      <c r="M34" s="420"/>
      <c r="N34" s="420"/>
      <c r="O34" s="420"/>
      <c r="P34" s="434">
        <f t="shared" si="0"/>
        <v>0</v>
      </c>
    </row>
    <row r="35" spans="1:16" x14ac:dyDescent="0.25">
      <c r="A35" s="50"/>
      <c r="B35" s="433"/>
      <c r="C35" s="418"/>
      <c r="D35" s="255"/>
      <c r="E35" s="421"/>
      <c r="F35" s="300"/>
      <c r="G35" s="300"/>
      <c r="H35" s="420"/>
      <c r="I35" s="420"/>
      <c r="J35" s="420"/>
      <c r="K35" s="420"/>
      <c r="L35" s="420"/>
      <c r="M35" s="420"/>
      <c r="N35" s="420"/>
      <c r="O35" s="420"/>
      <c r="P35" s="434">
        <f t="shared" si="0"/>
        <v>0</v>
      </c>
    </row>
    <row r="36" spans="1:16" x14ac:dyDescent="0.25">
      <c r="A36" s="50"/>
      <c r="B36" s="433"/>
      <c r="C36" s="418"/>
      <c r="D36" s="255"/>
      <c r="E36" s="421"/>
      <c r="F36" s="300"/>
      <c r="G36" s="300"/>
      <c r="H36" s="420"/>
      <c r="I36" s="420"/>
      <c r="J36" s="420"/>
      <c r="K36" s="420"/>
      <c r="L36" s="420"/>
      <c r="M36" s="420"/>
      <c r="N36" s="420"/>
      <c r="O36" s="420"/>
      <c r="P36" s="434">
        <f t="shared" si="0"/>
        <v>0</v>
      </c>
    </row>
    <row r="37" spans="1:16" ht="26.25" customHeight="1" x14ac:dyDescent="0.25">
      <c r="A37" s="50"/>
      <c r="B37" s="600" t="s">
        <v>11</v>
      </c>
      <c r="C37" s="601"/>
      <c r="D37" s="601"/>
      <c r="E37" s="601"/>
      <c r="F37" s="601"/>
      <c r="G37" s="601"/>
      <c r="H37" s="601"/>
      <c r="I37" s="601"/>
      <c r="J37" s="601"/>
      <c r="K37" s="601"/>
      <c r="L37" s="601"/>
      <c r="M37" s="601"/>
      <c r="N37" s="601"/>
      <c r="O37" s="601"/>
      <c r="P37" s="602"/>
    </row>
    <row r="38" spans="1:16" ht="28.5" x14ac:dyDescent="0.25">
      <c r="A38" s="50"/>
      <c r="B38" s="433">
        <v>12</v>
      </c>
      <c r="C38" s="418" t="s">
        <v>156</v>
      </c>
      <c r="D38" s="255" t="s">
        <v>34</v>
      </c>
      <c r="E38" s="421">
        <v>12</v>
      </c>
      <c r="F38" s="300"/>
      <c r="G38" s="300"/>
      <c r="H38" s="420"/>
      <c r="I38" s="420"/>
      <c r="J38" s="430">
        <v>1</v>
      </c>
      <c r="K38" s="420"/>
      <c r="L38" s="420"/>
      <c r="M38" s="420"/>
      <c r="N38" s="420"/>
      <c r="O38" s="420"/>
      <c r="P38" s="434">
        <f t="shared" si="0"/>
        <v>1</v>
      </c>
    </row>
    <row r="39" spans="1:16" ht="28.5" x14ac:dyDescent="0.25">
      <c r="A39" s="50"/>
      <c r="B39" s="433">
        <v>13</v>
      </c>
      <c r="C39" s="418" t="s">
        <v>157</v>
      </c>
      <c r="D39" s="255" t="s">
        <v>34</v>
      </c>
      <c r="E39" s="421">
        <v>12</v>
      </c>
      <c r="F39" s="300"/>
      <c r="G39" s="300"/>
      <c r="H39" s="420"/>
      <c r="I39" s="420"/>
      <c r="J39" s="430">
        <v>1</v>
      </c>
      <c r="K39" s="420"/>
      <c r="L39" s="420"/>
      <c r="M39" s="420"/>
      <c r="N39" s="420"/>
      <c r="O39" s="420"/>
      <c r="P39" s="434">
        <f t="shared" si="0"/>
        <v>1</v>
      </c>
    </row>
    <row r="40" spans="1:16" ht="28.5" x14ac:dyDescent="0.25">
      <c r="A40" s="50"/>
      <c r="B40" s="433">
        <v>14</v>
      </c>
      <c r="C40" s="418" t="s">
        <v>158</v>
      </c>
      <c r="D40" s="255" t="s">
        <v>34</v>
      </c>
      <c r="E40" s="421">
        <v>12</v>
      </c>
      <c r="F40" s="300"/>
      <c r="G40" s="300"/>
      <c r="H40" s="420"/>
      <c r="I40" s="420"/>
      <c r="J40" s="430">
        <v>1</v>
      </c>
      <c r="K40" s="420"/>
      <c r="L40" s="420"/>
      <c r="M40" s="420"/>
      <c r="N40" s="420"/>
      <c r="O40" s="420"/>
      <c r="P40" s="434">
        <f t="shared" si="0"/>
        <v>1</v>
      </c>
    </row>
    <row r="41" spans="1:16" x14ac:dyDescent="0.25">
      <c r="A41" s="50"/>
      <c r="B41" s="435" t="s">
        <v>281</v>
      </c>
      <c r="C41" s="418"/>
      <c r="D41" s="255" t="s">
        <v>254</v>
      </c>
      <c r="E41" s="421"/>
      <c r="F41" s="300"/>
      <c r="G41" s="300"/>
      <c r="H41" s="420"/>
      <c r="I41" s="420"/>
      <c r="J41" s="420"/>
      <c r="K41" s="420"/>
      <c r="L41" s="420"/>
      <c r="M41" s="420"/>
      <c r="N41" s="420"/>
      <c r="O41" s="420"/>
      <c r="P41" s="434">
        <f t="shared" si="0"/>
        <v>0</v>
      </c>
    </row>
    <row r="42" spans="1:16" x14ac:dyDescent="0.25">
      <c r="A42" s="50"/>
      <c r="B42" s="433"/>
      <c r="C42" s="418"/>
      <c r="D42" s="255"/>
      <c r="E42" s="421"/>
      <c r="F42" s="300"/>
      <c r="G42" s="300"/>
      <c r="H42" s="420"/>
      <c r="I42" s="420"/>
      <c r="J42" s="420"/>
      <c r="K42" s="420"/>
      <c r="L42" s="420"/>
      <c r="M42" s="420"/>
      <c r="N42" s="420"/>
      <c r="O42" s="420"/>
      <c r="P42" s="434">
        <f t="shared" si="0"/>
        <v>0</v>
      </c>
    </row>
    <row r="43" spans="1:16" x14ac:dyDescent="0.25">
      <c r="A43" s="50"/>
      <c r="B43" s="433"/>
      <c r="C43" s="418"/>
      <c r="D43" s="255"/>
      <c r="E43" s="421"/>
      <c r="F43" s="300"/>
      <c r="G43" s="300"/>
      <c r="H43" s="420"/>
      <c r="I43" s="420"/>
      <c r="J43" s="420"/>
      <c r="K43" s="420"/>
      <c r="L43" s="420"/>
      <c r="M43" s="420"/>
      <c r="N43" s="420"/>
      <c r="O43" s="420"/>
      <c r="P43" s="434">
        <f t="shared" si="0"/>
        <v>0</v>
      </c>
    </row>
    <row r="44" spans="1:16" x14ac:dyDescent="0.25">
      <c r="A44" s="50"/>
      <c r="B44" s="433"/>
      <c r="C44" s="418"/>
      <c r="D44" s="255"/>
      <c r="E44" s="421"/>
      <c r="F44" s="300"/>
      <c r="G44" s="300"/>
      <c r="H44" s="420"/>
      <c r="I44" s="420"/>
      <c r="J44" s="420"/>
      <c r="K44" s="420"/>
      <c r="L44" s="420"/>
      <c r="M44" s="420"/>
      <c r="N44" s="420"/>
      <c r="O44" s="420"/>
      <c r="P44" s="434">
        <f t="shared" si="0"/>
        <v>0</v>
      </c>
    </row>
    <row r="45" spans="1:16" ht="24" customHeight="1" x14ac:dyDescent="0.25">
      <c r="A45" s="50"/>
      <c r="B45" s="600" t="s">
        <v>159</v>
      </c>
      <c r="C45" s="601"/>
      <c r="D45" s="601"/>
      <c r="E45" s="601"/>
      <c r="F45" s="601"/>
      <c r="G45" s="601"/>
      <c r="H45" s="601"/>
      <c r="I45" s="601"/>
      <c r="J45" s="601"/>
      <c r="K45" s="601"/>
      <c r="L45" s="601"/>
      <c r="M45" s="601"/>
      <c r="N45" s="601"/>
      <c r="O45" s="601"/>
      <c r="P45" s="602"/>
    </row>
    <row r="46" spans="1:16" x14ac:dyDescent="0.25">
      <c r="A46" s="50"/>
      <c r="B46" s="433">
        <v>15</v>
      </c>
      <c r="C46" s="418" t="s">
        <v>160</v>
      </c>
      <c r="D46" s="255" t="s">
        <v>34</v>
      </c>
      <c r="E46" s="421"/>
      <c r="F46" s="300"/>
      <c r="G46" s="300"/>
      <c r="H46" s="430">
        <v>1</v>
      </c>
      <c r="I46" s="420"/>
      <c r="J46" s="420"/>
      <c r="K46" s="420"/>
      <c r="L46" s="420"/>
      <c r="M46" s="420"/>
      <c r="N46" s="420"/>
      <c r="O46" s="420"/>
      <c r="P46" s="434">
        <f t="shared" si="0"/>
        <v>1</v>
      </c>
    </row>
    <row r="47" spans="1:16" x14ac:dyDescent="0.25">
      <c r="A47" s="50"/>
      <c r="B47" s="435" t="s">
        <v>281</v>
      </c>
      <c r="C47" s="418"/>
      <c r="D47" s="255" t="s">
        <v>254</v>
      </c>
      <c r="E47" s="421"/>
      <c r="F47" s="300"/>
      <c r="G47" s="300"/>
      <c r="H47" s="430"/>
      <c r="I47" s="420"/>
      <c r="J47" s="420"/>
      <c r="K47" s="420"/>
      <c r="L47" s="420"/>
      <c r="M47" s="420"/>
      <c r="N47" s="420"/>
      <c r="O47" s="420"/>
      <c r="P47" s="434">
        <f t="shared" si="0"/>
        <v>0</v>
      </c>
    </row>
    <row r="48" spans="1:16" x14ac:dyDescent="0.25">
      <c r="A48" s="50"/>
      <c r="B48" s="433"/>
      <c r="C48" s="418"/>
      <c r="D48" s="255"/>
      <c r="E48" s="421"/>
      <c r="F48" s="300"/>
      <c r="G48" s="300"/>
      <c r="H48" s="430"/>
      <c r="I48" s="420"/>
      <c r="J48" s="420"/>
      <c r="K48" s="420"/>
      <c r="L48" s="420"/>
      <c r="M48" s="420"/>
      <c r="N48" s="420"/>
      <c r="O48" s="420"/>
      <c r="P48" s="434">
        <f t="shared" si="0"/>
        <v>0</v>
      </c>
    </row>
    <row r="49" spans="1:16" x14ac:dyDescent="0.25">
      <c r="A49" s="50"/>
      <c r="B49" s="433"/>
      <c r="C49" s="418"/>
      <c r="D49" s="255"/>
      <c r="E49" s="421"/>
      <c r="F49" s="300"/>
      <c r="G49" s="300"/>
      <c r="H49" s="430"/>
      <c r="I49" s="420"/>
      <c r="J49" s="420"/>
      <c r="K49" s="420"/>
      <c r="L49" s="420"/>
      <c r="M49" s="420"/>
      <c r="N49" s="420"/>
      <c r="O49" s="420"/>
      <c r="P49" s="434"/>
    </row>
    <row r="50" spans="1:16" x14ac:dyDescent="0.25">
      <c r="A50" s="50"/>
      <c r="B50" s="433"/>
      <c r="C50" s="418"/>
      <c r="D50" s="255"/>
      <c r="E50" s="421"/>
      <c r="F50" s="300"/>
      <c r="G50" s="300"/>
      <c r="H50" s="430"/>
      <c r="I50" s="420"/>
      <c r="J50" s="420"/>
      <c r="K50" s="420"/>
      <c r="L50" s="420"/>
      <c r="M50" s="420"/>
      <c r="N50" s="420"/>
      <c r="O50" s="420"/>
      <c r="P50" s="434">
        <f t="shared" si="0"/>
        <v>0</v>
      </c>
    </row>
    <row r="51" spans="1:16" ht="21" customHeight="1" x14ac:dyDescent="0.25">
      <c r="A51" s="48"/>
      <c r="B51" s="600" t="s">
        <v>161</v>
      </c>
      <c r="C51" s="601"/>
      <c r="D51" s="601"/>
      <c r="E51" s="601"/>
      <c r="F51" s="601"/>
      <c r="G51" s="601"/>
      <c r="H51" s="601"/>
      <c r="I51" s="601"/>
      <c r="J51" s="601"/>
      <c r="K51" s="601"/>
      <c r="L51" s="601"/>
      <c r="M51" s="601"/>
      <c r="N51" s="601"/>
      <c r="O51" s="601"/>
      <c r="P51" s="602"/>
    </row>
    <row r="52" spans="1:16" x14ac:dyDescent="0.25">
      <c r="A52" s="50"/>
      <c r="B52" s="433">
        <v>16</v>
      </c>
      <c r="C52" s="418" t="s">
        <v>162</v>
      </c>
      <c r="D52" s="255" t="s">
        <v>34</v>
      </c>
      <c r="E52" s="421"/>
      <c r="F52" s="300"/>
      <c r="G52" s="300"/>
      <c r="H52" s="420"/>
      <c r="I52" s="420"/>
      <c r="J52" s="420"/>
      <c r="K52" s="420"/>
      <c r="L52" s="420"/>
      <c r="M52" s="420"/>
      <c r="N52" s="420"/>
      <c r="O52" s="420"/>
      <c r="P52" s="434">
        <f t="shared" si="0"/>
        <v>0</v>
      </c>
    </row>
    <row r="53" spans="1:16" x14ac:dyDescent="0.25">
      <c r="A53" s="50"/>
      <c r="B53" s="433">
        <v>17</v>
      </c>
      <c r="C53" s="418" t="s">
        <v>163</v>
      </c>
      <c r="D53" s="255" t="s">
        <v>34</v>
      </c>
      <c r="E53" s="421"/>
      <c r="F53" s="300"/>
      <c r="G53" s="300"/>
      <c r="H53" s="420"/>
      <c r="I53" s="420"/>
      <c r="J53" s="420"/>
      <c r="K53" s="420"/>
      <c r="L53" s="420"/>
      <c r="M53" s="420"/>
      <c r="N53" s="420"/>
      <c r="O53" s="420"/>
      <c r="P53" s="434">
        <f t="shared" si="0"/>
        <v>0</v>
      </c>
    </row>
    <row r="54" spans="1:16" x14ac:dyDescent="0.25">
      <c r="A54" s="50"/>
      <c r="B54" s="433">
        <v>18</v>
      </c>
      <c r="C54" s="418" t="s">
        <v>164</v>
      </c>
      <c r="D54" s="255" t="s">
        <v>34</v>
      </c>
      <c r="E54" s="421"/>
      <c r="F54" s="300"/>
      <c r="G54" s="300"/>
      <c r="H54" s="420"/>
      <c r="I54" s="420"/>
      <c r="J54" s="420"/>
      <c r="K54" s="420"/>
      <c r="L54" s="420"/>
      <c r="M54" s="420"/>
      <c r="N54" s="420"/>
      <c r="O54" s="420"/>
      <c r="P54" s="434">
        <f t="shared" si="0"/>
        <v>0</v>
      </c>
    </row>
    <row r="55" spans="1:16" x14ac:dyDescent="0.25">
      <c r="A55" s="50"/>
      <c r="B55" s="433">
        <v>19</v>
      </c>
      <c r="C55" s="418" t="s">
        <v>165</v>
      </c>
      <c r="D55" s="255" t="s">
        <v>34</v>
      </c>
      <c r="E55" s="421"/>
      <c r="F55" s="300"/>
      <c r="G55" s="300"/>
      <c r="H55" s="420"/>
      <c r="I55" s="420"/>
      <c r="J55" s="420"/>
      <c r="K55" s="420"/>
      <c r="L55" s="420"/>
      <c r="M55" s="420"/>
      <c r="N55" s="420"/>
      <c r="O55" s="420"/>
      <c r="P55" s="434">
        <f t="shared" si="0"/>
        <v>0</v>
      </c>
    </row>
    <row r="56" spans="1:16" x14ac:dyDescent="0.25">
      <c r="A56" s="50"/>
      <c r="B56" s="435" t="s">
        <v>281</v>
      </c>
      <c r="C56" s="418"/>
      <c r="D56" s="255" t="s">
        <v>254</v>
      </c>
      <c r="E56" s="421"/>
      <c r="F56" s="300"/>
      <c r="G56" s="300"/>
      <c r="H56" s="420"/>
      <c r="I56" s="420"/>
      <c r="J56" s="420"/>
      <c r="K56" s="420"/>
      <c r="L56" s="420"/>
      <c r="M56" s="420"/>
      <c r="N56" s="420"/>
      <c r="O56" s="420"/>
      <c r="P56" s="434">
        <f t="shared" si="0"/>
        <v>0</v>
      </c>
    </row>
    <row r="57" spans="1:16" x14ac:dyDescent="0.25">
      <c r="A57" s="50"/>
      <c r="B57" s="435"/>
      <c r="C57" s="418"/>
      <c r="D57" s="255"/>
      <c r="E57" s="421"/>
      <c r="F57" s="300"/>
      <c r="G57" s="300"/>
      <c r="H57" s="420"/>
      <c r="I57" s="420"/>
      <c r="J57" s="420"/>
      <c r="K57" s="420"/>
      <c r="L57" s="420"/>
      <c r="M57" s="420"/>
      <c r="N57" s="420"/>
      <c r="O57" s="420"/>
      <c r="P57" s="434"/>
    </row>
    <row r="58" spans="1:16" x14ac:dyDescent="0.25">
      <c r="A58" s="50"/>
      <c r="B58" s="435"/>
      <c r="C58" s="418"/>
      <c r="D58" s="255"/>
      <c r="E58" s="421"/>
      <c r="F58" s="300"/>
      <c r="G58" s="300"/>
      <c r="H58" s="420"/>
      <c r="I58" s="420"/>
      <c r="J58" s="420"/>
      <c r="K58" s="420"/>
      <c r="L58" s="420"/>
      <c r="M58" s="420"/>
      <c r="N58" s="420"/>
      <c r="O58" s="420"/>
      <c r="P58" s="434"/>
    </row>
    <row r="59" spans="1:16" x14ac:dyDescent="0.25">
      <c r="A59" s="48"/>
      <c r="B59" s="436"/>
      <c r="C59" s="422"/>
      <c r="D59" s="423"/>
      <c r="E59" s="423"/>
      <c r="F59" s="300"/>
      <c r="G59" s="300"/>
      <c r="H59" s="424"/>
      <c r="I59" s="424"/>
      <c r="J59" s="424"/>
      <c r="K59" s="424"/>
      <c r="L59" s="424"/>
      <c r="M59" s="424"/>
      <c r="N59" s="424"/>
      <c r="O59" s="424"/>
      <c r="P59" s="434"/>
    </row>
    <row r="60" spans="1:16" ht="27" customHeight="1" x14ac:dyDescent="0.25">
      <c r="B60" s="608" t="s">
        <v>166</v>
      </c>
      <c r="C60" s="609"/>
      <c r="D60" s="609"/>
      <c r="E60" s="609"/>
      <c r="F60" s="609"/>
      <c r="G60" s="609"/>
      <c r="H60" s="609"/>
      <c r="I60" s="609"/>
      <c r="J60" s="609"/>
      <c r="K60" s="609"/>
      <c r="L60" s="609"/>
      <c r="M60" s="609"/>
      <c r="N60" s="609"/>
      <c r="O60" s="609"/>
      <c r="P60" s="610"/>
    </row>
    <row r="61" spans="1:16" ht="16.5" x14ac:dyDescent="0.25">
      <c r="B61" s="437"/>
      <c r="C61" s="418"/>
      <c r="D61" s="421"/>
      <c r="E61" s="421"/>
      <c r="F61" s="417"/>
      <c r="G61" s="417"/>
      <c r="H61" s="417"/>
      <c r="I61" s="417"/>
      <c r="J61" s="417"/>
      <c r="K61" s="417"/>
      <c r="L61" s="417"/>
      <c r="M61" s="417"/>
      <c r="N61" s="417"/>
      <c r="O61" s="417"/>
      <c r="P61" s="438"/>
    </row>
    <row r="62" spans="1:16" ht="25.5" customHeight="1" x14ac:dyDescent="0.25">
      <c r="A62" s="50"/>
      <c r="B62" s="603" t="s">
        <v>167</v>
      </c>
      <c r="C62" s="593"/>
      <c r="D62" s="593"/>
      <c r="E62" s="593"/>
      <c r="F62" s="593"/>
      <c r="G62" s="593"/>
      <c r="H62" s="593"/>
      <c r="I62" s="593"/>
      <c r="J62" s="593"/>
      <c r="K62" s="593"/>
      <c r="L62" s="593"/>
      <c r="M62" s="593"/>
      <c r="N62" s="593"/>
      <c r="O62" s="593"/>
      <c r="P62" s="604"/>
    </row>
    <row r="63" spans="1:16" x14ac:dyDescent="0.25">
      <c r="A63" s="50"/>
      <c r="B63" s="433">
        <v>21</v>
      </c>
      <c r="C63" s="418" t="s">
        <v>168</v>
      </c>
      <c r="D63" s="255" t="s">
        <v>34</v>
      </c>
      <c r="E63" s="421"/>
      <c r="F63" s="300"/>
      <c r="G63" s="300"/>
      <c r="H63" s="430">
        <v>1</v>
      </c>
      <c r="I63" s="420"/>
      <c r="J63" s="420"/>
      <c r="K63" s="420"/>
      <c r="L63" s="420"/>
      <c r="M63" s="420"/>
      <c r="N63" s="420"/>
      <c r="O63" s="420"/>
      <c r="P63" s="434">
        <f t="shared" si="0"/>
        <v>1</v>
      </c>
    </row>
    <row r="64" spans="1:16" ht="28.5" x14ac:dyDescent="0.25">
      <c r="A64" s="50"/>
      <c r="B64" s="433">
        <v>22</v>
      </c>
      <c r="C64" s="418" t="s">
        <v>169</v>
      </c>
      <c r="D64" s="255" t="s">
        <v>34</v>
      </c>
      <c r="E64" s="421"/>
      <c r="F64" s="300"/>
      <c r="G64" s="300"/>
      <c r="H64" s="430">
        <v>1</v>
      </c>
      <c r="I64" s="420"/>
      <c r="J64" s="420"/>
      <c r="K64" s="420"/>
      <c r="L64" s="420"/>
      <c r="M64" s="420"/>
      <c r="N64" s="420"/>
      <c r="O64" s="420"/>
      <c r="P64" s="434">
        <f t="shared" si="0"/>
        <v>1</v>
      </c>
    </row>
    <row r="65" spans="1:16" x14ac:dyDescent="0.25">
      <c r="A65" s="50"/>
      <c r="B65" s="433">
        <v>23</v>
      </c>
      <c r="C65" s="418" t="s">
        <v>170</v>
      </c>
      <c r="D65" s="255" t="s">
        <v>34</v>
      </c>
      <c r="E65" s="421"/>
      <c r="F65" s="300"/>
      <c r="G65" s="300"/>
      <c r="H65" s="430">
        <v>1</v>
      </c>
      <c r="I65" s="420"/>
      <c r="J65" s="420"/>
      <c r="K65" s="420"/>
      <c r="L65" s="420"/>
      <c r="M65" s="420"/>
      <c r="N65" s="420"/>
      <c r="O65" s="420"/>
      <c r="P65" s="434">
        <f t="shared" si="0"/>
        <v>1</v>
      </c>
    </row>
    <row r="66" spans="1:16" x14ac:dyDescent="0.25">
      <c r="A66" s="50"/>
      <c r="B66" s="433">
        <v>24</v>
      </c>
      <c r="C66" s="418" t="s">
        <v>171</v>
      </c>
      <c r="D66" s="255" t="s">
        <v>34</v>
      </c>
      <c r="E66" s="421"/>
      <c r="F66" s="300"/>
      <c r="G66" s="300"/>
      <c r="H66" s="430">
        <v>1</v>
      </c>
      <c r="I66" s="420"/>
      <c r="J66" s="420"/>
      <c r="K66" s="420"/>
      <c r="L66" s="420"/>
      <c r="M66" s="420"/>
      <c r="N66" s="420"/>
      <c r="O66" s="420"/>
      <c r="P66" s="434">
        <f t="shared" si="0"/>
        <v>1</v>
      </c>
    </row>
    <row r="67" spans="1:16" x14ac:dyDescent="0.25">
      <c r="A67" s="50"/>
      <c r="B67" s="435" t="s">
        <v>281</v>
      </c>
      <c r="C67" s="418"/>
      <c r="D67" s="255" t="s">
        <v>254</v>
      </c>
      <c r="E67" s="421"/>
      <c r="F67" s="300"/>
      <c r="G67" s="300"/>
      <c r="H67" s="430"/>
      <c r="I67" s="420"/>
      <c r="J67" s="420"/>
      <c r="K67" s="420"/>
      <c r="L67" s="420"/>
      <c r="M67" s="420"/>
      <c r="N67" s="420"/>
      <c r="O67" s="420"/>
      <c r="P67" s="434"/>
    </row>
    <row r="68" spans="1:16" x14ac:dyDescent="0.25">
      <c r="A68" s="50"/>
      <c r="B68" s="433"/>
      <c r="C68" s="418"/>
      <c r="D68" s="255"/>
      <c r="E68" s="421"/>
      <c r="F68" s="300"/>
      <c r="G68" s="300"/>
      <c r="H68" s="430"/>
      <c r="I68" s="420"/>
      <c r="J68" s="420"/>
      <c r="K68" s="420"/>
      <c r="L68" s="420"/>
      <c r="M68" s="420"/>
      <c r="N68" s="420"/>
      <c r="O68" s="420"/>
      <c r="P68" s="434"/>
    </row>
    <row r="69" spans="1:16" x14ac:dyDescent="0.25">
      <c r="A69" s="50"/>
      <c r="B69" s="433"/>
      <c r="C69" s="418"/>
      <c r="D69" s="255"/>
      <c r="E69" s="421"/>
      <c r="F69" s="300"/>
      <c r="G69" s="300"/>
      <c r="H69" s="430"/>
      <c r="I69" s="420"/>
      <c r="J69" s="420"/>
      <c r="K69" s="420"/>
      <c r="L69" s="420"/>
      <c r="M69" s="420"/>
      <c r="N69" s="420"/>
      <c r="O69" s="420"/>
      <c r="P69" s="434"/>
    </row>
    <row r="70" spans="1:16" x14ac:dyDescent="0.25">
      <c r="A70" s="50"/>
      <c r="B70" s="433"/>
      <c r="C70" s="418"/>
      <c r="D70" s="255"/>
      <c r="E70" s="421"/>
      <c r="F70" s="300"/>
      <c r="G70" s="300"/>
      <c r="H70" s="420"/>
      <c r="I70" s="420"/>
      <c r="J70" s="420"/>
      <c r="K70" s="420"/>
      <c r="L70" s="420"/>
      <c r="M70" s="420"/>
      <c r="N70" s="420"/>
      <c r="O70" s="420"/>
      <c r="P70" s="434">
        <f t="shared" si="0"/>
        <v>0</v>
      </c>
    </row>
    <row r="71" spans="1:16" ht="28.5" customHeight="1" x14ac:dyDescent="0.25">
      <c r="A71" s="50"/>
      <c r="B71" s="603" t="s">
        <v>172</v>
      </c>
      <c r="C71" s="593"/>
      <c r="D71" s="593"/>
      <c r="E71" s="593"/>
      <c r="F71" s="593"/>
      <c r="G71" s="593"/>
      <c r="H71" s="593"/>
      <c r="I71" s="593"/>
      <c r="J71" s="593"/>
      <c r="K71" s="593"/>
      <c r="L71" s="593"/>
      <c r="M71" s="593"/>
      <c r="N71" s="593"/>
      <c r="O71" s="593"/>
      <c r="P71" s="604"/>
    </row>
    <row r="72" spans="1:16" x14ac:dyDescent="0.25">
      <c r="A72" s="50"/>
      <c r="B72" s="433">
        <v>25</v>
      </c>
      <c r="C72" s="418" t="s">
        <v>173</v>
      </c>
      <c r="D72" s="255" t="s">
        <v>34</v>
      </c>
      <c r="E72" s="421"/>
      <c r="F72" s="300"/>
      <c r="G72" s="300"/>
      <c r="H72" s="420"/>
      <c r="I72" s="430">
        <v>1</v>
      </c>
      <c r="J72" s="420"/>
      <c r="K72" s="420"/>
      <c r="L72" s="420"/>
      <c r="M72" s="420"/>
      <c r="N72" s="420"/>
      <c r="O72" s="420"/>
      <c r="P72" s="434">
        <f t="shared" si="0"/>
        <v>1</v>
      </c>
    </row>
    <row r="73" spans="1:16" x14ac:dyDescent="0.25">
      <c r="A73" s="50"/>
      <c r="B73" s="433">
        <v>26</v>
      </c>
      <c r="C73" s="418" t="s">
        <v>174</v>
      </c>
      <c r="D73" s="255" t="s">
        <v>34</v>
      </c>
      <c r="E73" s="421"/>
      <c r="F73" s="300"/>
      <c r="G73" s="300"/>
      <c r="H73" s="420"/>
      <c r="I73" s="430">
        <v>1</v>
      </c>
      <c r="J73" s="420"/>
      <c r="K73" s="420"/>
      <c r="L73" s="420"/>
      <c r="M73" s="420"/>
      <c r="N73" s="420"/>
      <c r="O73" s="420"/>
      <c r="P73" s="434">
        <f t="shared" si="0"/>
        <v>1</v>
      </c>
    </row>
    <row r="74" spans="1:16" ht="28.5" x14ac:dyDescent="0.25">
      <c r="A74" s="50"/>
      <c r="B74" s="433">
        <v>27</v>
      </c>
      <c r="C74" s="418" t="s">
        <v>175</v>
      </c>
      <c r="D74" s="255" t="s">
        <v>34</v>
      </c>
      <c r="E74" s="421"/>
      <c r="F74" s="300"/>
      <c r="G74" s="300"/>
      <c r="H74" s="420"/>
      <c r="I74" s="430">
        <v>0.8</v>
      </c>
      <c r="J74" s="430">
        <v>0.2</v>
      </c>
      <c r="K74" s="420"/>
      <c r="L74" s="420"/>
      <c r="M74" s="420"/>
      <c r="N74" s="420"/>
      <c r="O74" s="420"/>
      <c r="P74" s="434">
        <f t="shared" si="0"/>
        <v>1</v>
      </c>
    </row>
    <row r="75" spans="1:16" ht="28.5" x14ac:dyDescent="0.25">
      <c r="A75" s="50"/>
      <c r="B75" s="433">
        <v>28</v>
      </c>
      <c r="C75" s="418" t="s">
        <v>176</v>
      </c>
      <c r="D75" s="255" t="s">
        <v>34</v>
      </c>
      <c r="E75" s="421"/>
      <c r="F75" s="300"/>
      <c r="G75" s="300"/>
      <c r="H75" s="420"/>
      <c r="I75" s="420"/>
      <c r="J75" s="420"/>
      <c r="K75" s="420"/>
      <c r="L75" s="420"/>
      <c r="M75" s="420"/>
      <c r="N75" s="420"/>
      <c r="O75" s="420"/>
      <c r="P75" s="434">
        <f t="shared" si="0"/>
        <v>0</v>
      </c>
    </row>
    <row r="76" spans="1:16" ht="28.5" x14ac:dyDescent="0.25">
      <c r="A76" s="50"/>
      <c r="B76" s="433">
        <v>29</v>
      </c>
      <c r="C76" s="418" t="s">
        <v>177</v>
      </c>
      <c r="D76" s="255" t="s">
        <v>34</v>
      </c>
      <c r="E76" s="421"/>
      <c r="F76" s="300"/>
      <c r="G76" s="300"/>
      <c r="H76" s="420"/>
      <c r="I76" s="420"/>
      <c r="J76" s="420"/>
      <c r="K76" s="420"/>
      <c r="L76" s="420"/>
      <c r="M76" s="420"/>
      <c r="N76" s="420"/>
      <c r="O76" s="420"/>
      <c r="P76" s="434">
        <f t="shared" si="0"/>
        <v>0</v>
      </c>
    </row>
    <row r="77" spans="1:16" ht="28.5" x14ac:dyDescent="0.25">
      <c r="A77" s="50"/>
      <c r="B77" s="433">
        <v>30</v>
      </c>
      <c r="C77" s="418" t="s">
        <v>178</v>
      </c>
      <c r="D77" s="255" t="s">
        <v>34</v>
      </c>
      <c r="E77" s="421"/>
      <c r="F77" s="300"/>
      <c r="G77" s="300"/>
      <c r="H77" s="420"/>
      <c r="I77" s="420"/>
      <c r="J77" s="420"/>
      <c r="K77" s="420"/>
      <c r="L77" s="420"/>
      <c r="M77" s="420"/>
      <c r="N77" s="420"/>
      <c r="O77" s="420"/>
      <c r="P77" s="434">
        <f t="shared" si="0"/>
        <v>0</v>
      </c>
    </row>
    <row r="78" spans="1:16" ht="28.5" x14ac:dyDescent="0.25">
      <c r="A78" s="50"/>
      <c r="B78" s="433">
        <v>31</v>
      </c>
      <c r="C78" s="418" t="s">
        <v>179</v>
      </c>
      <c r="D78" s="255" t="s">
        <v>34</v>
      </c>
      <c r="E78" s="421"/>
      <c r="F78" s="300"/>
      <c r="G78" s="300"/>
      <c r="H78" s="420"/>
      <c r="I78" s="420"/>
      <c r="J78" s="420"/>
      <c r="K78" s="420"/>
      <c r="L78" s="420"/>
      <c r="M78" s="420"/>
      <c r="N78" s="420"/>
      <c r="O78" s="420"/>
      <c r="P78" s="434">
        <f t="shared" si="0"/>
        <v>0</v>
      </c>
    </row>
    <row r="79" spans="1:16" x14ac:dyDescent="0.25">
      <c r="A79" s="50"/>
      <c r="B79" s="433">
        <v>32</v>
      </c>
      <c r="C79" s="418" t="s">
        <v>180</v>
      </c>
      <c r="D79" s="255" t="s">
        <v>34</v>
      </c>
      <c r="E79" s="421"/>
      <c r="F79" s="300"/>
      <c r="G79" s="300"/>
      <c r="H79" s="420"/>
      <c r="I79" s="420"/>
      <c r="J79" s="420"/>
      <c r="K79" s="420"/>
      <c r="L79" s="420"/>
      <c r="M79" s="420"/>
      <c r="N79" s="420"/>
      <c r="O79" s="420"/>
      <c r="P79" s="434">
        <f t="shared" si="0"/>
        <v>0</v>
      </c>
    </row>
    <row r="80" spans="1:16" x14ac:dyDescent="0.25">
      <c r="A80" s="50"/>
      <c r="B80" s="435" t="s">
        <v>281</v>
      </c>
      <c r="C80" s="418"/>
      <c r="D80" s="255" t="s">
        <v>254</v>
      </c>
      <c r="E80" s="421"/>
      <c r="F80" s="300"/>
      <c r="G80" s="300"/>
      <c r="H80" s="420"/>
      <c r="I80" s="420"/>
      <c r="J80" s="420"/>
      <c r="K80" s="420"/>
      <c r="L80" s="420"/>
      <c r="M80" s="420"/>
      <c r="N80" s="420"/>
      <c r="O80" s="420"/>
      <c r="P80" s="434"/>
    </row>
    <row r="81" spans="1:16" x14ac:dyDescent="0.25">
      <c r="A81" s="50"/>
      <c r="B81" s="433"/>
      <c r="C81" s="418"/>
      <c r="D81" s="255"/>
      <c r="E81" s="421"/>
      <c r="F81" s="300"/>
      <c r="G81" s="300"/>
      <c r="H81" s="420"/>
      <c r="I81" s="420"/>
      <c r="J81" s="420"/>
      <c r="K81" s="420"/>
      <c r="L81" s="420"/>
      <c r="M81" s="420"/>
      <c r="N81" s="420"/>
      <c r="O81" s="420"/>
      <c r="P81" s="434"/>
    </row>
    <row r="82" spans="1:16" x14ac:dyDescent="0.25">
      <c r="A82" s="50"/>
      <c r="B82" s="433"/>
      <c r="C82" s="418"/>
      <c r="D82" s="255"/>
      <c r="E82" s="421"/>
      <c r="F82" s="300"/>
      <c r="G82" s="300"/>
      <c r="H82" s="420"/>
      <c r="I82" s="420"/>
      <c r="J82" s="420"/>
      <c r="K82" s="420"/>
      <c r="L82" s="420"/>
      <c r="M82" s="420"/>
      <c r="N82" s="420"/>
      <c r="O82" s="420"/>
      <c r="P82" s="434"/>
    </row>
    <row r="83" spans="1:16" x14ac:dyDescent="0.25">
      <c r="A83" s="50"/>
      <c r="B83" s="433"/>
      <c r="C83" s="418"/>
      <c r="D83" s="255"/>
      <c r="E83" s="421"/>
      <c r="F83" s="300"/>
      <c r="G83" s="300"/>
      <c r="H83" s="420"/>
      <c r="I83" s="420"/>
      <c r="J83" s="420"/>
      <c r="K83" s="420"/>
      <c r="L83" s="420"/>
      <c r="M83" s="420"/>
      <c r="N83" s="420"/>
      <c r="O83" s="420"/>
      <c r="P83" s="434">
        <f t="shared" ref="P83:P106" si="1">SUM(H83:O83)</f>
        <v>0</v>
      </c>
    </row>
    <row r="84" spans="1:16" ht="25.5" customHeight="1" x14ac:dyDescent="0.25">
      <c r="A84" s="50"/>
      <c r="B84" s="603" t="s">
        <v>181</v>
      </c>
      <c r="C84" s="593"/>
      <c r="D84" s="593"/>
      <c r="E84" s="593"/>
      <c r="F84" s="593"/>
      <c r="G84" s="593"/>
      <c r="H84" s="593"/>
      <c r="I84" s="593"/>
      <c r="J84" s="593"/>
      <c r="K84" s="593"/>
      <c r="L84" s="593"/>
      <c r="M84" s="593"/>
      <c r="N84" s="593"/>
      <c r="O84" s="593"/>
      <c r="P84" s="604"/>
    </row>
    <row r="85" spans="1:16" x14ac:dyDescent="0.25">
      <c r="A85" s="50"/>
      <c r="B85" s="433">
        <v>33</v>
      </c>
      <c r="C85" s="418" t="s">
        <v>182</v>
      </c>
      <c r="D85" s="255" t="s">
        <v>34</v>
      </c>
      <c r="E85" s="421"/>
      <c r="F85" s="300"/>
      <c r="G85" s="300"/>
      <c r="H85" s="426"/>
      <c r="I85" s="426"/>
      <c r="J85" s="426"/>
      <c r="K85" s="426"/>
      <c r="L85" s="426"/>
      <c r="M85" s="426"/>
      <c r="N85" s="426"/>
      <c r="O85" s="426"/>
      <c r="P85" s="434">
        <f t="shared" si="1"/>
        <v>0</v>
      </c>
    </row>
    <row r="86" spans="1:16" x14ac:dyDescent="0.25">
      <c r="A86" s="50"/>
      <c r="B86" s="433">
        <v>34</v>
      </c>
      <c r="C86" s="418" t="s">
        <v>183</v>
      </c>
      <c r="D86" s="255" t="s">
        <v>34</v>
      </c>
      <c r="E86" s="421"/>
      <c r="F86" s="300"/>
      <c r="G86" s="300"/>
      <c r="H86" s="426"/>
      <c r="I86" s="426"/>
      <c r="J86" s="426"/>
      <c r="K86" s="426"/>
      <c r="L86" s="426"/>
      <c r="M86" s="426"/>
      <c r="N86" s="426"/>
      <c r="O86" s="426"/>
      <c r="P86" s="434">
        <f t="shared" si="1"/>
        <v>0</v>
      </c>
    </row>
    <row r="87" spans="1:16" x14ac:dyDescent="0.25">
      <c r="A87" s="50"/>
      <c r="B87" s="433">
        <v>35</v>
      </c>
      <c r="C87" s="418" t="s">
        <v>184</v>
      </c>
      <c r="D87" s="255" t="s">
        <v>34</v>
      </c>
      <c r="E87" s="421"/>
      <c r="F87" s="300"/>
      <c r="G87" s="300"/>
      <c r="H87" s="426"/>
      <c r="I87" s="426"/>
      <c r="J87" s="426"/>
      <c r="K87" s="426"/>
      <c r="L87" s="426"/>
      <c r="M87" s="426"/>
      <c r="N87" s="426"/>
      <c r="O87" s="426"/>
      <c r="P87" s="434">
        <f t="shared" si="1"/>
        <v>0</v>
      </c>
    </row>
    <row r="88" spans="1:16" x14ac:dyDescent="0.25">
      <c r="A88" s="50"/>
      <c r="B88" s="435" t="s">
        <v>281</v>
      </c>
      <c r="C88" s="418"/>
      <c r="D88" s="255" t="s">
        <v>254</v>
      </c>
      <c r="E88" s="421"/>
      <c r="F88" s="300"/>
      <c r="G88" s="300"/>
      <c r="H88" s="426"/>
      <c r="I88" s="426"/>
      <c r="J88" s="426"/>
      <c r="K88" s="426"/>
      <c r="L88" s="426"/>
      <c r="M88" s="426"/>
      <c r="N88" s="426"/>
      <c r="O88" s="426"/>
      <c r="P88" s="434"/>
    </row>
    <row r="89" spans="1:16" x14ac:dyDescent="0.25">
      <c r="A89" s="50"/>
      <c r="B89" s="433"/>
      <c r="C89" s="418"/>
      <c r="D89" s="255"/>
      <c r="E89" s="421"/>
      <c r="F89" s="300"/>
      <c r="G89" s="300"/>
      <c r="H89" s="426"/>
      <c r="I89" s="426"/>
      <c r="J89" s="426"/>
      <c r="K89" s="426"/>
      <c r="L89" s="426"/>
      <c r="M89" s="426"/>
      <c r="N89" s="426"/>
      <c r="O89" s="426"/>
      <c r="P89" s="434"/>
    </row>
    <row r="90" spans="1:16" x14ac:dyDescent="0.25">
      <c r="A90" s="50"/>
      <c r="B90" s="433"/>
      <c r="C90" s="418"/>
      <c r="D90" s="255"/>
      <c r="E90" s="421"/>
      <c r="F90" s="300"/>
      <c r="G90" s="300"/>
      <c r="H90" s="426"/>
      <c r="I90" s="426"/>
      <c r="J90" s="426"/>
      <c r="K90" s="426"/>
      <c r="L90" s="426"/>
      <c r="M90" s="426"/>
      <c r="N90" s="426"/>
      <c r="O90" s="426"/>
      <c r="P90" s="434"/>
    </row>
    <row r="91" spans="1:16" x14ac:dyDescent="0.25">
      <c r="A91" s="50"/>
      <c r="B91" s="433"/>
      <c r="C91" s="418"/>
      <c r="D91" s="255"/>
      <c r="E91" s="421"/>
      <c r="F91" s="426"/>
      <c r="G91" s="426"/>
      <c r="H91" s="426"/>
      <c r="I91" s="426"/>
      <c r="J91" s="426"/>
      <c r="K91" s="426"/>
      <c r="L91" s="426"/>
      <c r="M91" s="426"/>
      <c r="N91" s="426"/>
      <c r="O91" s="426"/>
      <c r="P91" s="434">
        <f t="shared" si="1"/>
        <v>0</v>
      </c>
    </row>
    <row r="92" spans="1:16" ht="24" customHeight="1" x14ac:dyDescent="0.25">
      <c r="A92" s="50"/>
      <c r="B92" s="603" t="s">
        <v>185</v>
      </c>
      <c r="C92" s="593"/>
      <c r="D92" s="593"/>
      <c r="E92" s="593"/>
      <c r="F92" s="593"/>
      <c r="G92" s="593"/>
      <c r="H92" s="593"/>
      <c r="I92" s="593"/>
      <c r="J92" s="593"/>
      <c r="K92" s="593"/>
      <c r="L92" s="593"/>
      <c r="M92" s="593"/>
      <c r="N92" s="593"/>
      <c r="O92" s="593"/>
      <c r="P92" s="604"/>
    </row>
    <row r="93" spans="1:16" ht="42.75" x14ac:dyDescent="0.25">
      <c r="A93" s="50"/>
      <c r="B93" s="433">
        <v>36</v>
      </c>
      <c r="C93" s="418" t="s">
        <v>186</v>
      </c>
      <c r="D93" s="255" t="s">
        <v>34</v>
      </c>
      <c r="E93" s="421"/>
      <c r="F93" s="300"/>
      <c r="G93" s="300"/>
      <c r="H93" s="426"/>
      <c r="I93" s="426"/>
      <c r="J93" s="426"/>
      <c r="K93" s="426"/>
      <c r="L93" s="426"/>
      <c r="M93" s="426"/>
      <c r="N93" s="426"/>
      <c r="O93" s="426"/>
      <c r="P93" s="434">
        <f t="shared" si="1"/>
        <v>0</v>
      </c>
    </row>
    <row r="94" spans="1:16" ht="28.5" x14ac:dyDescent="0.25">
      <c r="A94" s="50"/>
      <c r="B94" s="433">
        <v>37</v>
      </c>
      <c r="C94" s="418" t="s">
        <v>187</v>
      </c>
      <c r="D94" s="255" t="s">
        <v>34</v>
      </c>
      <c r="E94" s="421"/>
      <c r="F94" s="300"/>
      <c r="G94" s="300"/>
      <c r="H94" s="426"/>
      <c r="I94" s="426"/>
      <c r="J94" s="426"/>
      <c r="K94" s="426"/>
      <c r="L94" s="426"/>
      <c r="M94" s="426"/>
      <c r="N94" s="426"/>
      <c r="O94" s="426"/>
      <c r="P94" s="434">
        <f t="shared" si="1"/>
        <v>0</v>
      </c>
    </row>
    <row r="95" spans="1:16" x14ac:dyDescent="0.25">
      <c r="A95" s="50"/>
      <c r="B95" s="433">
        <v>38</v>
      </c>
      <c r="C95" s="418" t="s">
        <v>188</v>
      </c>
      <c r="D95" s="255" t="s">
        <v>34</v>
      </c>
      <c r="E95" s="421"/>
      <c r="F95" s="300"/>
      <c r="G95" s="300"/>
      <c r="H95" s="426"/>
      <c r="I95" s="426"/>
      <c r="J95" s="426"/>
      <c r="K95" s="426"/>
      <c r="L95" s="426"/>
      <c r="M95" s="426"/>
      <c r="N95" s="426"/>
      <c r="O95" s="426"/>
      <c r="P95" s="434">
        <f t="shared" si="1"/>
        <v>0</v>
      </c>
    </row>
    <row r="96" spans="1:16" ht="28.5" x14ac:dyDescent="0.25">
      <c r="A96" s="50"/>
      <c r="B96" s="433">
        <v>39</v>
      </c>
      <c r="C96" s="418" t="s">
        <v>189</v>
      </c>
      <c r="D96" s="255" t="s">
        <v>34</v>
      </c>
      <c r="E96" s="421"/>
      <c r="F96" s="300"/>
      <c r="G96" s="300"/>
      <c r="H96" s="426"/>
      <c r="I96" s="426"/>
      <c r="J96" s="426"/>
      <c r="K96" s="426"/>
      <c r="L96" s="426"/>
      <c r="M96" s="426"/>
      <c r="N96" s="426"/>
      <c r="O96" s="426"/>
      <c r="P96" s="434">
        <f t="shared" si="1"/>
        <v>0</v>
      </c>
    </row>
    <row r="97" spans="1:16" ht="28.5" x14ac:dyDescent="0.25">
      <c r="A97" s="50"/>
      <c r="B97" s="433">
        <v>40</v>
      </c>
      <c r="C97" s="418" t="s">
        <v>190</v>
      </c>
      <c r="D97" s="255" t="s">
        <v>34</v>
      </c>
      <c r="E97" s="421"/>
      <c r="F97" s="300"/>
      <c r="G97" s="300"/>
      <c r="H97" s="426"/>
      <c r="I97" s="426"/>
      <c r="J97" s="426"/>
      <c r="K97" s="426"/>
      <c r="L97" s="426"/>
      <c r="M97" s="426"/>
      <c r="N97" s="426"/>
      <c r="O97" s="426"/>
      <c r="P97" s="434">
        <f t="shared" si="1"/>
        <v>0</v>
      </c>
    </row>
    <row r="98" spans="1:16" ht="28.5" x14ac:dyDescent="0.25">
      <c r="A98" s="50"/>
      <c r="B98" s="433">
        <v>41</v>
      </c>
      <c r="C98" s="418" t="s">
        <v>191</v>
      </c>
      <c r="D98" s="255" t="s">
        <v>34</v>
      </c>
      <c r="E98" s="421"/>
      <c r="F98" s="300"/>
      <c r="G98" s="300"/>
      <c r="H98" s="426"/>
      <c r="I98" s="426"/>
      <c r="J98" s="426"/>
      <c r="K98" s="426"/>
      <c r="L98" s="426"/>
      <c r="M98" s="426"/>
      <c r="N98" s="426"/>
      <c r="O98" s="426"/>
      <c r="P98" s="434">
        <f t="shared" si="1"/>
        <v>0</v>
      </c>
    </row>
    <row r="99" spans="1:16" ht="28.5" x14ac:dyDescent="0.25">
      <c r="A99" s="50"/>
      <c r="B99" s="433">
        <v>42</v>
      </c>
      <c r="C99" s="418" t="s">
        <v>192</v>
      </c>
      <c r="D99" s="255" t="s">
        <v>34</v>
      </c>
      <c r="E99" s="421"/>
      <c r="F99" s="300"/>
      <c r="G99" s="300"/>
      <c r="H99" s="426"/>
      <c r="I99" s="426"/>
      <c r="J99" s="426"/>
      <c r="K99" s="426"/>
      <c r="L99" s="426"/>
      <c r="M99" s="426"/>
      <c r="N99" s="426"/>
      <c r="O99" s="426"/>
      <c r="P99" s="434">
        <f t="shared" si="1"/>
        <v>0</v>
      </c>
    </row>
    <row r="100" spans="1:16" x14ac:dyDescent="0.25">
      <c r="A100" s="50"/>
      <c r="B100" s="433">
        <v>43</v>
      </c>
      <c r="C100" s="418" t="s">
        <v>193</v>
      </c>
      <c r="D100" s="255" t="s">
        <v>34</v>
      </c>
      <c r="E100" s="421"/>
      <c r="F100" s="300"/>
      <c r="G100" s="300"/>
      <c r="H100" s="426"/>
      <c r="I100" s="426"/>
      <c r="J100" s="426"/>
      <c r="K100" s="426"/>
      <c r="L100" s="426"/>
      <c r="M100" s="426"/>
      <c r="N100" s="426"/>
      <c r="O100" s="426"/>
      <c r="P100" s="434">
        <f t="shared" si="1"/>
        <v>0</v>
      </c>
    </row>
    <row r="101" spans="1:16" ht="42.75" x14ac:dyDescent="0.25">
      <c r="A101" s="50"/>
      <c r="B101" s="433">
        <v>44</v>
      </c>
      <c r="C101" s="418" t="s">
        <v>194</v>
      </c>
      <c r="D101" s="255" t="s">
        <v>34</v>
      </c>
      <c r="E101" s="421"/>
      <c r="F101" s="300"/>
      <c r="G101" s="300"/>
      <c r="H101" s="426"/>
      <c r="I101" s="426"/>
      <c r="J101" s="426"/>
      <c r="K101" s="426"/>
      <c r="L101" s="426"/>
      <c r="M101" s="426"/>
      <c r="N101" s="426"/>
      <c r="O101" s="426"/>
      <c r="P101" s="434">
        <f t="shared" si="1"/>
        <v>0</v>
      </c>
    </row>
    <row r="102" spans="1:16" ht="28.5" x14ac:dyDescent="0.25">
      <c r="A102" s="50"/>
      <c r="B102" s="433">
        <v>45</v>
      </c>
      <c r="C102" s="418" t="s">
        <v>195</v>
      </c>
      <c r="D102" s="255" t="s">
        <v>34</v>
      </c>
      <c r="E102" s="421"/>
      <c r="F102" s="300"/>
      <c r="G102" s="300"/>
      <c r="H102" s="426"/>
      <c r="I102" s="426"/>
      <c r="J102" s="426"/>
      <c r="K102" s="426"/>
      <c r="L102" s="426"/>
      <c r="M102" s="426"/>
      <c r="N102" s="426"/>
      <c r="O102" s="426"/>
      <c r="P102" s="434">
        <f t="shared" si="1"/>
        <v>0</v>
      </c>
    </row>
    <row r="103" spans="1:16" ht="28.5" x14ac:dyDescent="0.25">
      <c r="A103" s="50"/>
      <c r="B103" s="433">
        <v>46</v>
      </c>
      <c r="C103" s="418" t="s">
        <v>196</v>
      </c>
      <c r="D103" s="255" t="s">
        <v>34</v>
      </c>
      <c r="E103" s="421"/>
      <c r="F103" s="300"/>
      <c r="G103" s="300"/>
      <c r="H103" s="426"/>
      <c r="I103" s="426"/>
      <c r="J103" s="426"/>
      <c r="K103" s="426"/>
      <c r="L103" s="426"/>
      <c r="M103" s="426"/>
      <c r="N103" s="426"/>
      <c r="O103" s="426"/>
      <c r="P103" s="434">
        <f t="shared" si="1"/>
        <v>0</v>
      </c>
    </row>
    <row r="104" spans="1:16" ht="28.5" x14ac:dyDescent="0.25">
      <c r="A104" s="50"/>
      <c r="B104" s="433">
        <v>47</v>
      </c>
      <c r="C104" s="418" t="s">
        <v>197</v>
      </c>
      <c r="D104" s="255" t="s">
        <v>34</v>
      </c>
      <c r="E104" s="421"/>
      <c r="F104" s="300"/>
      <c r="G104" s="300"/>
      <c r="H104" s="426"/>
      <c r="I104" s="426"/>
      <c r="J104" s="426"/>
      <c r="K104" s="426"/>
      <c r="L104" s="426"/>
      <c r="M104" s="426"/>
      <c r="N104" s="426"/>
      <c r="O104" s="426"/>
      <c r="P104" s="434">
        <f t="shared" si="1"/>
        <v>0</v>
      </c>
    </row>
    <row r="105" spans="1:16" ht="28.5" x14ac:dyDescent="0.25">
      <c r="A105" s="50"/>
      <c r="B105" s="433">
        <v>48</v>
      </c>
      <c r="C105" s="418" t="s">
        <v>198</v>
      </c>
      <c r="D105" s="255" t="s">
        <v>34</v>
      </c>
      <c r="E105" s="421"/>
      <c r="F105" s="300"/>
      <c r="G105" s="300"/>
      <c r="H105" s="426"/>
      <c r="I105" s="426"/>
      <c r="J105" s="426"/>
      <c r="K105" s="426"/>
      <c r="L105" s="426"/>
      <c r="M105" s="426"/>
      <c r="N105" s="426"/>
      <c r="O105" s="426"/>
      <c r="P105" s="434">
        <f t="shared" si="1"/>
        <v>0</v>
      </c>
    </row>
    <row r="106" spans="1:16" ht="28.5" x14ac:dyDescent="0.25">
      <c r="A106" s="50"/>
      <c r="B106" s="433">
        <v>49</v>
      </c>
      <c r="C106" s="418" t="s">
        <v>199</v>
      </c>
      <c r="D106" s="255" t="s">
        <v>34</v>
      </c>
      <c r="E106" s="421"/>
      <c r="F106" s="300"/>
      <c r="G106" s="300"/>
      <c r="H106" s="426"/>
      <c r="I106" s="426"/>
      <c r="J106" s="426"/>
      <c r="K106" s="426"/>
      <c r="L106" s="426"/>
      <c r="M106" s="426"/>
      <c r="N106" s="426"/>
      <c r="O106" s="426"/>
      <c r="P106" s="434">
        <f t="shared" si="1"/>
        <v>0</v>
      </c>
    </row>
    <row r="107" spans="1:16" x14ac:dyDescent="0.25">
      <c r="A107" s="50"/>
      <c r="B107" s="435" t="s">
        <v>281</v>
      </c>
      <c r="C107" s="418"/>
      <c r="D107" s="255" t="s">
        <v>254</v>
      </c>
      <c r="E107" s="421"/>
      <c r="F107" s="300"/>
      <c r="G107" s="300"/>
      <c r="H107" s="426"/>
      <c r="I107" s="426"/>
      <c r="J107" s="426"/>
      <c r="K107" s="426"/>
      <c r="L107" s="426"/>
      <c r="M107" s="426"/>
      <c r="N107" s="426"/>
      <c r="O107" s="426"/>
      <c r="P107" s="434"/>
    </row>
    <row r="108" spans="1:16" x14ac:dyDescent="0.25">
      <c r="A108" s="50"/>
      <c r="B108" s="433"/>
      <c r="C108" s="418"/>
      <c r="D108" s="255"/>
      <c r="E108" s="421"/>
      <c r="F108" s="300"/>
      <c r="G108" s="300"/>
      <c r="H108" s="426"/>
      <c r="I108" s="426"/>
      <c r="J108" s="426"/>
      <c r="K108" s="426"/>
      <c r="L108" s="426"/>
      <c r="M108" s="426"/>
      <c r="N108" s="426"/>
      <c r="O108" s="426"/>
      <c r="P108" s="434"/>
    </row>
    <row r="109" spans="1:16" x14ac:dyDescent="0.25">
      <c r="A109" s="50"/>
      <c r="B109" s="433"/>
      <c r="C109" s="418"/>
      <c r="D109" s="255"/>
      <c r="E109" s="421"/>
      <c r="F109" s="300"/>
      <c r="G109" s="300"/>
      <c r="H109" s="426"/>
      <c r="I109" s="426"/>
      <c r="J109" s="426"/>
      <c r="K109" s="426"/>
      <c r="L109" s="426"/>
      <c r="M109" s="426"/>
      <c r="N109" s="426"/>
      <c r="O109" s="426"/>
      <c r="P109" s="434"/>
    </row>
    <row r="110" spans="1:16" x14ac:dyDescent="0.25">
      <c r="A110" s="50"/>
      <c r="B110" s="433"/>
      <c r="C110" s="418"/>
      <c r="D110" s="255"/>
      <c r="E110" s="421"/>
      <c r="F110" s="300"/>
      <c r="G110" s="300"/>
      <c r="H110" s="426"/>
      <c r="I110" s="426"/>
      <c r="J110" s="426"/>
      <c r="K110" s="426"/>
      <c r="L110" s="426"/>
      <c r="M110" s="426"/>
      <c r="N110" s="426"/>
      <c r="O110" s="426"/>
      <c r="P110" s="434"/>
    </row>
    <row r="111" spans="1:16" x14ac:dyDescent="0.25">
      <c r="B111" s="357"/>
      <c r="C111" s="594" t="s">
        <v>222</v>
      </c>
      <c r="D111" s="594"/>
      <c r="E111" s="358"/>
      <c r="F111" s="359"/>
      <c r="G111" s="359"/>
      <c r="H111" s="360">
        <f>SUM(F17*H17,F18*H18,F19*H19,F20*H20,F21*H21,F22*H22,F46*H46,F63*H63,F64*H64,F65*H65,F66*H66)</f>
        <v>0</v>
      </c>
      <c r="I111" s="360">
        <f>SUM(F28*I28,F29*I29,F30*I30,F31*I31,F32*I32,F72*I72,F73*I73,F74*I74,F75*I75,F76*I76,F77*I77,F78*I78,F79*I79,F85*I85,F86*I86,F87*I87)</f>
        <v>0</v>
      </c>
      <c r="J111" s="361"/>
      <c r="K111" s="358"/>
      <c r="L111" s="358"/>
      <c r="M111" s="358"/>
      <c r="N111" s="360"/>
      <c r="O111" s="358"/>
      <c r="P111" s="362">
        <f>SUM(H111:O111)</f>
        <v>0</v>
      </c>
    </row>
    <row r="112" spans="1:16" x14ac:dyDescent="0.25">
      <c r="B112" s="277"/>
      <c r="C112" s="580" t="s">
        <v>261</v>
      </c>
      <c r="D112" s="580"/>
      <c r="E112" s="271"/>
      <c r="F112" s="269"/>
      <c r="G112" s="269"/>
      <c r="H112" s="271"/>
      <c r="I112" s="271"/>
      <c r="J112" s="272">
        <f>SUM(E28*G28*J28,E29*G29*J29,E30*G30*J30,E31*G31,J31*E32*G32*J32,E38*G38*J38,E39*G39*J39,E40*G40*J40)</f>
        <v>0</v>
      </c>
      <c r="K112" s="272">
        <f>SUM(E28*G28*K28,E29*G29*K29,E30*G30*K30,E31*G31*K31,E32*G32*K32,E38*G38*K38,E39*G39*K39,E40*G40*K40)</f>
        <v>0</v>
      </c>
      <c r="L112" s="272"/>
      <c r="M112" s="272"/>
      <c r="N112" s="271"/>
      <c r="O112" s="271"/>
      <c r="P112" s="278">
        <f>SUM(H112:O112)</f>
        <v>0</v>
      </c>
    </row>
    <row r="113" spans="2:16" x14ac:dyDescent="0.25">
      <c r="B113" s="277"/>
      <c r="C113" s="580" t="s">
        <v>262</v>
      </c>
      <c r="D113" s="580"/>
      <c r="E113" s="271"/>
      <c r="F113" s="269"/>
      <c r="G113" s="269"/>
      <c r="H113" s="271"/>
      <c r="I113" s="271"/>
      <c r="J113" s="272">
        <f>J112-(E32*G32*J32)</f>
        <v>0</v>
      </c>
      <c r="K113" s="271">
        <f>K112-(E32*G32*K32)</f>
        <v>0</v>
      </c>
      <c r="L113" s="271"/>
      <c r="M113" s="271"/>
      <c r="N113" s="271"/>
      <c r="O113" s="271"/>
      <c r="P113" s="278"/>
    </row>
    <row r="114" spans="2:16" x14ac:dyDescent="0.25">
      <c r="B114" s="357"/>
      <c r="C114" s="594"/>
      <c r="D114" s="594"/>
      <c r="E114" s="358"/>
      <c r="F114" s="359"/>
      <c r="G114" s="359"/>
      <c r="H114" s="358"/>
      <c r="I114" s="358"/>
      <c r="J114" s="358"/>
      <c r="K114" s="358"/>
      <c r="L114" s="358"/>
      <c r="M114" s="358"/>
      <c r="N114" s="358"/>
      <c r="O114" s="358"/>
      <c r="P114" s="362"/>
    </row>
    <row r="115" spans="2:16" x14ac:dyDescent="0.25">
      <c r="B115" s="279"/>
      <c r="C115" s="263"/>
      <c r="D115" s="264"/>
      <c r="E115" s="264"/>
      <c r="F115" s="262"/>
      <c r="G115" s="262"/>
      <c r="H115" s="264"/>
      <c r="I115" s="264"/>
      <c r="J115" s="264"/>
      <c r="K115" s="264"/>
      <c r="L115" s="264"/>
      <c r="M115" s="264"/>
      <c r="N115" s="264"/>
      <c r="O115" s="264"/>
      <c r="P115" s="280"/>
    </row>
    <row r="116" spans="2:16" x14ac:dyDescent="0.25">
      <c r="B116" s="385"/>
      <c r="C116" s="578" t="s">
        <v>328</v>
      </c>
      <c r="D116" s="578"/>
      <c r="E116" s="255"/>
      <c r="F116" s="266"/>
      <c r="G116" s="255"/>
      <c r="H116" s="267" t="e">
        <f>'3.  Distribution Rates'!#REF!</f>
        <v>#REF!</v>
      </c>
      <c r="I116" s="267" t="e">
        <f>'3.  Distribution Rates'!#REF!</f>
        <v>#REF!</v>
      </c>
      <c r="J116" s="267" t="e">
        <f>'3.  Distribution Rates'!#REF!</f>
        <v>#REF!</v>
      </c>
      <c r="K116" s="267" t="e">
        <f>'3.  Distribution Rates'!#REF!</f>
        <v>#REF!</v>
      </c>
      <c r="L116" s="267" t="e">
        <f>'3.  Distribution Rates'!#REF!</f>
        <v>#REF!</v>
      </c>
      <c r="M116" s="267" t="e">
        <f>'3.  Distribution Rates'!#REF!</f>
        <v>#REF!</v>
      </c>
      <c r="N116" s="267" t="e">
        <f>'3.  Distribution Rates'!#REF!</f>
        <v>#REF!</v>
      </c>
      <c r="O116" s="267"/>
      <c r="P116" s="386"/>
    </row>
    <row r="117" spans="2:16" x14ac:dyDescent="0.25">
      <c r="B117" s="385"/>
      <c r="C117" s="578" t="s">
        <v>282</v>
      </c>
      <c r="D117" s="578"/>
      <c r="E117" s="264"/>
      <c r="F117" s="266"/>
      <c r="G117" s="266"/>
      <c r="H117" s="360"/>
      <c r="I117" s="360"/>
      <c r="J117" s="360"/>
      <c r="K117" s="360"/>
      <c r="L117" s="360"/>
      <c r="M117" s="360"/>
      <c r="N117" s="360"/>
      <c r="O117" s="255"/>
      <c r="P117" s="281">
        <f>SUM(H117:O117)</f>
        <v>0</v>
      </c>
    </row>
    <row r="118" spans="2:16" x14ac:dyDescent="0.25">
      <c r="B118" s="385"/>
      <c r="C118" s="578" t="s">
        <v>283</v>
      </c>
      <c r="D118" s="578"/>
      <c r="E118" s="264"/>
      <c r="F118" s="266"/>
      <c r="G118" s="266"/>
      <c r="H118" s="360"/>
      <c r="I118" s="360"/>
      <c r="J118" s="360"/>
      <c r="K118" s="360"/>
      <c r="L118" s="360"/>
      <c r="M118" s="360"/>
      <c r="N118" s="360"/>
      <c r="O118" s="255"/>
      <c r="P118" s="281">
        <f>SUM(H118:O118)</f>
        <v>0</v>
      </c>
    </row>
    <row r="119" spans="2:16" x14ac:dyDescent="0.25">
      <c r="B119" s="385"/>
      <c r="C119" s="578" t="s">
        <v>284</v>
      </c>
      <c r="D119" s="578"/>
      <c r="E119" s="264"/>
      <c r="F119" s="266"/>
      <c r="G119" s="266"/>
      <c r="H119" s="360"/>
      <c r="I119" s="360"/>
      <c r="J119" s="360"/>
      <c r="K119" s="360"/>
      <c r="L119" s="360"/>
      <c r="M119" s="360"/>
      <c r="N119" s="360"/>
      <c r="O119" s="255"/>
      <c r="P119" s="281">
        <f t="shared" ref="P119" si="2">SUM(H119:O119)</f>
        <v>0</v>
      </c>
    </row>
    <row r="120" spans="2:16" x14ac:dyDescent="0.25">
      <c r="B120" s="385"/>
      <c r="C120" s="578" t="s">
        <v>285</v>
      </c>
      <c r="D120" s="578"/>
      <c r="E120" s="264"/>
      <c r="F120" s="266"/>
      <c r="G120" s="266"/>
      <c r="H120" s="360"/>
      <c r="I120" s="360"/>
      <c r="J120" s="360"/>
      <c r="K120" s="360"/>
      <c r="L120" s="360"/>
      <c r="M120" s="360"/>
      <c r="N120" s="360"/>
      <c r="O120" s="255"/>
      <c r="P120" s="281">
        <f>SUM(H120:O120)</f>
        <v>0</v>
      </c>
    </row>
    <row r="121" spans="2:16" x14ac:dyDescent="0.25">
      <c r="B121" s="385"/>
      <c r="C121" s="578" t="s">
        <v>286</v>
      </c>
      <c r="D121" s="578"/>
      <c r="E121" s="264"/>
      <c r="F121" s="266"/>
      <c r="G121" s="266"/>
      <c r="H121" s="382" t="e">
        <f>'5.  2015 LRAM'!H128*H116</f>
        <v>#REF!</v>
      </c>
      <c r="I121" s="382" t="e">
        <f>'5.  2015 LRAM'!I128*I116</f>
        <v>#REF!</v>
      </c>
      <c r="J121" s="382" t="e">
        <f>'5.  2015 LRAM'!J128*J116</f>
        <v>#REF!</v>
      </c>
      <c r="K121" s="382" t="e">
        <f>'5.  2015 LRAM'!K128*K116</f>
        <v>#REF!</v>
      </c>
      <c r="L121" s="382" t="e">
        <f>'5.  2015 LRAM'!L128*L116</f>
        <v>#REF!</v>
      </c>
      <c r="M121" s="382" t="e">
        <f>'5.  2015 LRAM'!M128*M116</f>
        <v>#REF!</v>
      </c>
      <c r="N121" s="382" t="e">
        <f>'5.  2015 LRAM'!N128*N116</f>
        <v>#REF!</v>
      </c>
      <c r="O121" s="255"/>
      <c r="P121" s="281" t="e">
        <f t="shared" ref="P121:P122" si="3">SUM(H121:O121)</f>
        <v>#REF!</v>
      </c>
    </row>
    <row r="122" spans="2:16" x14ac:dyDescent="0.25">
      <c r="B122" s="385"/>
      <c r="C122" s="578" t="s">
        <v>287</v>
      </c>
      <c r="D122" s="578"/>
      <c r="E122" s="264"/>
      <c r="F122" s="266"/>
      <c r="G122" s="266"/>
      <c r="H122" s="382" t="e">
        <f>'5-b. 2016 LRAM'!H126*H116</f>
        <v>#REF!</v>
      </c>
      <c r="I122" s="382" t="e">
        <f>'5-b. 2016 LRAM'!I126*I116</f>
        <v>#REF!</v>
      </c>
      <c r="J122" s="382" t="e">
        <f>'5-b. 2016 LRAM'!J126*J116</f>
        <v>#REF!</v>
      </c>
      <c r="K122" s="382" t="e">
        <f>'5-b. 2016 LRAM'!K126*K116</f>
        <v>#REF!</v>
      </c>
      <c r="L122" s="382" t="e">
        <f>'5-b. 2016 LRAM'!L126*L116</f>
        <v>#REF!</v>
      </c>
      <c r="M122" s="382" t="e">
        <f>'5-b. 2016 LRAM'!M126*M116</f>
        <v>#REF!</v>
      </c>
      <c r="N122" s="382" t="e">
        <f>'5-b. 2016 LRAM'!N126*N116</f>
        <v>#REF!</v>
      </c>
      <c r="O122" s="255"/>
      <c r="P122" s="281" t="e">
        <f t="shared" si="3"/>
        <v>#REF!</v>
      </c>
    </row>
    <row r="123" spans="2:16" x14ac:dyDescent="0.25">
      <c r="B123" s="385"/>
      <c r="C123" s="578" t="s">
        <v>288</v>
      </c>
      <c r="D123" s="578"/>
      <c r="E123" s="264"/>
      <c r="F123" s="266"/>
      <c r="G123" s="266"/>
      <c r="H123" s="382" t="e">
        <f>'5-c.  2017 LRAM'!H127*H116</f>
        <v>#REF!</v>
      </c>
      <c r="I123" s="382" t="e">
        <f>'5-c.  2017 LRAM'!I127*I116</f>
        <v>#REF!</v>
      </c>
      <c r="J123" s="382" t="e">
        <f>'5-c.  2017 LRAM'!J127*J116</f>
        <v>#REF!</v>
      </c>
      <c r="K123" s="382" t="e">
        <f>'5-c.  2017 LRAM'!K127*K116</f>
        <v>#REF!</v>
      </c>
      <c r="L123" s="382" t="e">
        <f>'5-c.  2017 LRAM'!L127*L116</f>
        <v>#REF!</v>
      </c>
      <c r="M123" s="382" t="e">
        <f>'5-c.  2017 LRAM'!M127*M116</f>
        <v>#REF!</v>
      </c>
      <c r="N123" s="382" t="e">
        <f>'5-c.  2017 LRAM'!N127*N116</f>
        <v>#REF!</v>
      </c>
      <c r="O123" s="255"/>
      <c r="P123" s="281" t="e">
        <f>SUM(H123:O123)</f>
        <v>#REF!</v>
      </c>
    </row>
    <row r="124" spans="2:16" x14ac:dyDescent="0.25">
      <c r="B124" s="385"/>
      <c r="C124" s="578" t="s">
        <v>289</v>
      </c>
      <c r="D124" s="578"/>
      <c r="E124" s="264"/>
      <c r="F124" s="266"/>
      <c r="G124" s="266"/>
      <c r="H124" s="382" t="e">
        <f>H111*H116</f>
        <v>#REF!</v>
      </c>
      <c r="I124" s="382" t="e">
        <f>I111*I116</f>
        <v>#REF!</v>
      </c>
      <c r="J124" s="382" t="e">
        <f>J112*J116</f>
        <v>#REF!</v>
      </c>
      <c r="K124" s="382" t="e">
        <f>K112*K116</f>
        <v>#REF!</v>
      </c>
      <c r="L124" s="382" t="e">
        <f>L112*L116</f>
        <v>#REF!</v>
      </c>
      <c r="M124" s="382" t="e">
        <f>M112*M116</f>
        <v>#REF!</v>
      </c>
      <c r="N124" s="382" t="e">
        <f>N111*N116</f>
        <v>#REF!</v>
      </c>
      <c r="O124" s="255"/>
      <c r="P124" s="281" t="e">
        <f>SUM(H124:O124)</f>
        <v>#REF!</v>
      </c>
    </row>
    <row r="125" spans="2:16" x14ac:dyDescent="0.25">
      <c r="B125" s="279"/>
      <c r="C125" s="383" t="s">
        <v>290</v>
      </c>
      <c r="D125" s="264"/>
      <c r="E125" s="264"/>
      <c r="F125" s="262"/>
      <c r="G125" s="262"/>
      <c r="H125" s="268" t="e">
        <f t="shared" ref="H125:N125" si="4">SUM(H117:H124)</f>
        <v>#REF!</v>
      </c>
      <c r="I125" s="268" t="e">
        <f t="shared" si="4"/>
        <v>#REF!</v>
      </c>
      <c r="J125" s="268" t="e">
        <f>SUM(J117:J124)</f>
        <v>#REF!</v>
      </c>
      <c r="K125" s="268" t="e">
        <f t="shared" si="4"/>
        <v>#REF!</v>
      </c>
      <c r="L125" s="268" t="e">
        <f t="shared" si="4"/>
        <v>#REF!</v>
      </c>
      <c r="M125" s="268" t="e">
        <f t="shared" si="4"/>
        <v>#REF!</v>
      </c>
      <c r="N125" s="268" t="e">
        <f t="shared" si="4"/>
        <v>#REF!</v>
      </c>
      <c r="O125" s="264"/>
      <c r="P125" s="282" t="e">
        <f>SUM(P117:P124)</f>
        <v>#REF!</v>
      </c>
    </row>
    <row r="126" spans="2:16" x14ac:dyDescent="0.25">
      <c r="B126" s="279"/>
      <c r="C126" s="383"/>
      <c r="D126" s="264"/>
      <c r="E126" s="264"/>
      <c r="F126" s="262"/>
      <c r="G126" s="262"/>
      <c r="H126" s="268"/>
      <c r="I126" s="268"/>
      <c r="J126" s="268"/>
      <c r="K126" s="268"/>
      <c r="L126" s="268"/>
      <c r="M126" s="268"/>
      <c r="N126" s="268"/>
      <c r="O126" s="264"/>
      <c r="P126" s="282"/>
    </row>
    <row r="127" spans="2:16" x14ac:dyDescent="0.25">
      <c r="B127" s="427"/>
      <c r="C127" s="578" t="s">
        <v>291</v>
      </c>
      <c r="D127" s="578"/>
      <c r="E127" s="419"/>
      <c r="F127" s="160"/>
      <c r="G127" s="160"/>
      <c r="H127" s="300">
        <f>$H$111*'6.  Persistence Rates'!$H$47</f>
        <v>0</v>
      </c>
      <c r="I127" s="300">
        <f>$H$111*'6.  Persistence Rates'!$H$47</f>
        <v>0</v>
      </c>
      <c r="J127" s="300">
        <f>J112*'6.  Persistence Rates'!$U$47</f>
        <v>0</v>
      </c>
      <c r="K127" s="300">
        <f>K112*'6.  Persistence Rates'!$U$47</f>
        <v>0</v>
      </c>
      <c r="L127" s="300">
        <f>L112*'6.  Persistence Rates'!$R$44</f>
        <v>0</v>
      </c>
      <c r="M127" s="300">
        <f>M112*'6.  Persistence Rates'!$R$44</f>
        <v>0</v>
      </c>
      <c r="N127" s="300">
        <f>N111*'6.  Persistence Rates'!$E$44</f>
        <v>0</v>
      </c>
      <c r="O127" s="160"/>
      <c r="P127" s="354"/>
    </row>
    <row r="128" spans="2:16" x14ac:dyDescent="0.25">
      <c r="B128" s="428"/>
      <c r="C128" s="579" t="s">
        <v>292</v>
      </c>
      <c r="D128" s="579"/>
      <c r="E128" s="429"/>
      <c r="F128" s="334"/>
      <c r="G128" s="334"/>
      <c r="H128" s="300">
        <f>H111*'6.  Persistence Rates'!$I$47</f>
        <v>0</v>
      </c>
      <c r="I128" s="300">
        <f>I111*'6.  Persistence Rates'!$I$47</f>
        <v>0</v>
      </c>
      <c r="J128" s="300">
        <f>$J$113*'6.  Persistence Rates'!$V$47</f>
        <v>0</v>
      </c>
      <c r="K128" s="300">
        <f>$K$113*'6.  Persistence Rates'!$V$47</f>
        <v>0</v>
      </c>
      <c r="L128" s="300"/>
      <c r="M128" s="300"/>
      <c r="N128" s="300">
        <f>N111*'6.  Persistence Rates'!$I$47</f>
        <v>0</v>
      </c>
      <c r="O128" s="334"/>
      <c r="P128" s="404"/>
    </row>
  </sheetData>
  <mergeCells count="35">
    <mergeCell ref="E4:P4"/>
    <mergeCell ref="E9:F9"/>
    <mergeCell ref="E10:F10"/>
    <mergeCell ref="C13:C14"/>
    <mergeCell ref="B13:B14"/>
    <mergeCell ref="E13:E14"/>
    <mergeCell ref="C113:D113"/>
    <mergeCell ref="B15:P15"/>
    <mergeCell ref="B16:P16"/>
    <mergeCell ref="B62:P62"/>
    <mergeCell ref="B27:P27"/>
    <mergeCell ref="B84:P84"/>
    <mergeCell ref="B51:P51"/>
    <mergeCell ref="C111:D111"/>
    <mergeCell ref="B92:P92"/>
    <mergeCell ref="B71:P71"/>
    <mergeCell ref="B37:P37"/>
    <mergeCell ref="B45:P45"/>
    <mergeCell ref="B60:P60"/>
    <mergeCell ref="B2:P2"/>
    <mergeCell ref="C128:D128"/>
    <mergeCell ref="C124:D124"/>
    <mergeCell ref="D13:D14"/>
    <mergeCell ref="C122:D122"/>
    <mergeCell ref="C123:D123"/>
    <mergeCell ref="C127:D127"/>
    <mergeCell ref="C121:D121"/>
    <mergeCell ref="C116:D116"/>
    <mergeCell ref="C117:D117"/>
    <mergeCell ref="C118:D118"/>
    <mergeCell ref="C119:D119"/>
    <mergeCell ref="C120:D120"/>
    <mergeCell ref="C112:D112"/>
    <mergeCell ref="H13:P13"/>
    <mergeCell ref="C114:D114"/>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90" zoomScaleNormal="90" workbookViewId="0">
      <pane ySplit="14" topLeftCell="A15" activePane="bottomLeft" state="frozen"/>
      <selection pane="bottomLeft" activeCell="B13" sqref="B13:B14"/>
    </sheetView>
  </sheetViews>
  <sheetFormatPr defaultRowHeight="15" outlineLevelRow="1" x14ac:dyDescent="0.25"/>
  <cols>
    <col min="1" max="1" width="6.5703125" style="68" customWidth="1"/>
    <col min="2" max="2" width="5.140625" style="68" customWidth="1"/>
    <col min="3" max="3" width="44.28515625" style="444" customWidth="1"/>
    <col min="4" max="4" width="12.28515625" style="445" customWidth="1"/>
    <col min="5" max="5" width="13.28515625" style="445" customWidth="1"/>
    <col min="6" max="7" width="19.42578125" style="68" customWidth="1"/>
    <col min="8" max="14" width="12.7109375" style="68" customWidth="1"/>
    <col min="15" max="15" width="8.140625" style="68" customWidth="1"/>
    <col min="16" max="16" width="11.28515625" style="68" customWidth="1"/>
    <col min="17" max="17" width="13.140625" style="68" customWidth="1"/>
    <col min="18" max="16384" width="9.140625" style="68"/>
  </cols>
  <sheetData>
    <row r="2" spans="1:18" ht="18.75" customHeight="1" x14ac:dyDescent="0.3">
      <c r="B2" s="628" t="s">
        <v>294</v>
      </c>
      <c r="C2" s="628"/>
      <c r="D2" s="628"/>
      <c r="E2" s="628"/>
      <c r="F2" s="628"/>
      <c r="G2" s="628"/>
      <c r="H2" s="628"/>
      <c r="I2" s="628"/>
      <c r="J2" s="628"/>
      <c r="K2" s="628"/>
      <c r="L2" s="628"/>
      <c r="M2" s="628"/>
      <c r="N2" s="628"/>
      <c r="O2" s="628"/>
      <c r="P2" s="628"/>
    </row>
    <row r="3" spans="1:18" ht="18.75" outlineLevel="1" x14ac:dyDescent="0.3">
      <c r="B3" s="447"/>
      <c r="C3" s="447"/>
      <c r="D3" s="447"/>
      <c r="E3" s="447"/>
      <c r="F3" s="447"/>
      <c r="G3" s="447"/>
      <c r="H3" s="447"/>
      <c r="I3" s="447"/>
      <c r="J3" s="447"/>
      <c r="K3" s="447"/>
      <c r="L3" s="447"/>
      <c r="M3" s="447"/>
      <c r="N3" s="447"/>
      <c r="O3" s="447"/>
      <c r="P3" s="447"/>
    </row>
    <row r="4" spans="1:18" ht="35.25" customHeight="1" outlineLevel="1" x14ac:dyDescent="0.3">
      <c r="A4" s="340"/>
      <c r="B4" s="447"/>
      <c r="C4" s="373" t="s">
        <v>401</v>
      </c>
      <c r="D4" s="448"/>
      <c r="E4" s="629" t="s">
        <v>364</v>
      </c>
      <c r="F4" s="629"/>
      <c r="G4" s="629"/>
      <c r="H4" s="629"/>
      <c r="I4" s="629"/>
      <c r="J4" s="629"/>
      <c r="K4" s="629"/>
      <c r="L4" s="629"/>
      <c r="M4" s="629"/>
      <c r="N4" s="629"/>
      <c r="O4" s="629"/>
      <c r="P4" s="629"/>
    </row>
    <row r="5" spans="1:18" ht="18.75" customHeight="1" outlineLevel="1" x14ac:dyDescent="0.3">
      <c r="B5" s="447"/>
      <c r="C5" s="449"/>
      <c r="D5" s="448"/>
      <c r="E5" s="376" t="s">
        <v>358</v>
      </c>
      <c r="F5" s="448"/>
      <c r="G5" s="448"/>
      <c r="H5" s="448"/>
      <c r="I5" s="448"/>
      <c r="J5" s="448"/>
      <c r="K5" s="448"/>
      <c r="L5" s="448"/>
      <c r="M5" s="448"/>
      <c r="N5" s="448"/>
      <c r="O5" s="448"/>
      <c r="P5" s="448"/>
    </row>
    <row r="6" spans="1:18" ht="18.75" customHeight="1" outlineLevel="1" x14ac:dyDescent="0.3">
      <c r="B6" s="447"/>
      <c r="C6" s="449"/>
      <c r="D6" s="448"/>
      <c r="E6" s="376" t="s">
        <v>359</v>
      </c>
      <c r="F6" s="448"/>
      <c r="G6" s="448"/>
      <c r="H6" s="448"/>
      <c r="I6" s="448"/>
      <c r="J6" s="448"/>
      <c r="K6" s="448"/>
      <c r="L6" s="448"/>
      <c r="M6" s="448"/>
      <c r="N6" s="448"/>
      <c r="O6" s="448"/>
      <c r="P6" s="448"/>
    </row>
    <row r="7" spans="1:18" ht="18.75" customHeight="1" outlineLevel="1" x14ac:dyDescent="0.3">
      <c r="B7" s="447"/>
      <c r="C7" s="449"/>
      <c r="D7" s="448"/>
      <c r="E7" s="376" t="s">
        <v>418</v>
      </c>
      <c r="F7" s="448"/>
      <c r="G7" s="448"/>
      <c r="H7" s="448"/>
      <c r="I7" s="448"/>
      <c r="J7" s="448"/>
      <c r="K7" s="448"/>
      <c r="L7" s="448"/>
      <c r="M7" s="448"/>
      <c r="N7" s="448"/>
      <c r="O7" s="448"/>
      <c r="P7" s="448"/>
    </row>
    <row r="8" spans="1:18" ht="18.75" customHeight="1" outlineLevel="1" x14ac:dyDescent="0.3">
      <c r="B8" s="447"/>
      <c r="C8" s="453"/>
      <c r="D8" s="447"/>
      <c r="E8" s="171"/>
      <c r="F8" s="447"/>
      <c r="G8" s="447"/>
      <c r="H8" s="447"/>
      <c r="I8" s="447"/>
      <c r="J8" s="447"/>
      <c r="K8" s="447"/>
      <c r="L8" s="447"/>
      <c r="M8" s="447"/>
      <c r="N8" s="447"/>
      <c r="O8" s="447"/>
      <c r="P8" s="447"/>
    </row>
    <row r="9" spans="1:18" ht="18.75" customHeight="1" outlineLevel="1" x14ac:dyDescent="0.3">
      <c r="B9" s="447"/>
      <c r="C9" s="237" t="s">
        <v>338</v>
      </c>
      <c r="D9" s="447"/>
      <c r="E9" s="619" t="s">
        <v>365</v>
      </c>
      <c r="F9" s="619"/>
      <c r="G9" s="447"/>
      <c r="H9" s="447"/>
      <c r="I9" s="447"/>
      <c r="J9" s="447"/>
      <c r="K9" s="447"/>
      <c r="L9" s="447"/>
      <c r="M9" s="447"/>
      <c r="N9" s="447"/>
      <c r="O9" s="447"/>
      <c r="P9" s="447"/>
      <c r="R9" s="82"/>
    </row>
    <row r="10" spans="1:18" ht="18.75" customHeight="1" outlineLevel="1" x14ac:dyDescent="0.3">
      <c r="B10" s="447"/>
      <c r="C10" s="447"/>
      <c r="D10" s="447"/>
      <c r="E10" s="630" t="s">
        <v>339</v>
      </c>
      <c r="F10" s="630"/>
      <c r="G10" s="447"/>
      <c r="H10" s="447"/>
      <c r="I10" s="447"/>
      <c r="J10" s="447"/>
      <c r="K10" s="447"/>
      <c r="L10" s="447"/>
      <c r="M10" s="447"/>
      <c r="N10" s="447"/>
      <c r="O10" s="447"/>
      <c r="P10" s="447"/>
    </row>
    <row r="11" spans="1:18" x14ac:dyDescent="0.25">
      <c r="A11" s="454"/>
      <c r="C11" s="451"/>
      <c r="D11" s="452"/>
      <c r="E11" s="452"/>
    </row>
    <row r="12" spans="1:18" x14ac:dyDescent="0.25">
      <c r="A12" s="454"/>
      <c r="B12" s="450" t="s">
        <v>479</v>
      </c>
      <c r="C12" s="451"/>
      <c r="D12" s="452"/>
      <c r="E12" s="452"/>
    </row>
    <row r="13" spans="1:18" ht="45" x14ac:dyDescent="0.25">
      <c r="A13" s="454"/>
      <c r="B13" s="620" t="s">
        <v>59</v>
      </c>
      <c r="C13" s="622" t="s">
        <v>0</v>
      </c>
      <c r="D13" s="622" t="s">
        <v>45</v>
      </c>
      <c r="E13" s="622" t="s">
        <v>206</v>
      </c>
      <c r="F13" s="240" t="s">
        <v>203</v>
      </c>
      <c r="G13" s="240" t="s">
        <v>46</v>
      </c>
      <c r="H13" s="624" t="s">
        <v>60</v>
      </c>
      <c r="I13" s="624"/>
      <c r="J13" s="624"/>
      <c r="K13" s="624"/>
      <c r="L13" s="624"/>
      <c r="M13" s="624"/>
      <c r="N13" s="624"/>
      <c r="O13" s="624"/>
      <c r="P13" s="625"/>
    </row>
    <row r="14" spans="1:18" ht="60" x14ac:dyDescent="0.25">
      <c r="A14" s="454"/>
      <c r="B14" s="621"/>
      <c r="C14" s="623"/>
      <c r="D14" s="623"/>
      <c r="E14" s="623"/>
      <c r="F14" s="442" t="s">
        <v>214</v>
      </c>
      <c r="G14" s="442" t="s">
        <v>215</v>
      </c>
      <c r="H14" s="443" t="s">
        <v>38</v>
      </c>
      <c r="I14" s="443" t="s">
        <v>40</v>
      </c>
      <c r="J14" s="443" t="s">
        <v>109</v>
      </c>
      <c r="K14" s="443" t="s">
        <v>110</v>
      </c>
      <c r="L14" s="443" t="s">
        <v>41</v>
      </c>
      <c r="M14" s="443" t="s">
        <v>42</v>
      </c>
      <c r="N14" s="443" t="s">
        <v>43</v>
      </c>
      <c r="O14" s="443" t="s">
        <v>106</v>
      </c>
      <c r="P14" s="446" t="s">
        <v>35</v>
      </c>
    </row>
    <row r="15" spans="1:18" ht="29.25" customHeight="1" x14ac:dyDescent="0.25">
      <c r="B15" s="608" t="s">
        <v>142</v>
      </c>
      <c r="C15" s="609"/>
      <c r="D15" s="609"/>
      <c r="E15" s="609"/>
      <c r="F15" s="609"/>
      <c r="G15" s="609"/>
      <c r="H15" s="609"/>
      <c r="I15" s="609"/>
      <c r="J15" s="609"/>
      <c r="K15" s="609"/>
      <c r="L15" s="609"/>
      <c r="M15" s="609"/>
      <c r="N15" s="609"/>
      <c r="O15" s="609"/>
      <c r="P15" s="610"/>
    </row>
    <row r="16" spans="1:18" ht="26.25" customHeight="1" x14ac:dyDescent="0.25">
      <c r="A16" s="455"/>
      <c r="B16" s="600" t="s">
        <v>143</v>
      </c>
      <c r="C16" s="601"/>
      <c r="D16" s="601"/>
      <c r="E16" s="601"/>
      <c r="F16" s="601"/>
      <c r="G16" s="601"/>
      <c r="H16" s="601"/>
      <c r="I16" s="601"/>
      <c r="J16" s="601"/>
      <c r="K16" s="601"/>
      <c r="L16" s="601"/>
      <c r="M16" s="601"/>
      <c r="N16" s="601"/>
      <c r="O16" s="601"/>
      <c r="P16" s="602"/>
    </row>
    <row r="17" spans="1:16" x14ac:dyDescent="0.25">
      <c r="A17" s="455"/>
      <c r="B17" s="433">
        <v>1</v>
      </c>
      <c r="C17" s="418" t="s">
        <v>144</v>
      </c>
      <c r="D17" s="255" t="s">
        <v>34</v>
      </c>
      <c r="E17" s="419"/>
      <c r="F17" s="300"/>
      <c r="G17" s="300"/>
      <c r="H17" s="430">
        <v>1</v>
      </c>
      <c r="I17" s="420"/>
      <c r="J17" s="420"/>
      <c r="K17" s="420"/>
      <c r="L17" s="420"/>
      <c r="M17" s="420"/>
      <c r="N17" s="420"/>
      <c r="O17" s="420"/>
      <c r="P17" s="434">
        <f>SUM(H17:O17)</f>
        <v>1</v>
      </c>
    </row>
    <row r="18" spans="1:16" x14ac:dyDescent="0.25">
      <c r="A18" s="40"/>
      <c r="B18" s="433">
        <v>2</v>
      </c>
      <c r="C18" s="418" t="s">
        <v>145</v>
      </c>
      <c r="D18" s="255" t="s">
        <v>34</v>
      </c>
      <c r="E18" s="421"/>
      <c r="F18" s="300"/>
      <c r="G18" s="300"/>
      <c r="H18" s="430">
        <v>1</v>
      </c>
      <c r="I18" s="420"/>
      <c r="J18" s="420"/>
      <c r="K18" s="420"/>
      <c r="L18" s="420"/>
      <c r="M18" s="420"/>
      <c r="N18" s="420"/>
      <c r="O18" s="420"/>
      <c r="P18" s="434">
        <f t="shared" ref="P18:P79" si="0">SUM(H18:O18)</f>
        <v>1</v>
      </c>
    </row>
    <row r="19" spans="1:16" x14ac:dyDescent="0.25">
      <c r="A19" s="455"/>
      <c r="B19" s="433">
        <v>3</v>
      </c>
      <c r="C19" s="418" t="s">
        <v>146</v>
      </c>
      <c r="D19" s="255" t="s">
        <v>34</v>
      </c>
      <c r="E19" s="421"/>
      <c r="F19" s="300"/>
      <c r="G19" s="300"/>
      <c r="H19" s="430">
        <v>1</v>
      </c>
      <c r="I19" s="420"/>
      <c r="J19" s="420"/>
      <c r="K19" s="420"/>
      <c r="L19" s="420"/>
      <c r="M19" s="420"/>
      <c r="N19" s="420"/>
      <c r="O19" s="420"/>
      <c r="P19" s="434">
        <f t="shared" si="0"/>
        <v>1</v>
      </c>
    </row>
    <row r="20" spans="1:16" x14ac:dyDescent="0.25">
      <c r="A20" s="455"/>
      <c r="B20" s="433">
        <v>4</v>
      </c>
      <c r="C20" s="418" t="s">
        <v>147</v>
      </c>
      <c r="D20" s="255" t="s">
        <v>34</v>
      </c>
      <c r="E20" s="421"/>
      <c r="F20" s="300"/>
      <c r="G20" s="300"/>
      <c r="H20" s="430">
        <v>1</v>
      </c>
      <c r="I20" s="420"/>
      <c r="J20" s="420"/>
      <c r="K20" s="420"/>
      <c r="L20" s="420"/>
      <c r="M20" s="420"/>
      <c r="N20" s="420"/>
      <c r="O20" s="420"/>
      <c r="P20" s="434">
        <f t="shared" si="0"/>
        <v>1</v>
      </c>
    </row>
    <row r="21" spans="1:16" x14ac:dyDescent="0.25">
      <c r="A21" s="455"/>
      <c r="B21" s="433">
        <v>5</v>
      </c>
      <c r="C21" s="418" t="s">
        <v>148</v>
      </c>
      <c r="D21" s="255" t="s">
        <v>34</v>
      </c>
      <c r="E21" s="421"/>
      <c r="F21" s="300"/>
      <c r="G21" s="300"/>
      <c r="H21" s="430">
        <v>1</v>
      </c>
      <c r="I21" s="420"/>
      <c r="J21" s="420"/>
      <c r="K21" s="420"/>
      <c r="L21" s="420"/>
      <c r="M21" s="420"/>
      <c r="N21" s="420"/>
      <c r="O21" s="420"/>
      <c r="P21" s="434">
        <f t="shared" si="0"/>
        <v>1</v>
      </c>
    </row>
    <row r="22" spans="1:16" ht="28.5" x14ac:dyDescent="0.25">
      <c r="A22" s="455"/>
      <c r="B22" s="433">
        <v>6</v>
      </c>
      <c r="C22" s="418" t="s">
        <v>149</v>
      </c>
      <c r="D22" s="255" t="s">
        <v>34</v>
      </c>
      <c r="E22" s="421"/>
      <c r="F22" s="300"/>
      <c r="G22" s="300"/>
      <c r="H22" s="430">
        <v>1</v>
      </c>
      <c r="I22" s="420"/>
      <c r="J22" s="420"/>
      <c r="K22" s="420"/>
      <c r="L22" s="420"/>
      <c r="M22" s="420"/>
      <c r="N22" s="420"/>
      <c r="O22" s="420"/>
      <c r="P22" s="434">
        <f t="shared" si="0"/>
        <v>1</v>
      </c>
    </row>
    <row r="23" spans="1:16" x14ac:dyDescent="0.25">
      <c r="A23" s="455"/>
      <c r="B23" s="435" t="s">
        <v>295</v>
      </c>
      <c r="C23" s="418"/>
      <c r="D23" s="255" t="s">
        <v>254</v>
      </c>
      <c r="E23" s="421"/>
      <c r="F23" s="300"/>
      <c r="G23" s="300"/>
      <c r="H23" s="430"/>
      <c r="I23" s="420"/>
      <c r="J23" s="420"/>
      <c r="K23" s="420"/>
      <c r="L23" s="420"/>
      <c r="M23" s="420"/>
      <c r="N23" s="420"/>
      <c r="O23" s="420"/>
      <c r="P23" s="434">
        <f t="shared" si="0"/>
        <v>0</v>
      </c>
    </row>
    <row r="24" spans="1:16" x14ac:dyDescent="0.25">
      <c r="A24" s="455"/>
      <c r="B24" s="433"/>
      <c r="C24" s="418"/>
      <c r="D24" s="255"/>
      <c r="E24" s="421"/>
      <c r="F24" s="300"/>
      <c r="G24" s="300"/>
      <c r="H24" s="430"/>
      <c r="I24" s="420"/>
      <c r="J24" s="420"/>
      <c r="K24" s="420"/>
      <c r="L24" s="420"/>
      <c r="M24" s="420"/>
      <c r="N24" s="420"/>
      <c r="O24" s="420"/>
      <c r="P24" s="434">
        <f t="shared" si="0"/>
        <v>0</v>
      </c>
    </row>
    <row r="25" spans="1:16" x14ac:dyDescent="0.25">
      <c r="A25" s="455"/>
      <c r="B25" s="433"/>
      <c r="C25" s="418"/>
      <c r="D25" s="255"/>
      <c r="E25" s="421"/>
      <c r="F25" s="300"/>
      <c r="G25" s="300"/>
      <c r="H25" s="430"/>
      <c r="I25" s="420"/>
      <c r="J25" s="420"/>
      <c r="K25" s="420"/>
      <c r="L25" s="420"/>
      <c r="M25" s="420"/>
      <c r="N25" s="420"/>
      <c r="O25" s="420"/>
      <c r="P25" s="434">
        <f t="shared" si="0"/>
        <v>0</v>
      </c>
    </row>
    <row r="26" spans="1:16" x14ac:dyDescent="0.25">
      <c r="A26" s="455"/>
      <c r="B26" s="433"/>
      <c r="C26" s="418"/>
      <c r="D26" s="255"/>
      <c r="E26" s="421"/>
      <c r="F26" s="300"/>
      <c r="G26" s="300"/>
      <c r="H26" s="430"/>
      <c r="I26" s="420"/>
      <c r="J26" s="420"/>
      <c r="K26" s="420"/>
      <c r="L26" s="420"/>
      <c r="M26" s="420"/>
      <c r="N26" s="420"/>
      <c r="O26" s="420"/>
      <c r="P26" s="434">
        <f t="shared" si="0"/>
        <v>0</v>
      </c>
    </row>
    <row r="27" spans="1:16" ht="25.5" customHeight="1" x14ac:dyDescent="0.25">
      <c r="A27" s="455"/>
      <c r="B27" s="600" t="s">
        <v>150</v>
      </c>
      <c r="C27" s="601"/>
      <c r="D27" s="601"/>
      <c r="E27" s="601"/>
      <c r="F27" s="601"/>
      <c r="G27" s="601"/>
      <c r="H27" s="601"/>
      <c r="I27" s="601"/>
      <c r="J27" s="601"/>
      <c r="K27" s="601"/>
      <c r="L27" s="601"/>
      <c r="M27" s="601"/>
      <c r="N27" s="601"/>
      <c r="O27" s="601"/>
      <c r="P27" s="602"/>
    </row>
    <row r="28" spans="1:16" x14ac:dyDescent="0.25">
      <c r="A28" s="455"/>
      <c r="B28" s="433">
        <v>7</v>
      </c>
      <c r="C28" s="418" t="s">
        <v>151</v>
      </c>
      <c r="D28" s="255" t="s">
        <v>34</v>
      </c>
      <c r="E28" s="421">
        <v>12</v>
      </c>
      <c r="F28" s="300"/>
      <c r="G28" s="300"/>
      <c r="H28" s="420"/>
      <c r="I28" s="430">
        <v>0.2</v>
      </c>
      <c r="J28" s="430">
        <v>0.5</v>
      </c>
      <c r="K28" s="430">
        <v>0.3</v>
      </c>
      <c r="L28" s="420"/>
      <c r="M28" s="420"/>
      <c r="N28" s="420"/>
      <c r="O28" s="420"/>
      <c r="P28" s="434">
        <f t="shared" si="0"/>
        <v>1</v>
      </c>
    </row>
    <row r="29" spans="1:16" ht="28.5" x14ac:dyDescent="0.25">
      <c r="A29" s="455"/>
      <c r="B29" s="433">
        <v>8</v>
      </c>
      <c r="C29" s="418" t="s">
        <v>152</v>
      </c>
      <c r="D29" s="255" t="s">
        <v>34</v>
      </c>
      <c r="E29" s="421">
        <v>12</v>
      </c>
      <c r="F29" s="300"/>
      <c r="G29" s="300"/>
      <c r="H29" s="420"/>
      <c r="I29" s="430">
        <v>0.8</v>
      </c>
      <c r="J29" s="430">
        <v>0.2</v>
      </c>
      <c r="K29" s="420"/>
      <c r="L29" s="420"/>
      <c r="M29" s="420"/>
      <c r="N29" s="420"/>
      <c r="O29" s="420"/>
      <c r="P29" s="434">
        <f t="shared" si="0"/>
        <v>1</v>
      </c>
    </row>
    <row r="30" spans="1:16" ht="28.5" x14ac:dyDescent="0.25">
      <c r="A30" s="455"/>
      <c r="B30" s="433">
        <v>9</v>
      </c>
      <c r="C30" s="418" t="s">
        <v>153</v>
      </c>
      <c r="D30" s="255" t="s">
        <v>34</v>
      </c>
      <c r="E30" s="421">
        <v>12</v>
      </c>
      <c r="F30" s="300"/>
      <c r="G30" s="300"/>
      <c r="H30" s="420"/>
      <c r="I30" s="430">
        <v>0.5</v>
      </c>
      <c r="J30" s="430">
        <v>0.5</v>
      </c>
      <c r="K30" s="420"/>
      <c r="L30" s="420"/>
      <c r="M30" s="420"/>
      <c r="N30" s="420"/>
      <c r="O30" s="420"/>
      <c r="P30" s="434">
        <f t="shared" si="0"/>
        <v>1</v>
      </c>
    </row>
    <row r="31" spans="1:16" ht="28.5" x14ac:dyDescent="0.25">
      <c r="A31" s="455"/>
      <c r="B31" s="433">
        <v>10</v>
      </c>
      <c r="C31" s="418" t="s">
        <v>154</v>
      </c>
      <c r="D31" s="255" t="s">
        <v>34</v>
      </c>
      <c r="E31" s="421">
        <v>12</v>
      </c>
      <c r="F31" s="300"/>
      <c r="G31" s="300"/>
      <c r="H31" s="420"/>
      <c r="I31" s="430">
        <v>1</v>
      </c>
      <c r="J31" s="420"/>
      <c r="K31" s="420"/>
      <c r="L31" s="420"/>
      <c r="M31" s="420"/>
      <c r="N31" s="420"/>
      <c r="O31" s="420"/>
      <c r="P31" s="434">
        <f t="shared" si="0"/>
        <v>1</v>
      </c>
    </row>
    <row r="32" spans="1:16" ht="28.5" x14ac:dyDescent="0.25">
      <c r="A32" s="455"/>
      <c r="B32" s="433">
        <v>11</v>
      </c>
      <c r="C32" s="418" t="s">
        <v>155</v>
      </c>
      <c r="D32" s="255" t="s">
        <v>34</v>
      </c>
      <c r="E32" s="421">
        <v>3</v>
      </c>
      <c r="F32" s="300"/>
      <c r="G32" s="300"/>
      <c r="H32" s="420"/>
      <c r="I32" s="420"/>
      <c r="J32" s="430">
        <v>1</v>
      </c>
      <c r="K32" s="420"/>
      <c r="L32" s="420"/>
      <c r="M32" s="420"/>
      <c r="N32" s="420"/>
      <c r="O32" s="420"/>
      <c r="P32" s="434">
        <f t="shared" si="0"/>
        <v>1</v>
      </c>
    </row>
    <row r="33" spans="1:16" x14ac:dyDescent="0.25">
      <c r="A33" s="455"/>
      <c r="B33" s="435" t="s">
        <v>295</v>
      </c>
      <c r="C33" s="418"/>
      <c r="D33" s="255" t="s">
        <v>254</v>
      </c>
      <c r="E33" s="421"/>
      <c r="F33" s="300"/>
      <c r="G33" s="300"/>
      <c r="H33" s="420"/>
      <c r="I33" s="420"/>
      <c r="J33" s="420"/>
      <c r="K33" s="420"/>
      <c r="L33" s="420"/>
      <c r="M33" s="420"/>
      <c r="N33" s="420"/>
      <c r="O33" s="420"/>
      <c r="P33" s="434">
        <f t="shared" si="0"/>
        <v>0</v>
      </c>
    </row>
    <row r="34" spans="1:16" x14ac:dyDescent="0.25">
      <c r="A34" s="455"/>
      <c r="B34" s="433"/>
      <c r="C34" s="418"/>
      <c r="D34" s="255"/>
      <c r="E34" s="421"/>
      <c r="F34" s="300"/>
      <c r="G34" s="300"/>
      <c r="H34" s="420"/>
      <c r="I34" s="420"/>
      <c r="J34" s="420"/>
      <c r="K34" s="420"/>
      <c r="L34" s="420"/>
      <c r="M34" s="420"/>
      <c r="N34" s="420"/>
      <c r="O34" s="420"/>
      <c r="P34" s="434">
        <f t="shared" si="0"/>
        <v>0</v>
      </c>
    </row>
    <row r="35" spans="1:16" x14ac:dyDescent="0.25">
      <c r="A35" s="455"/>
      <c r="B35" s="433"/>
      <c r="C35" s="418"/>
      <c r="D35" s="255"/>
      <c r="E35" s="421"/>
      <c r="F35" s="300"/>
      <c r="G35" s="300"/>
      <c r="H35" s="420"/>
      <c r="I35" s="420"/>
      <c r="J35" s="420"/>
      <c r="K35" s="420"/>
      <c r="L35" s="420"/>
      <c r="M35" s="420"/>
      <c r="N35" s="420"/>
      <c r="O35" s="420"/>
      <c r="P35" s="434">
        <f t="shared" si="0"/>
        <v>0</v>
      </c>
    </row>
    <row r="36" spans="1:16" x14ac:dyDescent="0.25">
      <c r="A36" s="455"/>
      <c r="B36" s="433"/>
      <c r="C36" s="418"/>
      <c r="D36" s="255"/>
      <c r="E36" s="421"/>
      <c r="F36" s="300"/>
      <c r="G36" s="300"/>
      <c r="H36" s="420"/>
      <c r="I36" s="420"/>
      <c r="J36" s="420"/>
      <c r="K36" s="420"/>
      <c r="L36" s="420"/>
      <c r="M36" s="420"/>
      <c r="N36" s="420"/>
      <c r="O36" s="420"/>
      <c r="P36" s="434">
        <f t="shared" si="0"/>
        <v>0</v>
      </c>
    </row>
    <row r="37" spans="1:16" ht="26.25" customHeight="1" x14ac:dyDescent="0.25">
      <c r="A37" s="455"/>
      <c r="B37" s="600" t="s">
        <v>11</v>
      </c>
      <c r="C37" s="601"/>
      <c r="D37" s="601"/>
      <c r="E37" s="601"/>
      <c r="F37" s="601"/>
      <c r="G37" s="601"/>
      <c r="H37" s="601"/>
      <c r="I37" s="601"/>
      <c r="J37" s="601"/>
      <c r="K37" s="601"/>
      <c r="L37" s="601"/>
      <c r="M37" s="601"/>
      <c r="N37" s="601"/>
      <c r="O37" s="601"/>
      <c r="P37" s="602"/>
    </row>
    <row r="38" spans="1:16" ht="28.5" x14ac:dyDescent="0.25">
      <c r="A38" s="455"/>
      <c r="B38" s="433">
        <v>12</v>
      </c>
      <c r="C38" s="418" t="s">
        <v>156</v>
      </c>
      <c r="D38" s="255" t="s">
        <v>34</v>
      </c>
      <c r="E38" s="421">
        <v>12</v>
      </c>
      <c r="F38" s="300"/>
      <c r="G38" s="300"/>
      <c r="H38" s="420"/>
      <c r="I38" s="420"/>
      <c r="J38" s="430">
        <v>1</v>
      </c>
      <c r="K38" s="420"/>
      <c r="L38" s="420"/>
      <c r="M38" s="420"/>
      <c r="N38" s="420"/>
      <c r="O38" s="420"/>
      <c r="P38" s="434">
        <f t="shared" si="0"/>
        <v>1</v>
      </c>
    </row>
    <row r="39" spans="1:16" ht="28.5" x14ac:dyDescent="0.25">
      <c r="A39" s="455"/>
      <c r="B39" s="433">
        <v>13</v>
      </c>
      <c r="C39" s="418" t="s">
        <v>157</v>
      </c>
      <c r="D39" s="255" t="s">
        <v>34</v>
      </c>
      <c r="E39" s="421">
        <v>12</v>
      </c>
      <c r="F39" s="300"/>
      <c r="G39" s="300"/>
      <c r="H39" s="420"/>
      <c r="I39" s="420"/>
      <c r="J39" s="430">
        <v>1</v>
      </c>
      <c r="K39" s="420"/>
      <c r="L39" s="420"/>
      <c r="M39" s="420"/>
      <c r="N39" s="420"/>
      <c r="O39" s="420"/>
      <c r="P39" s="434">
        <f t="shared" si="0"/>
        <v>1</v>
      </c>
    </row>
    <row r="40" spans="1:16" ht="28.5" x14ac:dyDescent="0.25">
      <c r="A40" s="455"/>
      <c r="B40" s="433">
        <v>14</v>
      </c>
      <c r="C40" s="418" t="s">
        <v>158</v>
      </c>
      <c r="D40" s="255" t="s">
        <v>34</v>
      </c>
      <c r="E40" s="421">
        <v>12</v>
      </c>
      <c r="F40" s="300"/>
      <c r="G40" s="300"/>
      <c r="H40" s="420"/>
      <c r="I40" s="420"/>
      <c r="J40" s="430">
        <v>1</v>
      </c>
      <c r="K40" s="420"/>
      <c r="L40" s="420"/>
      <c r="M40" s="420"/>
      <c r="N40" s="420"/>
      <c r="O40" s="420"/>
      <c r="P40" s="434">
        <f t="shared" si="0"/>
        <v>1</v>
      </c>
    </row>
    <row r="41" spans="1:16" x14ac:dyDescent="0.25">
      <c r="A41" s="455"/>
      <c r="B41" s="435" t="s">
        <v>295</v>
      </c>
      <c r="C41" s="418"/>
      <c r="D41" s="255" t="s">
        <v>254</v>
      </c>
      <c r="E41" s="421"/>
      <c r="F41" s="300"/>
      <c r="G41" s="300"/>
      <c r="H41" s="420"/>
      <c r="I41" s="420"/>
      <c r="J41" s="420"/>
      <c r="K41" s="420"/>
      <c r="L41" s="420"/>
      <c r="M41" s="420"/>
      <c r="N41" s="420"/>
      <c r="O41" s="420"/>
      <c r="P41" s="434">
        <f t="shared" si="0"/>
        <v>0</v>
      </c>
    </row>
    <row r="42" spans="1:16" x14ac:dyDescent="0.25">
      <c r="A42" s="455"/>
      <c r="B42" s="433"/>
      <c r="C42" s="418"/>
      <c r="D42" s="255"/>
      <c r="E42" s="421"/>
      <c r="F42" s="300"/>
      <c r="G42" s="300"/>
      <c r="H42" s="420"/>
      <c r="I42" s="420"/>
      <c r="J42" s="420"/>
      <c r="K42" s="420"/>
      <c r="L42" s="420"/>
      <c r="M42" s="420"/>
      <c r="N42" s="420"/>
      <c r="O42" s="420"/>
      <c r="P42" s="434">
        <f t="shared" si="0"/>
        <v>0</v>
      </c>
    </row>
    <row r="43" spans="1:16" x14ac:dyDescent="0.25">
      <c r="A43" s="455"/>
      <c r="B43" s="433"/>
      <c r="C43" s="418"/>
      <c r="D43" s="255"/>
      <c r="E43" s="421"/>
      <c r="F43" s="300"/>
      <c r="G43" s="300"/>
      <c r="H43" s="420"/>
      <c r="I43" s="420"/>
      <c r="J43" s="420"/>
      <c r="K43" s="420"/>
      <c r="L43" s="420"/>
      <c r="M43" s="420"/>
      <c r="N43" s="420"/>
      <c r="O43" s="420"/>
      <c r="P43" s="434">
        <f t="shared" si="0"/>
        <v>0</v>
      </c>
    </row>
    <row r="44" spans="1:16" x14ac:dyDescent="0.25">
      <c r="A44" s="455"/>
      <c r="B44" s="433"/>
      <c r="C44" s="418"/>
      <c r="D44" s="255"/>
      <c r="E44" s="421"/>
      <c r="F44" s="300"/>
      <c r="G44" s="300"/>
      <c r="H44" s="420"/>
      <c r="I44" s="420"/>
      <c r="J44" s="420"/>
      <c r="K44" s="420"/>
      <c r="L44" s="420"/>
      <c r="M44" s="420"/>
      <c r="N44" s="420"/>
      <c r="O44" s="420"/>
      <c r="P44" s="434">
        <f t="shared" si="0"/>
        <v>0</v>
      </c>
    </row>
    <row r="45" spans="1:16" ht="24" customHeight="1" x14ac:dyDescent="0.25">
      <c r="A45" s="455"/>
      <c r="B45" s="600" t="s">
        <v>159</v>
      </c>
      <c r="C45" s="601"/>
      <c r="D45" s="601"/>
      <c r="E45" s="601"/>
      <c r="F45" s="601"/>
      <c r="G45" s="601"/>
      <c r="H45" s="601"/>
      <c r="I45" s="601"/>
      <c r="J45" s="601"/>
      <c r="K45" s="601"/>
      <c r="L45" s="601"/>
      <c r="M45" s="601"/>
      <c r="N45" s="601"/>
      <c r="O45" s="601"/>
      <c r="P45" s="602"/>
    </row>
    <row r="46" spans="1:16" x14ac:dyDescent="0.25">
      <c r="A46" s="455"/>
      <c r="B46" s="433">
        <v>15</v>
      </c>
      <c r="C46" s="418" t="s">
        <v>160</v>
      </c>
      <c r="D46" s="255" t="s">
        <v>34</v>
      </c>
      <c r="E46" s="421"/>
      <c r="F46" s="300"/>
      <c r="G46" s="300"/>
      <c r="H46" s="430">
        <v>1</v>
      </c>
      <c r="I46" s="420"/>
      <c r="J46" s="420"/>
      <c r="K46" s="420"/>
      <c r="L46" s="420"/>
      <c r="M46" s="420"/>
      <c r="N46" s="420"/>
      <c r="O46" s="420"/>
      <c r="P46" s="434">
        <f t="shared" si="0"/>
        <v>1</v>
      </c>
    </row>
    <row r="47" spans="1:16" x14ac:dyDescent="0.25">
      <c r="A47" s="455"/>
      <c r="B47" s="435" t="s">
        <v>295</v>
      </c>
      <c r="C47" s="418"/>
      <c r="D47" s="255" t="s">
        <v>254</v>
      </c>
      <c r="E47" s="421"/>
      <c r="F47" s="300"/>
      <c r="G47" s="300"/>
      <c r="H47" s="430"/>
      <c r="I47" s="420"/>
      <c r="J47" s="420"/>
      <c r="K47" s="420"/>
      <c r="L47" s="420"/>
      <c r="M47" s="420"/>
      <c r="N47" s="420"/>
      <c r="O47" s="420"/>
      <c r="P47" s="434">
        <f t="shared" si="0"/>
        <v>0</v>
      </c>
    </row>
    <row r="48" spans="1:16" x14ac:dyDescent="0.25">
      <c r="A48" s="455"/>
      <c r="B48" s="433"/>
      <c r="C48" s="418"/>
      <c r="D48" s="255"/>
      <c r="E48" s="421"/>
      <c r="F48" s="300"/>
      <c r="G48" s="300"/>
      <c r="H48" s="430"/>
      <c r="I48" s="420"/>
      <c r="J48" s="420"/>
      <c r="K48" s="420"/>
      <c r="L48" s="420"/>
      <c r="M48" s="420"/>
      <c r="N48" s="420"/>
      <c r="O48" s="420"/>
      <c r="P48" s="434">
        <f t="shared" si="0"/>
        <v>0</v>
      </c>
    </row>
    <row r="49" spans="1:16" x14ac:dyDescent="0.25">
      <c r="A49" s="455"/>
      <c r="B49" s="433"/>
      <c r="C49" s="418"/>
      <c r="D49" s="255"/>
      <c r="E49" s="421"/>
      <c r="F49" s="300"/>
      <c r="G49" s="300"/>
      <c r="H49" s="430"/>
      <c r="I49" s="420"/>
      <c r="J49" s="420"/>
      <c r="K49" s="420"/>
      <c r="L49" s="420"/>
      <c r="M49" s="420"/>
      <c r="N49" s="420"/>
      <c r="O49" s="420"/>
      <c r="P49" s="434"/>
    </row>
    <row r="50" spans="1:16" x14ac:dyDescent="0.25">
      <c r="A50" s="455"/>
      <c r="B50" s="433"/>
      <c r="C50" s="418"/>
      <c r="D50" s="255"/>
      <c r="E50" s="421"/>
      <c r="F50" s="300"/>
      <c r="G50" s="300"/>
      <c r="H50" s="430"/>
      <c r="I50" s="420"/>
      <c r="J50" s="420"/>
      <c r="K50" s="420"/>
      <c r="L50" s="420"/>
      <c r="M50" s="420"/>
      <c r="N50" s="420"/>
      <c r="O50" s="420"/>
      <c r="P50" s="434">
        <f t="shared" si="0"/>
        <v>0</v>
      </c>
    </row>
    <row r="51" spans="1:16" ht="21" customHeight="1" x14ac:dyDescent="0.25">
      <c r="A51" s="454"/>
      <c r="B51" s="600" t="s">
        <v>161</v>
      </c>
      <c r="C51" s="601"/>
      <c r="D51" s="601"/>
      <c r="E51" s="601"/>
      <c r="F51" s="601"/>
      <c r="G51" s="601"/>
      <c r="H51" s="601"/>
      <c r="I51" s="601"/>
      <c r="J51" s="601"/>
      <c r="K51" s="601"/>
      <c r="L51" s="601"/>
      <c r="M51" s="601"/>
      <c r="N51" s="601"/>
      <c r="O51" s="601"/>
      <c r="P51" s="602"/>
    </row>
    <row r="52" spans="1:16" x14ac:dyDescent="0.25">
      <c r="A52" s="455"/>
      <c r="B52" s="433">
        <v>16</v>
      </c>
      <c r="C52" s="418" t="s">
        <v>162</v>
      </c>
      <c r="D52" s="255" t="s">
        <v>34</v>
      </c>
      <c r="E52" s="421"/>
      <c r="F52" s="300"/>
      <c r="G52" s="300"/>
      <c r="H52" s="420"/>
      <c r="I52" s="420"/>
      <c r="J52" s="420"/>
      <c r="K52" s="420"/>
      <c r="L52" s="420"/>
      <c r="M52" s="420"/>
      <c r="N52" s="420"/>
      <c r="O52" s="420"/>
      <c r="P52" s="434">
        <f t="shared" si="0"/>
        <v>0</v>
      </c>
    </row>
    <row r="53" spans="1:16" x14ac:dyDescent="0.25">
      <c r="A53" s="455"/>
      <c r="B53" s="433">
        <v>17</v>
      </c>
      <c r="C53" s="418" t="s">
        <v>163</v>
      </c>
      <c r="D53" s="255" t="s">
        <v>34</v>
      </c>
      <c r="E53" s="421"/>
      <c r="F53" s="300"/>
      <c r="G53" s="300"/>
      <c r="H53" s="420"/>
      <c r="I53" s="420"/>
      <c r="J53" s="420"/>
      <c r="K53" s="420"/>
      <c r="L53" s="420"/>
      <c r="M53" s="420"/>
      <c r="N53" s="420"/>
      <c r="O53" s="420"/>
      <c r="P53" s="434">
        <f t="shared" si="0"/>
        <v>0</v>
      </c>
    </row>
    <row r="54" spans="1:16" x14ac:dyDescent="0.25">
      <c r="A54" s="455"/>
      <c r="B54" s="433">
        <v>18</v>
      </c>
      <c r="C54" s="418" t="s">
        <v>164</v>
      </c>
      <c r="D54" s="255" t="s">
        <v>34</v>
      </c>
      <c r="E54" s="421"/>
      <c r="F54" s="300"/>
      <c r="G54" s="300"/>
      <c r="H54" s="420"/>
      <c r="I54" s="420"/>
      <c r="J54" s="420"/>
      <c r="K54" s="420"/>
      <c r="L54" s="420"/>
      <c r="M54" s="420"/>
      <c r="N54" s="420"/>
      <c r="O54" s="420"/>
      <c r="P54" s="434">
        <f t="shared" si="0"/>
        <v>0</v>
      </c>
    </row>
    <row r="55" spans="1:16" x14ac:dyDescent="0.25">
      <c r="A55" s="455"/>
      <c r="B55" s="433">
        <v>19</v>
      </c>
      <c r="C55" s="418" t="s">
        <v>165</v>
      </c>
      <c r="D55" s="255" t="s">
        <v>34</v>
      </c>
      <c r="E55" s="421"/>
      <c r="F55" s="300"/>
      <c r="G55" s="300"/>
      <c r="H55" s="420"/>
      <c r="I55" s="420"/>
      <c r="J55" s="420"/>
      <c r="K55" s="420"/>
      <c r="L55" s="420"/>
      <c r="M55" s="420"/>
      <c r="N55" s="420"/>
      <c r="O55" s="420"/>
      <c r="P55" s="434">
        <f t="shared" si="0"/>
        <v>0</v>
      </c>
    </row>
    <row r="56" spans="1:16" x14ac:dyDescent="0.25">
      <c r="A56" s="455"/>
      <c r="B56" s="435" t="s">
        <v>295</v>
      </c>
      <c r="C56" s="418"/>
      <c r="D56" s="255" t="s">
        <v>254</v>
      </c>
      <c r="E56" s="421"/>
      <c r="F56" s="300"/>
      <c r="G56" s="300"/>
      <c r="H56" s="420"/>
      <c r="I56" s="420"/>
      <c r="J56" s="420"/>
      <c r="K56" s="420"/>
      <c r="L56" s="420"/>
      <c r="M56" s="420"/>
      <c r="N56" s="420"/>
      <c r="O56" s="420"/>
      <c r="P56" s="434">
        <f t="shared" si="0"/>
        <v>0</v>
      </c>
    </row>
    <row r="57" spans="1:16" x14ac:dyDescent="0.25">
      <c r="A57" s="455"/>
      <c r="B57" s="435"/>
      <c r="C57" s="418"/>
      <c r="D57" s="255"/>
      <c r="E57" s="421"/>
      <c r="F57" s="300"/>
      <c r="G57" s="300"/>
      <c r="H57" s="420"/>
      <c r="I57" s="420"/>
      <c r="J57" s="420"/>
      <c r="K57" s="420"/>
      <c r="L57" s="420"/>
      <c r="M57" s="420"/>
      <c r="N57" s="420"/>
      <c r="O57" s="420"/>
      <c r="P57" s="434"/>
    </row>
    <row r="58" spans="1:16" x14ac:dyDescent="0.25">
      <c r="A58" s="455"/>
      <c r="B58" s="435"/>
      <c r="C58" s="418"/>
      <c r="D58" s="255"/>
      <c r="E58" s="421"/>
      <c r="F58" s="300"/>
      <c r="G58" s="300"/>
      <c r="H58" s="420"/>
      <c r="I58" s="420"/>
      <c r="J58" s="420"/>
      <c r="K58" s="420"/>
      <c r="L58" s="420"/>
      <c r="M58" s="420"/>
      <c r="N58" s="420"/>
      <c r="O58" s="420"/>
      <c r="P58" s="434"/>
    </row>
    <row r="59" spans="1:16" x14ac:dyDescent="0.25">
      <c r="A59" s="454"/>
      <c r="B59" s="436"/>
      <c r="C59" s="422"/>
      <c r="D59" s="423"/>
      <c r="E59" s="423"/>
      <c r="F59" s="300"/>
      <c r="G59" s="300"/>
      <c r="H59" s="424"/>
      <c r="I59" s="424"/>
      <c r="J59" s="424"/>
      <c r="K59" s="424"/>
      <c r="L59" s="424"/>
      <c r="M59" s="424"/>
      <c r="N59" s="424"/>
      <c r="O59" s="424"/>
      <c r="P59" s="434"/>
    </row>
    <row r="60" spans="1:16" ht="27" customHeight="1" x14ac:dyDescent="0.25">
      <c r="B60" s="608" t="s">
        <v>166</v>
      </c>
      <c r="C60" s="609"/>
      <c r="D60" s="609"/>
      <c r="E60" s="609"/>
      <c r="F60" s="609"/>
      <c r="G60" s="609"/>
      <c r="H60" s="609"/>
      <c r="I60" s="609"/>
      <c r="J60" s="609"/>
      <c r="K60" s="609"/>
      <c r="L60" s="609"/>
      <c r="M60" s="609"/>
      <c r="N60" s="609"/>
      <c r="O60" s="609"/>
      <c r="P60" s="610"/>
    </row>
    <row r="61" spans="1:16" ht="16.5" x14ac:dyDescent="0.25">
      <c r="B61" s="437"/>
      <c r="C61" s="418"/>
      <c r="D61" s="421"/>
      <c r="E61" s="421"/>
      <c r="F61" s="417"/>
      <c r="G61" s="417"/>
      <c r="H61" s="417"/>
      <c r="I61" s="417"/>
      <c r="J61" s="417"/>
      <c r="K61" s="417"/>
      <c r="L61" s="417"/>
      <c r="M61" s="417"/>
      <c r="N61" s="417"/>
      <c r="O61" s="417"/>
      <c r="P61" s="438"/>
    </row>
    <row r="62" spans="1:16" ht="25.5" customHeight="1" x14ac:dyDescent="0.25">
      <c r="A62" s="455"/>
      <c r="B62" s="603" t="s">
        <v>167</v>
      </c>
      <c r="C62" s="593"/>
      <c r="D62" s="593"/>
      <c r="E62" s="593"/>
      <c r="F62" s="593"/>
      <c r="G62" s="593"/>
      <c r="H62" s="593"/>
      <c r="I62" s="593"/>
      <c r="J62" s="593"/>
      <c r="K62" s="593"/>
      <c r="L62" s="593"/>
      <c r="M62" s="593"/>
      <c r="N62" s="593"/>
      <c r="O62" s="593"/>
      <c r="P62" s="604"/>
    </row>
    <row r="63" spans="1:16" x14ac:dyDescent="0.25">
      <c r="A63" s="455"/>
      <c r="B63" s="433">
        <v>21</v>
      </c>
      <c r="C63" s="418" t="s">
        <v>168</v>
      </c>
      <c r="D63" s="255" t="s">
        <v>34</v>
      </c>
      <c r="E63" s="421"/>
      <c r="F63" s="300"/>
      <c r="G63" s="300"/>
      <c r="H63" s="430">
        <v>1</v>
      </c>
      <c r="I63" s="420"/>
      <c r="J63" s="420"/>
      <c r="K63" s="420"/>
      <c r="L63" s="420"/>
      <c r="M63" s="420"/>
      <c r="N63" s="420"/>
      <c r="O63" s="420"/>
      <c r="P63" s="434">
        <f t="shared" si="0"/>
        <v>1</v>
      </c>
    </row>
    <row r="64" spans="1:16" ht="28.5" x14ac:dyDescent="0.25">
      <c r="A64" s="455"/>
      <c r="B64" s="433">
        <v>22</v>
      </c>
      <c r="C64" s="418" t="s">
        <v>169</v>
      </c>
      <c r="D64" s="255" t="s">
        <v>34</v>
      </c>
      <c r="E64" s="421"/>
      <c r="F64" s="300"/>
      <c r="G64" s="300"/>
      <c r="H64" s="430">
        <v>1</v>
      </c>
      <c r="I64" s="420"/>
      <c r="J64" s="420"/>
      <c r="K64" s="420"/>
      <c r="L64" s="420"/>
      <c r="M64" s="420"/>
      <c r="N64" s="420"/>
      <c r="O64" s="420"/>
      <c r="P64" s="434">
        <f t="shared" si="0"/>
        <v>1</v>
      </c>
    </row>
    <row r="65" spans="1:16" x14ac:dyDescent="0.25">
      <c r="A65" s="455"/>
      <c r="B65" s="433">
        <v>23</v>
      </c>
      <c r="C65" s="418" t="s">
        <v>170</v>
      </c>
      <c r="D65" s="255" t="s">
        <v>34</v>
      </c>
      <c r="E65" s="421"/>
      <c r="F65" s="300"/>
      <c r="G65" s="300"/>
      <c r="H65" s="430">
        <v>1</v>
      </c>
      <c r="I65" s="420"/>
      <c r="J65" s="420"/>
      <c r="K65" s="420"/>
      <c r="L65" s="420"/>
      <c r="M65" s="420"/>
      <c r="N65" s="420"/>
      <c r="O65" s="420"/>
      <c r="P65" s="434">
        <f t="shared" si="0"/>
        <v>1</v>
      </c>
    </row>
    <row r="66" spans="1:16" x14ac:dyDescent="0.25">
      <c r="A66" s="455"/>
      <c r="B66" s="433">
        <v>24</v>
      </c>
      <c r="C66" s="418" t="s">
        <v>171</v>
      </c>
      <c r="D66" s="255" t="s">
        <v>34</v>
      </c>
      <c r="E66" s="421"/>
      <c r="F66" s="300"/>
      <c r="G66" s="300"/>
      <c r="H66" s="430">
        <v>1</v>
      </c>
      <c r="I66" s="420"/>
      <c r="J66" s="420"/>
      <c r="K66" s="420"/>
      <c r="L66" s="420"/>
      <c r="M66" s="420"/>
      <c r="N66" s="420"/>
      <c r="O66" s="420"/>
      <c r="P66" s="434">
        <f t="shared" si="0"/>
        <v>1</v>
      </c>
    </row>
    <row r="67" spans="1:16" x14ac:dyDescent="0.25">
      <c r="A67" s="455"/>
      <c r="B67" s="435" t="s">
        <v>295</v>
      </c>
      <c r="C67" s="418"/>
      <c r="D67" s="255" t="s">
        <v>254</v>
      </c>
      <c r="E67" s="421"/>
      <c r="F67" s="300"/>
      <c r="G67" s="300"/>
      <c r="H67" s="430"/>
      <c r="I67" s="420"/>
      <c r="J67" s="420"/>
      <c r="K67" s="420"/>
      <c r="L67" s="420"/>
      <c r="M67" s="420"/>
      <c r="N67" s="420"/>
      <c r="O67" s="420"/>
      <c r="P67" s="434"/>
    </row>
    <row r="68" spans="1:16" x14ac:dyDescent="0.25">
      <c r="A68" s="455"/>
      <c r="B68" s="433"/>
      <c r="C68" s="418"/>
      <c r="D68" s="255"/>
      <c r="E68" s="421"/>
      <c r="F68" s="300"/>
      <c r="G68" s="300"/>
      <c r="H68" s="430"/>
      <c r="I68" s="420"/>
      <c r="J68" s="420"/>
      <c r="K68" s="420"/>
      <c r="L68" s="420"/>
      <c r="M68" s="420"/>
      <c r="N68" s="420"/>
      <c r="O68" s="420"/>
      <c r="P68" s="434"/>
    </row>
    <row r="69" spans="1:16" x14ac:dyDescent="0.25">
      <c r="A69" s="455"/>
      <c r="B69" s="433"/>
      <c r="C69" s="418"/>
      <c r="D69" s="255"/>
      <c r="E69" s="421"/>
      <c r="F69" s="300"/>
      <c r="G69" s="300"/>
      <c r="H69" s="430"/>
      <c r="I69" s="420"/>
      <c r="J69" s="420"/>
      <c r="K69" s="420"/>
      <c r="L69" s="420"/>
      <c r="M69" s="420"/>
      <c r="N69" s="420"/>
      <c r="O69" s="420"/>
      <c r="P69" s="434"/>
    </row>
    <row r="70" spans="1:16" x14ac:dyDescent="0.25">
      <c r="A70" s="455"/>
      <c r="B70" s="433"/>
      <c r="C70" s="418"/>
      <c r="D70" s="255"/>
      <c r="E70" s="421"/>
      <c r="F70" s="300"/>
      <c r="G70" s="300"/>
      <c r="H70" s="420"/>
      <c r="I70" s="420"/>
      <c r="J70" s="420"/>
      <c r="K70" s="420"/>
      <c r="L70" s="420"/>
      <c r="M70" s="420"/>
      <c r="N70" s="420"/>
      <c r="O70" s="420"/>
      <c r="P70" s="434">
        <f t="shared" si="0"/>
        <v>0</v>
      </c>
    </row>
    <row r="71" spans="1:16" ht="28.5" customHeight="1" x14ac:dyDescent="0.25">
      <c r="A71" s="455"/>
      <c r="B71" s="603" t="s">
        <v>172</v>
      </c>
      <c r="C71" s="593"/>
      <c r="D71" s="593"/>
      <c r="E71" s="593"/>
      <c r="F71" s="593"/>
      <c r="G71" s="593"/>
      <c r="H71" s="593"/>
      <c r="I71" s="593"/>
      <c r="J71" s="593"/>
      <c r="K71" s="593"/>
      <c r="L71" s="593"/>
      <c r="M71" s="593"/>
      <c r="N71" s="593"/>
      <c r="O71" s="593"/>
      <c r="P71" s="604"/>
    </row>
    <row r="72" spans="1:16" x14ac:dyDescent="0.25">
      <c r="A72" s="455"/>
      <c r="B72" s="433">
        <v>25</v>
      </c>
      <c r="C72" s="418" t="s">
        <v>173</v>
      </c>
      <c r="D72" s="255" t="s">
        <v>34</v>
      </c>
      <c r="E72" s="421"/>
      <c r="F72" s="300"/>
      <c r="G72" s="300"/>
      <c r="H72" s="420"/>
      <c r="I72" s="430">
        <v>1</v>
      </c>
      <c r="J72" s="420"/>
      <c r="K72" s="420"/>
      <c r="L72" s="420"/>
      <c r="M72" s="420"/>
      <c r="N72" s="420"/>
      <c r="O72" s="420"/>
      <c r="P72" s="434">
        <f t="shared" si="0"/>
        <v>1</v>
      </c>
    </row>
    <row r="73" spans="1:16" x14ac:dyDescent="0.25">
      <c r="A73" s="455"/>
      <c r="B73" s="433">
        <v>26</v>
      </c>
      <c r="C73" s="418" t="s">
        <v>174</v>
      </c>
      <c r="D73" s="255" t="s">
        <v>34</v>
      </c>
      <c r="E73" s="421"/>
      <c r="F73" s="300"/>
      <c r="G73" s="300"/>
      <c r="H73" s="420"/>
      <c r="I73" s="430">
        <v>1</v>
      </c>
      <c r="J73" s="420"/>
      <c r="K73" s="420"/>
      <c r="L73" s="420"/>
      <c r="M73" s="420"/>
      <c r="N73" s="420"/>
      <c r="O73" s="420"/>
      <c r="P73" s="434">
        <f t="shared" si="0"/>
        <v>1</v>
      </c>
    </row>
    <row r="74" spans="1:16" ht="28.5" x14ac:dyDescent="0.25">
      <c r="A74" s="455"/>
      <c r="B74" s="433">
        <v>27</v>
      </c>
      <c r="C74" s="418" t="s">
        <v>175</v>
      </c>
      <c r="D74" s="255" t="s">
        <v>34</v>
      </c>
      <c r="E74" s="421"/>
      <c r="F74" s="300"/>
      <c r="G74" s="300"/>
      <c r="H74" s="420"/>
      <c r="I74" s="430">
        <v>0.8</v>
      </c>
      <c r="J74" s="430">
        <v>0.2</v>
      </c>
      <c r="K74" s="420"/>
      <c r="L74" s="420"/>
      <c r="M74" s="420"/>
      <c r="N74" s="420"/>
      <c r="O74" s="420"/>
      <c r="P74" s="434">
        <f t="shared" si="0"/>
        <v>1</v>
      </c>
    </row>
    <row r="75" spans="1:16" ht="28.5" x14ac:dyDescent="0.25">
      <c r="A75" s="455"/>
      <c r="B75" s="433">
        <v>28</v>
      </c>
      <c r="C75" s="418" t="s">
        <v>176</v>
      </c>
      <c r="D75" s="255" t="s">
        <v>34</v>
      </c>
      <c r="E75" s="421"/>
      <c r="F75" s="300"/>
      <c r="G75" s="300"/>
      <c r="H75" s="420"/>
      <c r="I75" s="420"/>
      <c r="J75" s="420"/>
      <c r="K75" s="420"/>
      <c r="L75" s="420"/>
      <c r="M75" s="420"/>
      <c r="N75" s="420"/>
      <c r="O75" s="420"/>
      <c r="P75" s="434">
        <f t="shared" si="0"/>
        <v>0</v>
      </c>
    </row>
    <row r="76" spans="1:16" ht="28.5" x14ac:dyDescent="0.25">
      <c r="A76" s="455"/>
      <c r="B76" s="433">
        <v>29</v>
      </c>
      <c r="C76" s="418" t="s">
        <v>177</v>
      </c>
      <c r="D76" s="255" t="s">
        <v>34</v>
      </c>
      <c r="E76" s="421"/>
      <c r="F76" s="300"/>
      <c r="G76" s="300"/>
      <c r="H76" s="420"/>
      <c r="I76" s="420"/>
      <c r="J76" s="420"/>
      <c r="K76" s="420"/>
      <c r="L76" s="420"/>
      <c r="M76" s="420"/>
      <c r="N76" s="420"/>
      <c r="O76" s="420"/>
      <c r="P76" s="434">
        <f t="shared" si="0"/>
        <v>0</v>
      </c>
    </row>
    <row r="77" spans="1:16" ht="28.5" x14ac:dyDescent="0.25">
      <c r="A77" s="455"/>
      <c r="B77" s="433">
        <v>30</v>
      </c>
      <c r="C77" s="418" t="s">
        <v>178</v>
      </c>
      <c r="D77" s="255" t="s">
        <v>34</v>
      </c>
      <c r="E77" s="421"/>
      <c r="F77" s="300"/>
      <c r="G77" s="300"/>
      <c r="H77" s="420"/>
      <c r="I77" s="420"/>
      <c r="J77" s="420"/>
      <c r="K77" s="420"/>
      <c r="L77" s="420"/>
      <c r="M77" s="420"/>
      <c r="N77" s="420"/>
      <c r="O77" s="420"/>
      <c r="P77" s="434">
        <f t="shared" si="0"/>
        <v>0</v>
      </c>
    </row>
    <row r="78" spans="1:16" ht="28.5" x14ac:dyDescent="0.25">
      <c r="A78" s="455"/>
      <c r="B78" s="433">
        <v>31</v>
      </c>
      <c r="C78" s="418" t="s">
        <v>179</v>
      </c>
      <c r="D78" s="255" t="s">
        <v>34</v>
      </c>
      <c r="E78" s="421"/>
      <c r="F78" s="300"/>
      <c r="G78" s="300"/>
      <c r="H78" s="420"/>
      <c r="I78" s="420"/>
      <c r="J78" s="420"/>
      <c r="K78" s="420"/>
      <c r="L78" s="420"/>
      <c r="M78" s="420"/>
      <c r="N78" s="420"/>
      <c r="O78" s="420"/>
      <c r="P78" s="434">
        <f t="shared" si="0"/>
        <v>0</v>
      </c>
    </row>
    <row r="79" spans="1:16" x14ac:dyDescent="0.25">
      <c r="A79" s="455"/>
      <c r="B79" s="433">
        <v>32</v>
      </c>
      <c r="C79" s="418" t="s">
        <v>180</v>
      </c>
      <c r="D79" s="255" t="s">
        <v>34</v>
      </c>
      <c r="E79" s="421"/>
      <c r="F79" s="300"/>
      <c r="G79" s="300"/>
      <c r="H79" s="420"/>
      <c r="I79" s="420"/>
      <c r="J79" s="420"/>
      <c r="K79" s="420"/>
      <c r="L79" s="420"/>
      <c r="M79" s="420"/>
      <c r="N79" s="420"/>
      <c r="O79" s="420"/>
      <c r="P79" s="434">
        <f t="shared" si="0"/>
        <v>0</v>
      </c>
    </row>
    <row r="80" spans="1:16" x14ac:dyDescent="0.25">
      <c r="A80" s="455"/>
      <c r="B80" s="435" t="s">
        <v>295</v>
      </c>
      <c r="C80" s="418"/>
      <c r="D80" s="255" t="s">
        <v>254</v>
      </c>
      <c r="E80" s="421"/>
      <c r="F80" s="300"/>
      <c r="G80" s="300"/>
      <c r="H80" s="420"/>
      <c r="I80" s="420"/>
      <c r="J80" s="420"/>
      <c r="K80" s="420"/>
      <c r="L80" s="420"/>
      <c r="M80" s="420"/>
      <c r="N80" s="420"/>
      <c r="O80" s="420"/>
      <c r="P80" s="434"/>
    </row>
    <row r="81" spans="1:16" x14ac:dyDescent="0.25">
      <c r="A81" s="455"/>
      <c r="B81" s="433"/>
      <c r="C81" s="418"/>
      <c r="D81" s="255"/>
      <c r="E81" s="421"/>
      <c r="F81" s="300"/>
      <c r="G81" s="300"/>
      <c r="H81" s="420"/>
      <c r="I81" s="420"/>
      <c r="J81" s="420"/>
      <c r="K81" s="420"/>
      <c r="L81" s="420"/>
      <c r="M81" s="420"/>
      <c r="N81" s="420"/>
      <c r="O81" s="420"/>
      <c r="P81" s="434"/>
    </row>
    <row r="82" spans="1:16" x14ac:dyDescent="0.25">
      <c r="A82" s="455"/>
      <c r="B82" s="433"/>
      <c r="C82" s="418"/>
      <c r="D82" s="255"/>
      <c r="E82" s="421"/>
      <c r="F82" s="300"/>
      <c r="G82" s="300"/>
      <c r="H82" s="420"/>
      <c r="I82" s="420"/>
      <c r="J82" s="420"/>
      <c r="K82" s="420"/>
      <c r="L82" s="420"/>
      <c r="M82" s="420"/>
      <c r="N82" s="420"/>
      <c r="O82" s="420"/>
      <c r="P82" s="434"/>
    </row>
    <row r="83" spans="1:16" x14ac:dyDescent="0.25">
      <c r="A83" s="455"/>
      <c r="B83" s="433"/>
      <c r="C83" s="418"/>
      <c r="D83" s="255"/>
      <c r="E83" s="421"/>
      <c r="F83" s="300"/>
      <c r="G83" s="300"/>
      <c r="H83" s="420"/>
      <c r="I83" s="420"/>
      <c r="J83" s="420"/>
      <c r="K83" s="420"/>
      <c r="L83" s="420"/>
      <c r="M83" s="420"/>
      <c r="N83" s="420"/>
      <c r="O83" s="420"/>
      <c r="P83" s="434">
        <f t="shared" ref="P83:P106" si="1">SUM(H83:O83)</f>
        <v>0</v>
      </c>
    </row>
    <row r="84" spans="1:16" ht="25.5" customHeight="1" x14ac:dyDescent="0.25">
      <c r="A84" s="455"/>
      <c r="B84" s="603" t="s">
        <v>181</v>
      </c>
      <c r="C84" s="593"/>
      <c r="D84" s="593"/>
      <c r="E84" s="593"/>
      <c r="F84" s="593"/>
      <c r="G84" s="593"/>
      <c r="H84" s="593"/>
      <c r="I84" s="593"/>
      <c r="J84" s="593"/>
      <c r="K84" s="593"/>
      <c r="L84" s="593"/>
      <c r="M84" s="593"/>
      <c r="N84" s="593"/>
      <c r="O84" s="593"/>
      <c r="P84" s="604"/>
    </row>
    <row r="85" spans="1:16" x14ac:dyDescent="0.25">
      <c r="A85" s="455"/>
      <c r="B85" s="433">
        <v>33</v>
      </c>
      <c r="C85" s="418" t="s">
        <v>182</v>
      </c>
      <c r="D85" s="255" t="s">
        <v>34</v>
      </c>
      <c r="E85" s="421"/>
      <c r="F85" s="300"/>
      <c r="G85" s="300"/>
      <c r="H85" s="426"/>
      <c r="I85" s="426"/>
      <c r="J85" s="426"/>
      <c r="K85" s="426"/>
      <c r="L85" s="426"/>
      <c r="M85" s="426"/>
      <c r="N85" s="426"/>
      <c r="O85" s="426"/>
      <c r="P85" s="434">
        <f t="shared" si="1"/>
        <v>0</v>
      </c>
    </row>
    <row r="86" spans="1:16" x14ac:dyDescent="0.25">
      <c r="A86" s="455"/>
      <c r="B86" s="433">
        <v>34</v>
      </c>
      <c r="C86" s="418" t="s">
        <v>183</v>
      </c>
      <c r="D86" s="255" t="s">
        <v>34</v>
      </c>
      <c r="E86" s="421"/>
      <c r="F86" s="300"/>
      <c r="G86" s="300"/>
      <c r="H86" s="426"/>
      <c r="I86" s="426"/>
      <c r="J86" s="426"/>
      <c r="K86" s="426"/>
      <c r="L86" s="426"/>
      <c r="M86" s="426"/>
      <c r="N86" s="426"/>
      <c r="O86" s="426"/>
      <c r="P86" s="434">
        <f t="shared" si="1"/>
        <v>0</v>
      </c>
    </row>
    <row r="87" spans="1:16" x14ac:dyDescent="0.25">
      <c r="A87" s="455"/>
      <c r="B87" s="433">
        <v>35</v>
      </c>
      <c r="C87" s="418" t="s">
        <v>184</v>
      </c>
      <c r="D87" s="255" t="s">
        <v>34</v>
      </c>
      <c r="E87" s="421"/>
      <c r="F87" s="300"/>
      <c r="G87" s="300"/>
      <c r="H87" s="426"/>
      <c r="I87" s="426"/>
      <c r="J87" s="426"/>
      <c r="K87" s="426"/>
      <c r="L87" s="426"/>
      <c r="M87" s="426"/>
      <c r="N87" s="426"/>
      <c r="O87" s="426"/>
      <c r="P87" s="434">
        <f t="shared" si="1"/>
        <v>0</v>
      </c>
    </row>
    <row r="88" spans="1:16" x14ac:dyDescent="0.25">
      <c r="A88" s="455"/>
      <c r="B88" s="435" t="s">
        <v>295</v>
      </c>
      <c r="C88" s="418"/>
      <c r="D88" s="255" t="s">
        <v>254</v>
      </c>
      <c r="E88" s="421"/>
      <c r="F88" s="300"/>
      <c r="G88" s="300"/>
      <c r="H88" s="426"/>
      <c r="I88" s="426"/>
      <c r="J88" s="426"/>
      <c r="K88" s="426"/>
      <c r="L88" s="426"/>
      <c r="M88" s="426"/>
      <c r="N88" s="426"/>
      <c r="O88" s="426"/>
      <c r="P88" s="434"/>
    </row>
    <row r="89" spans="1:16" x14ac:dyDescent="0.25">
      <c r="A89" s="455"/>
      <c r="B89" s="433"/>
      <c r="C89" s="418"/>
      <c r="D89" s="255"/>
      <c r="E89" s="421"/>
      <c r="F89" s="300"/>
      <c r="G89" s="300"/>
      <c r="H89" s="426"/>
      <c r="I89" s="426"/>
      <c r="J89" s="426"/>
      <c r="K89" s="426"/>
      <c r="L89" s="426"/>
      <c r="M89" s="426"/>
      <c r="N89" s="426"/>
      <c r="O89" s="426"/>
      <c r="P89" s="434"/>
    </row>
    <row r="90" spans="1:16" x14ac:dyDescent="0.25">
      <c r="A90" s="455"/>
      <c r="B90" s="433"/>
      <c r="C90" s="418"/>
      <c r="D90" s="255"/>
      <c r="E90" s="421"/>
      <c r="F90" s="300"/>
      <c r="G90" s="300"/>
      <c r="H90" s="426"/>
      <c r="I90" s="426"/>
      <c r="J90" s="426"/>
      <c r="K90" s="426"/>
      <c r="L90" s="426"/>
      <c r="M90" s="426"/>
      <c r="N90" s="426"/>
      <c r="O90" s="426"/>
      <c r="P90" s="434"/>
    </row>
    <row r="91" spans="1:16" x14ac:dyDescent="0.25">
      <c r="A91" s="455"/>
      <c r="B91" s="433"/>
      <c r="C91" s="418"/>
      <c r="D91" s="255"/>
      <c r="E91" s="421"/>
      <c r="F91" s="300"/>
      <c r="G91" s="300"/>
      <c r="H91" s="426"/>
      <c r="I91" s="426"/>
      <c r="J91" s="426"/>
      <c r="K91" s="426"/>
      <c r="L91" s="426"/>
      <c r="M91" s="426"/>
      <c r="N91" s="426"/>
      <c r="O91" s="426"/>
      <c r="P91" s="434">
        <f t="shared" si="1"/>
        <v>0</v>
      </c>
    </row>
    <row r="92" spans="1:16" ht="24" customHeight="1" x14ac:dyDescent="0.25">
      <c r="A92" s="455"/>
      <c r="B92" s="603" t="s">
        <v>185</v>
      </c>
      <c r="C92" s="593"/>
      <c r="D92" s="593"/>
      <c r="E92" s="593"/>
      <c r="F92" s="593"/>
      <c r="G92" s="593"/>
      <c r="H92" s="593"/>
      <c r="I92" s="593"/>
      <c r="J92" s="593"/>
      <c r="K92" s="593"/>
      <c r="L92" s="593"/>
      <c r="M92" s="593"/>
      <c r="N92" s="593"/>
      <c r="O92" s="593"/>
      <c r="P92" s="604"/>
    </row>
    <row r="93" spans="1:16" ht="42.75" x14ac:dyDescent="0.25">
      <c r="A93" s="455"/>
      <c r="B93" s="433">
        <v>36</v>
      </c>
      <c r="C93" s="418" t="s">
        <v>186</v>
      </c>
      <c r="D93" s="255" t="s">
        <v>34</v>
      </c>
      <c r="E93" s="421"/>
      <c r="F93" s="300"/>
      <c r="G93" s="300"/>
      <c r="H93" s="426"/>
      <c r="I93" s="426"/>
      <c r="J93" s="426"/>
      <c r="K93" s="426"/>
      <c r="L93" s="426"/>
      <c r="M93" s="426"/>
      <c r="N93" s="426"/>
      <c r="O93" s="426"/>
      <c r="P93" s="434">
        <f t="shared" si="1"/>
        <v>0</v>
      </c>
    </row>
    <row r="94" spans="1:16" ht="28.5" x14ac:dyDescent="0.25">
      <c r="A94" s="455"/>
      <c r="B94" s="433">
        <v>37</v>
      </c>
      <c r="C94" s="418" t="s">
        <v>187</v>
      </c>
      <c r="D94" s="255" t="s">
        <v>34</v>
      </c>
      <c r="E94" s="421"/>
      <c r="F94" s="300"/>
      <c r="G94" s="300"/>
      <c r="H94" s="426"/>
      <c r="I94" s="426"/>
      <c r="J94" s="426"/>
      <c r="K94" s="426"/>
      <c r="L94" s="426"/>
      <c r="M94" s="426"/>
      <c r="N94" s="426"/>
      <c r="O94" s="426"/>
      <c r="P94" s="434">
        <f t="shared" si="1"/>
        <v>0</v>
      </c>
    </row>
    <row r="95" spans="1:16" x14ac:dyDescent="0.25">
      <c r="A95" s="455"/>
      <c r="B95" s="433">
        <v>38</v>
      </c>
      <c r="C95" s="418" t="s">
        <v>188</v>
      </c>
      <c r="D95" s="255" t="s">
        <v>34</v>
      </c>
      <c r="E95" s="421"/>
      <c r="F95" s="300"/>
      <c r="G95" s="300"/>
      <c r="H95" s="426"/>
      <c r="I95" s="426"/>
      <c r="J95" s="426"/>
      <c r="K95" s="426"/>
      <c r="L95" s="426"/>
      <c r="M95" s="426"/>
      <c r="N95" s="426"/>
      <c r="O95" s="426"/>
      <c r="P95" s="434">
        <f t="shared" si="1"/>
        <v>0</v>
      </c>
    </row>
    <row r="96" spans="1:16" ht="28.5" x14ac:dyDescent="0.25">
      <c r="A96" s="455"/>
      <c r="B96" s="433">
        <v>39</v>
      </c>
      <c r="C96" s="418" t="s">
        <v>189</v>
      </c>
      <c r="D96" s="255" t="s">
        <v>34</v>
      </c>
      <c r="E96" s="421"/>
      <c r="F96" s="300"/>
      <c r="G96" s="300"/>
      <c r="H96" s="426"/>
      <c r="I96" s="426"/>
      <c r="J96" s="426"/>
      <c r="K96" s="426"/>
      <c r="L96" s="426"/>
      <c r="M96" s="426"/>
      <c r="N96" s="426"/>
      <c r="O96" s="426"/>
      <c r="P96" s="434">
        <f t="shared" si="1"/>
        <v>0</v>
      </c>
    </row>
    <row r="97" spans="1:16" ht="28.5" x14ac:dyDescent="0.25">
      <c r="A97" s="455"/>
      <c r="B97" s="433">
        <v>40</v>
      </c>
      <c r="C97" s="418" t="s">
        <v>190</v>
      </c>
      <c r="D97" s="255" t="s">
        <v>34</v>
      </c>
      <c r="E97" s="421"/>
      <c r="F97" s="300"/>
      <c r="G97" s="300"/>
      <c r="H97" s="426"/>
      <c r="I97" s="426"/>
      <c r="J97" s="426"/>
      <c r="K97" s="426"/>
      <c r="L97" s="426"/>
      <c r="M97" s="426"/>
      <c r="N97" s="426"/>
      <c r="O97" s="426"/>
      <c r="P97" s="434">
        <f t="shared" si="1"/>
        <v>0</v>
      </c>
    </row>
    <row r="98" spans="1:16" ht="28.5" x14ac:dyDescent="0.25">
      <c r="A98" s="455"/>
      <c r="B98" s="433">
        <v>41</v>
      </c>
      <c r="C98" s="418" t="s">
        <v>191</v>
      </c>
      <c r="D98" s="255" t="s">
        <v>34</v>
      </c>
      <c r="E98" s="421"/>
      <c r="F98" s="300"/>
      <c r="G98" s="300"/>
      <c r="H98" s="426"/>
      <c r="I98" s="426"/>
      <c r="J98" s="426"/>
      <c r="K98" s="426"/>
      <c r="L98" s="426"/>
      <c r="M98" s="426"/>
      <c r="N98" s="426"/>
      <c r="O98" s="426"/>
      <c r="P98" s="434">
        <f t="shared" si="1"/>
        <v>0</v>
      </c>
    </row>
    <row r="99" spans="1:16" ht="28.5" x14ac:dyDescent="0.25">
      <c r="A99" s="455"/>
      <c r="B99" s="433">
        <v>42</v>
      </c>
      <c r="C99" s="418" t="s">
        <v>192</v>
      </c>
      <c r="D99" s="255" t="s">
        <v>34</v>
      </c>
      <c r="E99" s="421"/>
      <c r="F99" s="300"/>
      <c r="G99" s="300"/>
      <c r="H99" s="426"/>
      <c r="I99" s="426"/>
      <c r="J99" s="426"/>
      <c r="K99" s="426"/>
      <c r="L99" s="426"/>
      <c r="M99" s="426"/>
      <c r="N99" s="426"/>
      <c r="O99" s="426"/>
      <c r="P99" s="434">
        <f t="shared" si="1"/>
        <v>0</v>
      </c>
    </row>
    <row r="100" spans="1:16" x14ac:dyDescent="0.25">
      <c r="A100" s="455"/>
      <c r="B100" s="433">
        <v>43</v>
      </c>
      <c r="C100" s="418" t="s">
        <v>193</v>
      </c>
      <c r="D100" s="255" t="s">
        <v>34</v>
      </c>
      <c r="E100" s="421"/>
      <c r="F100" s="300"/>
      <c r="G100" s="300"/>
      <c r="H100" s="426"/>
      <c r="I100" s="426"/>
      <c r="J100" s="426"/>
      <c r="K100" s="426"/>
      <c r="L100" s="426"/>
      <c r="M100" s="426"/>
      <c r="N100" s="426"/>
      <c r="O100" s="426"/>
      <c r="P100" s="434">
        <f t="shared" si="1"/>
        <v>0</v>
      </c>
    </row>
    <row r="101" spans="1:16" ht="42.75" x14ac:dyDescent="0.25">
      <c r="A101" s="455"/>
      <c r="B101" s="433">
        <v>44</v>
      </c>
      <c r="C101" s="418" t="s">
        <v>194</v>
      </c>
      <c r="D101" s="255" t="s">
        <v>34</v>
      </c>
      <c r="E101" s="421"/>
      <c r="F101" s="300"/>
      <c r="G101" s="300"/>
      <c r="H101" s="426"/>
      <c r="I101" s="426"/>
      <c r="J101" s="426"/>
      <c r="K101" s="426"/>
      <c r="L101" s="426"/>
      <c r="M101" s="426"/>
      <c r="N101" s="426"/>
      <c r="O101" s="426"/>
      <c r="P101" s="434">
        <f t="shared" si="1"/>
        <v>0</v>
      </c>
    </row>
    <row r="102" spans="1:16" ht="28.5" x14ac:dyDescent="0.25">
      <c r="A102" s="455"/>
      <c r="B102" s="433">
        <v>45</v>
      </c>
      <c r="C102" s="418" t="s">
        <v>195</v>
      </c>
      <c r="D102" s="255" t="s">
        <v>34</v>
      </c>
      <c r="E102" s="421"/>
      <c r="F102" s="300"/>
      <c r="G102" s="300"/>
      <c r="H102" s="426"/>
      <c r="I102" s="426"/>
      <c r="J102" s="426"/>
      <c r="K102" s="426"/>
      <c r="L102" s="426"/>
      <c r="M102" s="426"/>
      <c r="N102" s="426"/>
      <c r="O102" s="426"/>
      <c r="P102" s="434">
        <f t="shared" si="1"/>
        <v>0</v>
      </c>
    </row>
    <row r="103" spans="1:16" ht="28.5" x14ac:dyDescent="0.25">
      <c r="A103" s="455"/>
      <c r="B103" s="433">
        <v>46</v>
      </c>
      <c r="C103" s="418" t="s">
        <v>196</v>
      </c>
      <c r="D103" s="255" t="s">
        <v>34</v>
      </c>
      <c r="E103" s="421"/>
      <c r="F103" s="300"/>
      <c r="G103" s="300"/>
      <c r="H103" s="426"/>
      <c r="I103" s="426"/>
      <c r="J103" s="426"/>
      <c r="K103" s="426"/>
      <c r="L103" s="426"/>
      <c r="M103" s="426"/>
      <c r="N103" s="426"/>
      <c r="O103" s="426"/>
      <c r="P103" s="434">
        <f t="shared" si="1"/>
        <v>0</v>
      </c>
    </row>
    <row r="104" spans="1:16" ht="28.5" x14ac:dyDescent="0.25">
      <c r="A104" s="455"/>
      <c r="B104" s="433">
        <v>47</v>
      </c>
      <c r="C104" s="418" t="s">
        <v>197</v>
      </c>
      <c r="D104" s="255" t="s">
        <v>34</v>
      </c>
      <c r="E104" s="421"/>
      <c r="F104" s="300"/>
      <c r="G104" s="300"/>
      <c r="H104" s="426"/>
      <c r="I104" s="426"/>
      <c r="J104" s="426"/>
      <c r="K104" s="426"/>
      <c r="L104" s="426"/>
      <c r="M104" s="426"/>
      <c r="N104" s="426"/>
      <c r="O104" s="426"/>
      <c r="P104" s="434">
        <f t="shared" si="1"/>
        <v>0</v>
      </c>
    </row>
    <row r="105" spans="1:16" ht="28.5" x14ac:dyDescent="0.25">
      <c r="A105" s="455"/>
      <c r="B105" s="433">
        <v>48</v>
      </c>
      <c r="C105" s="418" t="s">
        <v>198</v>
      </c>
      <c r="D105" s="255" t="s">
        <v>34</v>
      </c>
      <c r="E105" s="421"/>
      <c r="F105" s="300"/>
      <c r="G105" s="300"/>
      <c r="H105" s="426"/>
      <c r="I105" s="426"/>
      <c r="J105" s="426"/>
      <c r="K105" s="426"/>
      <c r="L105" s="426"/>
      <c r="M105" s="426"/>
      <c r="N105" s="426"/>
      <c r="O105" s="426"/>
      <c r="P105" s="434">
        <f t="shared" si="1"/>
        <v>0</v>
      </c>
    </row>
    <row r="106" spans="1:16" ht="28.5" x14ac:dyDescent="0.25">
      <c r="A106" s="455"/>
      <c r="B106" s="433">
        <v>49</v>
      </c>
      <c r="C106" s="418" t="s">
        <v>199</v>
      </c>
      <c r="D106" s="255" t="s">
        <v>34</v>
      </c>
      <c r="E106" s="421"/>
      <c r="F106" s="300"/>
      <c r="G106" s="300"/>
      <c r="H106" s="426"/>
      <c r="I106" s="426"/>
      <c r="J106" s="426"/>
      <c r="K106" s="426"/>
      <c r="L106" s="426"/>
      <c r="M106" s="426"/>
      <c r="N106" s="426"/>
      <c r="O106" s="426"/>
      <c r="P106" s="434">
        <f t="shared" si="1"/>
        <v>0</v>
      </c>
    </row>
    <row r="107" spans="1:16" x14ac:dyDescent="0.25">
      <c r="A107" s="455"/>
      <c r="B107" s="435" t="s">
        <v>295</v>
      </c>
      <c r="C107" s="418"/>
      <c r="D107" s="255" t="s">
        <v>254</v>
      </c>
      <c r="E107" s="421"/>
      <c r="F107" s="300"/>
      <c r="G107" s="300"/>
      <c r="H107" s="426"/>
      <c r="I107" s="426"/>
      <c r="J107" s="426"/>
      <c r="K107" s="426"/>
      <c r="L107" s="426"/>
      <c r="M107" s="426"/>
      <c r="N107" s="426"/>
      <c r="O107" s="426"/>
      <c r="P107" s="434"/>
    </row>
    <row r="108" spans="1:16" x14ac:dyDescent="0.25">
      <c r="A108" s="455"/>
      <c r="B108" s="433"/>
      <c r="C108" s="418"/>
      <c r="D108" s="255"/>
      <c r="E108" s="421"/>
      <c r="F108" s="300"/>
      <c r="G108" s="300"/>
      <c r="H108" s="426"/>
      <c r="I108" s="426"/>
      <c r="J108" s="426"/>
      <c r="K108" s="426"/>
      <c r="L108" s="426"/>
      <c r="M108" s="426"/>
      <c r="N108" s="426"/>
      <c r="O108" s="426"/>
      <c r="P108" s="434"/>
    </row>
    <row r="109" spans="1:16" x14ac:dyDescent="0.25">
      <c r="A109" s="455"/>
      <c r="B109" s="433"/>
      <c r="C109" s="418"/>
      <c r="D109" s="255"/>
      <c r="E109" s="421"/>
      <c r="F109" s="300"/>
      <c r="G109" s="300"/>
      <c r="H109" s="426"/>
      <c r="I109" s="426"/>
      <c r="J109" s="426"/>
      <c r="K109" s="426"/>
      <c r="L109" s="426"/>
      <c r="M109" s="426"/>
      <c r="N109" s="426"/>
      <c r="O109" s="426"/>
      <c r="P109" s="434"/>
    </row>
    <row r="110" spans="1:16" x14ac:dyDescent="0.25">
      <c r="A110" s="455"/>
      <c r="B110" s="433"/>
      <c r="C110" s="418"/>
      <c r="D110" s="255"/>
      <c r="E110" s="421"/>
      <c r="F110" s="300"/>
      <c r="G110" s="300"/>
      <c r="H110" s="426"/>
      <c r="I110" s="426"/>
      <c r="J110" s="426"/>
      <c r="K110" s="426"/>
      <c r="L110" s="426"/>
      <c r="M110" s="426"/>
      <c r="N110" s="426"/>
      <c r="O110" s="426"/>
      <c r="P110" s="434"/>
    </row>
    <row r="111" spans="1:16" x14ac:dyDescent="0.25">
      <c r="B111" s="357"/>
      <c r="C111" s="594" t="s">
        <v>222</v>
      </c>
      <c r="D111" s="594"/>
      <c r="E111" s="358"/>
      <c r="F111" s="359"/>
      <c r="G111" s="359"/>
      <c r="H111" s="360">
        <f>SUM(F17*H17,F18*H18,F19*H19,F20*H20,F21*H21,F22*H22,F46*H46,F63*H63,F64*H64,F65*H65,F66*H66)</f>
        <v>0</v>
      </c>
      <c r="I111" s="360">
        <f>SUM(F28*I28,F29*I29,F30*I30,F31*I31,F32*I32,F72*I72,F73*I73,F74*I74,F75*I75,F76*I76,F77*I77,F78*I78,F79*I79,F85*I85,F86*I86,F87*I87)</f>
        <v>0</v>
      </c>
      <c r="J111" s="361"/>
      <c r="K111" s="358"/>
      <c r="L111" s="358"/>
      <c r="M111" s="358"/>
      <c r="N111" s="360"/>
      <c r="O111" s="358"/>
      <c r="P111" s="362">
        <f>SUM(H111:O111)</f>
        <v>0</v>
      </c>
    </row>
    <row r="112" spans="1:16" x14ac:dyDescent="0.25">
      <c r="B112" s="277"/>
      <c r="C112" s="580" t="s">
        <v>261</v>
      </c>
      <c r="D112" s="580"/>
      <c r="E112" s="271"/>
      <c r="F112" s="269"/>
      <c r="G112" s="269"/>
      <c r="H112" s="271"/>
      <c r="I112" s="271"/>
      <c r="J112" s="272">
        <f>SUM(E28*G28*J28,E29*G29*J29,E30*G30*J30,E31*G31,J31*E32*G32*J32,E38*G38*J38,E39*G39*J39,E40*G40*J40)</f>
        <v>0</v>
      </c>
      <c r="K112" s="272">
        <f>SUM(E28*G28*K28,E29*G29*K29,E30*G30*K30,E31*G31*K31,E32*G32*K32,E38*G38*K38,E39*G39*K39,E40*G40*K40)</f>
        <v>0</v>
      </c>
      <c r="L112" s="272"/>
      <c r="M112" s="272"/>
      <c r="N112" s="271"/>
      <c r="O112" s="271"/>
      <c r="P112" s="278">
        <f>SUM(H112:O112)</f>
        <v>0</v>
      </c>
    </row>
    <row r="113" spans="2:16" x14ac:dyDescent="0.25">
      <c r="B113" s="277"/>
      <c r="C113" s="580" t="s">
        <v>262</v>
      </c>
      <c r="D113" s="580"/>
      <c r="E113" s="271"/>
      <c r="F113" s="269"/>
      <c r="G113" s="269"/>
      <c r="H113" s="271"/>
      <c r="I113" s="271"/>
      <c r="J113" s="272">
        <f>J112-(E32*G32*J32)</f>
        <v>0</v>
      </c>
      <c r="K113" s="271">
        <f>K112-(E32*G32*K32)</f>
        <v>0</v>
      </c>
      <c r="L113" s="271"/>
      <c r="M113" s="271"/>
      <c r="N113" s="271"/>
      <c r="O113" s="271"/>
      <c r="P113" s="278"/>
    </row>
    <row r="114" spans="2:16" x14ac:dyDescent="0.25">
      <c r="B114" s="279"/>
      <c r="C114" s="595"/>
      <c r="D114" s="595"/>
      <c r="E114" s="264"/>
      <c r="F114" s="262"/>
      <c r="G114" s="262"/>
      <c r="H114" s="264"/>
      <c r="I114" s="264"/>
      <c r="J114" s="264"/>
      <c r="K114" s="264"/>
      <c r="L114" s="264"/>
      <c r="M114" s="264"/>
      <c r="N114" s="264"/>
      <c r="O114" s="264"/>
      <c r="P114" s="280"/>
    </row>
    <row r="115" spans="2:16" x14ac:dyDescent="0.25">
      <c r="B115" s="279"/>
      <c r="C115" s="263"/>
      <c r="D115" s="264"/>
      <c r="E115" s="264"/>
      <c r="F115" s="262"/>
      <c r="G115" s="262"/>
      <c r="H115" s="264"/>
      <c r="I115" s="264"/>
      <c r="J115" s="264"/>
      <c r="K115" s="264"/>
      <c r="L115" s="264"/>
      <c r="M115" s="264"/>
      <c r="N115" s="264"/>
      <c r="O115" s="264"/>
      <c r="P115" s="280"/>
    </row>
    <row r="116" spans="2:16" x14ac:dyDescent="0.25">
      <c r="B116" s="385"/>
      <c r="C116" s="578" t="s">
        <v>329</v>
      </c>
      <c r="D116" s="578"/>
      <c r="E116" s="255"/>
      <c r="F116" s="266"/>
      <c r="G116" s="255"/>
      <c r="H116" s="267" t="e">
        <f>'3.  Distribution Rates'!#REF!</f>
        <v>#REF!</v>
      </c>
      <c r="I116" s="267" t="e">
        <f>'3.  Distribution Rates'!#REF!</f>
        <v>#REF!</v>
      </c>
      <c r="J116" s="267" t="e">
        <f>'3.  Distribution Rates'!#REF!</f>
        <v>#REF!</v>
      </c>
      <c r="K116" s="267" t="e">
        <f>'3.  Distribution Rates'!#REF!</f>
        <v>#REF!</v>
      </c>
      <c r="L116" s="267" t="e">
        <f>'3.  Distribution Rates'!#REF!</f>
        <v>#REF!</v>
      </c>
      <c r="M116" s="267" t="e">
        <f>'3.  Distribution Rates'!#REF!</f>
        <v>#REF!</v>
      </c>
      <c r="N116" s="267" t="e">
        <f>'3.  Distribution Rates'!#REF!</f>
        <v>#REF!</v>
      </c>
      <c r="O116" s="267"/>
      <c r="P116" s="386"/>
    </row>
    <row r="117" spans="2:16" x14ac:dyDescent="0.25">
      <c r="B117" s="385"/>
      <c r="C117" s="578" t="s">
        <v>297</v>
      </c>
      <c r="D117" s="578"/>
      <c r="E117" s="264"/>
      <c r="F117" s="266"/>
      <c r="G117" s="266"/>
      <c r="H117" s="300"/>
      <c r="I117" s="300"/>
      <c r="J117" s="300"/>
      <c r="K117" s="300"/>
      <c r="L117" s="300"/>
      <c r="M117" s="300"/>
      <c r="N117" s="300"/>
      <c r="O117" s="255"/>
      <c r="P117" s="281">
        <f>SUM(H117:O117)</f>
        <v>0</v>
      </c>
    </row>
    <row r="118" spans="2:16" x14ac:dyDescent="0.25">
      <c r="B118" s="385"/>
      <c r="C118" s="578" t="s">
        <v>298</v>
      </c>
      <c r="D118" s="578"/>
      <c r="E118" s="264"/>
      <c r="F118" s="266"/>
      <c r="G118" s="266"/>
      <c r="H118" s="300"/>
      <c r="I118" s="300"/>
      <c r="J118" s="300"/>
      <c r="K118" s="300"/>
      <c r="L118" s="300"/>
      <c r="M118" s="300"/>
      <c r="N118" s="300"/>
      <c r="O118" s="255"/>
      <c r="P118" s="281">
        <f>SUM(H118:O118)</f>
        <v>0</v>
      </c>
    </row>
    <row r="119" spans="2:16" x14ac:dyDescent="0.25">
      <c r="B119" s="385"/>
      <c r="C119" s="578" t="s">
        <v>299</v>
      </c>
      <c r="D119" s="578"/>
      <c r="E119" s="264"/>
      <c r="F119" s="266"/>
      <c r="G119" s="266"/>
      <c r="H119" s="300"/>
      <c r="I119" s="300"/>
      <c r="J119" s="300"/>
      <c r="K119" s="300"/>
      <c r="L119" s="300"/>
      <c r="M119" s="300"/>
      <c r="N119" s="300"/>
      <c r="O119" s="255"/>
      <c r="P119" s="281">
        <f t="shared" ref="P119" si="2">SUM(H119:O119)</f>
        <v>0</v>
      </c>
    </row>
    <row r="120" spans="2:16" x14ac:dyDescent="0.25">
      <c r="B120" s="385"/>
      <c r="C120" s="578" t="s">
        <v>300</v>
      </c>
      <c r="D120" s="578"/>
      <c r="E120" s="264"/>
      <c r="F120" s="266"/>
      <c r="G120" s="266"/>
      <c r="H120" s="300"/>
      <c r="I120" s="300"/>
      <c r="J120" s="300"/>
      <c r="K120" s="300"/>
      <c r="L120" s="300"/>
      <c r="M120" s="300"/>
      <c r="N120" s="300"/>
      <c r="O120" s="255"/>
      <c r="P120" s="281">
        <f>SUM(H120:O120)</f>
        <v>0</v>
      </c>
    </row>
    <row r="121" spans="2:16" x14ac:dyDescent="0.25">
      <c r="B121" s="385"/>
      <c r="C121" s="578" t="s">
        <v>301</v>
      </c>
      <c r="D121" s="578"/>
      <c r="E121" s="264"/>
      <c r="F121" s="266"/>
      <c r="G121" s="266"/>
      <c r="H121" s="382" t="e">
        <f>'5.  2015 LRAM'!H129*H116</f>
        <v>#REF!</v>
      </c>
      <c r="I121" s="382" t="e">
        <f>'5.  2015 LRAM'!I129*I116</f>
        <v>#REF!</v>
      </c>
      <c r="J121" s="382" t="e">
        <f>'5.  2015 LRAM'!J129*J116</f>
        <v>#REF!</v>
      </c>
      <c r="K121" s="382" t="e">
        <f>'5.  2015 LRAM'!K129*K116</f>
        <v>#REF!</v>
      </c>
      <c r="L121" s="382" t="e">
        <f>'5.  2015 LRAM'!L129*L116</f>
        <v>#REF!</v>
      </c>
      <c r="M121" s="382" t="e">
        <f>'5.  2015 LRAM'!M129*M116</f>
        <v>#REF!</v>
      </c>
      <c r="N121" s="382" t="e">
        <f>'5.  2015 LRAM'!N129*N116</f>
        <v>#REF!</v>
      </c>
      <c r="O121" s="255"/>
      <c r="P121" s="281" t="e">
        <f t="shared" ref="P121:P122" si="3">SUM(H121:O121)</f>
        <v>#REF!</v>
      </c>
    </row>
    <row r="122" spans="2:16" x14ac:dyDescent="0.25">
      <c r="B122" s="385"/>
      <c r="C122" s="578" t="s">
        <v>302</v>
      </c>
      <c r="D122" s="578"/>
      <c r="E122" s="264"/>
      <c r="F122" s="266"/>
      <c r="G122" s="266"/>
      <c r="H122" s="382" t="e">
        <f>'5-b. 2016 LRAM'!H127*H116</f>
        <v>#REF!</v>
      </c>
      <c r="I122" s="382" t="e">
        <f>'5-b. 2016 LRAM'!I127*I116</f>
        <v>#REF!</v>
      </c>
      <c r="J122" s="382" t="e">
        <f>'5-b. 2016 LRAM'!J127*J116</f>
        <v>#REF!</v>
      </c>
      <c r="K122" s="382" t="e">
        <f>'5-b. 2016 LRAM'!K127*K116</f>
        <v>#REF!</v>
      </c>
      <c r="L122" s="382" t="e">
        <f>'5-b. 2016 LRAM'!L127*L116</f>
        <v>#REF!</v>
      </c>
      <c r="M122" s="382" t="e">
        <f>'5-b. 2016 LRAM'!M127*M116</f>
        <v>#REF!</v>
      </c>
      <c r="N122" s="382" t="e">
        <f>'5-b. 2016 LRAM'!N127*N116</f>
        <v>#REF!</v>
      </c>
      <c r="O122" s="255"/>
      <c r="P122" s="281" t="e">
        <f t="shared" si="3"/>
        <v>#REF!</v>
      </c>
    </row>
    <row r="123" spans="2:16" x14ac:dyDescent="0.25">
      <c r="B123" s="385"/>
      <c r="C123" s="578" t="s">
        <v>303</v>
      </c>
      <c r="D123" s="578"/>
      <c r="E123" s="264"/>
      <c r="F123" s="266"/>
      <c r="G123" s="266"/>
      <c r="H123" s="382" t="e">
        <f>'5-c.  2017 LRAM'!H128*H116</f>
        <v>#REF!</v>
      </c>
      <c r="I123" s="382" t="e">
        <f>'5-c.  2017 LRAM'!I128*I116</f>
        <v>#REF!</v>
      </c>
      <c r="J123" s="382" t="e">
        <f>'5-c.  2017 LRAM'!J128*J116</f>
        <v>#REF!</v>
      </c>
      <c r="K123" s="382" t="e">
        <f>'5-c.  2017 LRAM'!K128*K116</f>
        <v>#REF!</v>
      </c>
      <c r="L123" s="382" t="e">
        <f>'5-c.  2017 LRAM'!L128*L116</f>
        <v>#REF!</v>
      </c>
      <c r="M123" s="382" t="e">
        <f>'5-c.  2017 LRAM'!M128*M116</f>
        <v>#REF!</v>
      </c>
      <c r="N123" s="382" t="e">
        <f>'5-c.  2017 LRAM'!N128*N116</f>
        <v>#REF!</v>
      </c>
      <c r="O123" s="255"/>
      <c r="P123" s="281" t="e">
        <f>SUM(H123:O123)</f>
        <v>#REF!</v>
      </c>
    </row>
    <row r="124" spans="2:16" x14ac:dyDescent="0.25">
      <c r="B124" s="385"/>
      <c r="C124" s="578" t="s">
        <v>304</v>
      </c>
      <c r="D124" s="578"/>
      <c r="E124" s="264"/>
      <c r="F124" s="266"/>
      <c r="G124" s="266"/>
      <c r="H124" s="382" t="e">
        <f>'5-d.  2018 LRAM'!H127*H116</f>
        <v>#REF!</v>
      </c>
      <c r="I124" s="382" t="e">
        <f>'5-d.  2018 LRAM'!I127*I116</f>
        <v>#REF!</v>
      </c>
      <c r="J124" s="382" t="e">
        <f>'5-d.  2018 LRAM'!J127*J116</f>
        <v>#REF!</v>
      </c>
      <c r="K124" s="382" t="e">
        <f>'5-d.  2018 LRAM'!K127*K116</f>
        <v>#REF!</v>
      </c>
      <c r="L124" s="382" t="e">
        <f>'5-d.  2018 LRAM'!L127*L116</f>
        <v>#REF!</v>
      </c>
      <c r="M124" s="382" t="e">
        <f>'5-d.  2018 LRAM'!M127*M116</f>
        <v>#REF!</v>
      </c>
      <c r="N124" s="382" t="e">
        <f>'5-d.  2018 LRAM'!N127*N116</f>
        <v>#REF!</v>
      </c>
      <c r="O124" s="255"/>
      <c r="P124" s="281" t="e">
        <f t="shared" ref="P124:P125" si="4">SUM(H124:O124)</f>
        <v>#REF!</v>
      </c>
    </row>
    <row r="125" spans="2:16" x14ac:dyDescent="0.25">
      <c r="B125" s="385"/>
      <c r="C125" s="578" t="s">
        <v>305</v>
      </c>
      <c r="D125" s="578"/>
      <c r="E125" s="264"/>
      <c r="F125" s="266"/>
      <c r="G125" s="266"/>
      <c r="H125" s="382" t="e">
        <f>H111*H116</f>
        <v>#REF!</v>
      </c>
      <c r="I125" s="382" t="e">
        <f>I111*I116</f>
        <v>#REF!</v>
      </c>
      <c r="J125" s="382" t="e">
        <f>J112*J116</f>
        <v>#REF!</v>
      </c>
      <c r="K125" s="382" t="e">
        <f>K112*K116</f>
        <v>#REF!</v>
      </c>
      <c r="L125" s="382" t="e">
        <f>L112*L116</f>
        <v>#REF!</v>
      </c>
      <c r="M125" s="382" t="e">
        <f>M112*M116</f>
        <v>#REF!</v>
      </c>
      <c r="N125" s="382" t="e">
        <f>N111*N116</f>
        <v>#REF!</v>
      </c>
      <c r="O125" s="255"/>
      <c r="P125" s="281" t="e">
        <f t="shared" si="4"/>
        <v>#REF!</v>
      </c>
    </row>
    <row r="126" spans="2:16" x14ac:dyDescent="0.25">
      <c r="B126" s="279"/>
      <c r="C126" s="383" t="s">
        <v>296</v>
      </c>
      <c r="D126" s="264"/>
      <c r="E126" s="264"/>
      <c r="F126" s="262"/>
      <c r="G126" s="262"/>
      <c r="H126" s="268" t="e">
        <f t="shared" ref="H126:N126" si="5">SUM(H117:H125)</f>
        <v>#REF!</v>
      </c>
      <c r="I126" s="268" t="e">
        <f t="shared" si="5"/>
        <v>#REF!</v>
      </c>
      <c r="J126" s="268" t="e">
        <f t="shared" si="5"/>
        <v>#REF!</v>
      </c>
      <c r="K126" s="268" t="e">
        <f t="shared" si="5"/>
        <v>#REF!</v>
      </c>
      <c r="L126" s="268" t="e">
        <f t="shared" si="5"/>
        <v>#REF!</v>
      </c>
      <c r="M126" s="268" t="e">
        <f t="shared" si="5"/>
        <v>#REF!</v>
      </c>
      <c r="N126" s="268" t="e">
        <f t="shared" si="5"/>
        <v>#REF!</v>
      </c>
      <c r="O126" s="264"/>
      <c r="P126" s="282" t="e">
        <f>SUM(P117:P125)</f>
        <v>#REF!</v>
      </c>
    </row>
    <row r="127" spans="2:16" x14ac:dyDescent="0.25">
      <c r="B127" s="279"/>
      <c r="C127" s="383"/>
      <c r="D127" s="264"/>
      <c r="E127" s="264"/>
      <c r="F127" s="262"/>
      <c r="G127" s="262"/>
      <c r="H127" s="268"/>
      <c r="I127" s="268"/>
      <c r="J127" s="268"/>
      <c r="K127" s="268"/>
      <c r="L127" s="268"/>
      <c r="M127" s="268"/>
      <c r="N127" s="268"/>
      <c r="O127" s="264"/>
      <c r="P127" s="282"/>
    </row>
    <row r="128" spans="2:16" x14ac:dyDescent="0.25">
      <c r="B128" s="428"/>
      <c r="C128" s="579" t="s">
        <v>306</v>
      </c>
      <c r="D128" s="579"/>
      <c r="E128" s="429"/>
      <c r="F128" s="334"/>
      <c r="G128" s="334"/>
      <c r="H128" s="408">
        <f>H111*'6.  Persistence Rates'!$I$48</f>
        <v>0</v>
      </c>
      <c r="I128" s="408">
        <f>I111*'6.  Persistence Rates'!$I$48</f>
        <v>0</v>
      </c>
      <c r="J128" s="408">
        <f>J112*'6.  Persistence Rates'!$V$48</f>
        <v>0</v>
      </c>
      <c r="K128" s="408">
        <f>K112*'6.  Persistence Rates'!$V$48</f>
        <v>0</v>
      </c>
      <c r="L128" s="408">
        <f>L112*'6.  Persistence Rates'!$V$48</f>
        <v>0</v>
      </c>
      <c r="M128" s="408">
        <f>M112*'6.  Persistence Rates'!$V$48</f>
        <v>0</v>
      </c>
      <c r="N128" s="408">
        <f>N111*'6.  Persistence Rates'!$I$48</f>
        <v>0</v>
      </c>
      <c r="O128" s="334"/>
      <c r="P128" s="404"/>
    </row>
  </sheetData>
  <mergeCells count="35">
    <mergeCell ref="E4:P4"/>
    <mergeCell ref="E9:F9"/>
    <mergeCell ref="E10:F10"/>
    <mergeCell ref="C13:C14"/>
    <mergeCell ref="B13:B14"/>
    <mergeCell ref="E13:E14"/>
    <mergeCell ref="C113:D113"/>
    <mergeCell ref="B15:P15"/>
    <mergeCell ref="B16:P16"/>
    <mergeCell ref="B62:P62"/>
    <mergeCell ref="B37:P37"/>
    <mergeCell ref="B84:P84"/>
    <mergeCell ref="B51:P51"/>
    <mergeCell ref="C111:D111"/>
    <mergeCell ref="B92:P92"/>
    <mergeCell ref="B71:P71"/>
    <mergeCell ref="B27:P27"/>
    <mergeCell ref="B45:P45"/>
    <mergeCell ref="B60:P60"/>
    <mergeCell ref="B2:P2"/>
    <mergeCell ref="C128:D128"/>
    <mergeCell ref="C125:D125"/>
    <mergeCell ref="D13:D14"/>
    <mergeCell ref="C122:D122"/>
    <mergeCell ref="C123:D123"/>
    <mergeCell ref="C124:D124"/>
    <mergeCell ref="C121:D121"/>
    <mergeCell ref="C116:D116"/>
    <mergeCell ref="C117:D117"/>
    <mergeCell ref="C118:D118"/>
    <mergeCell ref="C119:D119"/>
    <mergeCell ref="C120:D120"/>
    <mergeCell ref="C112:D112"/>
    <mergeCell ref="H13:P13"/>
    <mergeCell ref="C114:D114"/>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7"/>
  <sheetViews>
    <sheetView zoomScale="90" zoomScaleNormal="90" workbookViewId="0">
      <pane ySplit="14" topLeftCell="A15" activePane="bottomLeft" state="frozen"/>
      <selection pane="bottomLeft" activeCell="B13" sqref="B13:B14"/>
    </sheetView>
  </sheetViews>
  <sheetFormatPr defaultRowHeight="15" outlineLevelRow="1" x14ac:dyDescent="0.25"/>
  <cols>
    <col min="1" max="1" width="6.42578125" style="68" customWidth="1"/>
    <col min="2" max="2" width="5.140625" style="68" customWidth="1"/>
    <col min="3" max="3" width="44.28515625" style="444" customWidth="1"/>
    <col min="4" max="4" width="12.28515625" style="445" customWidth="1"/>
    <col min="5" max="5" width="13.28515625" style="445" customWidth="1"/>
    <col min="6" max="7" width="19.42578125" style="68" customWidth="1"/>
    <col min="8" max="14" width="12.7109375" style="68" customWidth="1"/>
    <col min="15" max="15" width="8.140625" style="68" customWidth="1"/>
    <col min="16" max="16" width="11.28515625" style="68" customWidth="1"/>
    <col min="17" max="17" width="13.140625" style="68" customWidth="1"/>
    <col min="18" max="16384" width="9.140625" style="68"/>
  </cols>
  <sheetData>
    <row r="2" spans="1:18" ht="18.75" customHeight="1" x14ac:dyDescent="0.3">
      <c r="B2" s="628" t="s">
        <v>307</v>
      </c>
      <c r="C2" s="628"/>
      <c r="D2" s="628"/>
      <c r="E2" s="628"/>
      <c r="F2" s="628"/>
      <c r="G2" s="628"/>
      <c r="H2" s="628"/>
      <c r="I2" s="628"/>
      <c r="J2" s="628"/>
      <c r="K2" s="628"/>
      <c r="L2" s="628"/>
      <c r="M2" s="628"/>
      <c r="N2" s="628"/>
      <c r="O2" s="628"/>
      <c r="P2" s="628"/>
    </row>
    <row r="3" spans="1:18" ht="18.75" outlineLevel="1" x14ac:dyDescent="0.3">
      <c r="B3" s="447"/>
      <c r="C3" s="447"/>
      <c r="D3" s="447"/>
      <c r="E3" s="447"/>
      <c r="F3" s="447"/>
      <c r="G3" s="447"/>
      <c r="H3" s="447"/>
      <c r="I3" s="447"/>
      <c r="J3" s="447"/>
      <c r="K3" s="447"/>
      <c r="L3" s="447"/>
      <c r="M3" s="447"/>
      <c r="N3" s="447"/>
      <c r="O3" s="447"/>
      <c r="P3" s="447"/>
    </row>
    <row r="4" spans="1:18" ht="35.25" customHeight="1" outlineLevel="1" x14ac:dyDescent="0.3">
      <c r="A4" s="340"/>
      <c r="B4" s="447"/>
      <c r="C4" s="373" t="s">
        <v>401</v>
      </c>
      <c r="D4" s="448"/>
      <c r="E4" s="629" t="s">
        <v>364</v>
      </c>
      <c r="F4" s="629"/>
      <c r="G4" s="629"/>
      <c r="H4" s="629"/>
      <c r="I4" s="629"/>
      <c r="J4" s="629"/>
      <c r="K4" s="629"/>
      <c r="L4" s="629"/>
      <c r="M4" s="629"/>
      <c r="N4" s="629"/>
      <c r="O4" s="629"/>
      <c r="P4" s="629"/>
    </row>
    <row r="5" spans="1:18" ht="18.75" customHeight="1" outlineLevel="1" x14ac:dyDescent="0.3">
      <c r="B5" s="447"/>
      <c r="C5" s="449"/>
      <c r="D5" s="448"/>
      <c r="E5" s="376" t="s">
        <v>358</v>
      </c>
      <c r="F5" s="448"/>
      <c r="G5" s="448"/>
      <c r="H5" s="448"/>
      <c r="I5" s="448"/>
      <c r="J5" s="448"/>
      <c r="K5" s="448"/>
      <c r="L5" s="448"/>
      <c r="M5" s="448"/>
      <c r="N5" s="448"/>
      <c r="O5" s="448"/>
      <c r="P5" s="448"/>
    </row>
    <row r="6" spans="1:18" ht="18.75" customHeight="1" outlineLevel="1" x14ac:dyDescent="0.3">
      <c r="B6" s="447"/>
      <c r="C6" s="449"/>
      <c r="D6" s="448"/>
      <c r="E6" s="376" t="s">
        <v>359</v>
      </c>
      <c r="F6" s="448"/>
      <c r="G6" s="448"/>
      <c r="H6" s="448"/>
      <c r="I6" s="448"/>
      <c r="J6" s="448"/>
      <c r="K6" s="448"/>
      <c r="L6" s="448"/>
      <c r="M6" s="448"/>
      <c r="N6" s="448"/>
      <c r="O6" s="448"/>
      <c r="P6" s="448"/>
    </row>
    <row r="7" spans="1:18" ht="18.75" customHeight="1" outlineLevel="1" x14ac:dyDescent="0.3">
      <c r="B7" s="447"/>
      <c r="C7" s="449"/>
      <c r="D7" s="448"/>
      <c r="E7" s="376" t="s">
        <v>418</v>
      </c>
      <c r="F7" s="448"/>
      <c r="G7" s="448"/>
      <c r="H7" s="448"/>
      <c r="I7" s="448"/>
      <c r="J7" s="448"/>
      <c r="K7" s="448"/>
      <c r="L7" s="448"/>
      <c r="M7" s="448"/>
      <c r="N7" s="448"/>
      <c r="O7" s="448"/>
      <c r="P7" s="448"/>
    </row>
    <row r="8" spans="1:18" ht="18.75" customHeight="1" outlineLevel="1" x14ac:dyDescent="0.3">
      <c r="B8" s="447"/>
      <c r="C8" s="449"/>
      <c r="D8" s="448"/>
      <c r="E8" s="376"/>
      <c r="F8" s="448"/>
      <c r="G8" s="448"/>
      <c r="H8" s="448"/>
      <c r="I8" s="448"/>
      <c r="J8" s="448"/>
      <c r="K8" s="448"/>
      <c r="L8" s="448"/>
      <c r="M8" s="448"/>
      <c r="N8" s="448"/>
      <c r="O8" s="448"/>
      <c r="P8" s="448"/>
    </row>
    <row r="9" spans="1:18" ht="18.75" customHeight="1" outlineLevel="1" x14ac:dyDescent="0.3">
      <c r="B9" s="447"/>
      <c r="C9" s="237" t="s">
        <v>338</v>
      </c>
      <c r="D9" s="447"/>
      <c r="E9" s="238" t="s">
        <v>365</v>
      </c>
      <c r="F9" s="456"/>
      <c r="G9" s="447"/>
      <c r="H9" s="447"/>
      <c r="I9" s="447"/>
      <c r="J9" s="447"/>
      <c r="K9" s="447"/>
      <c r="L9" s="447"/>
      <c r="M9" s="447"/>
      <c r="N9" s="447"/>
      <c r="O9" s="447"/>
      <c r="P9" s="447"/>
      <c r="R9" s="82"/>
    </row>
    <row r="10" spans="1:18" ht="18.75" customHeight="1" outlineLevel="1" x14ac:dyDescent="0.3">
      <c r="B10" s="447"/>
      <c r="C10" s="447"/>
      <c r="D10" s="447"/>
      <c r="E10" s="630" t="s">
        <v>339</v>
      </c>
      <c r="F10" s="630"/>
      <c r="G10" s="447"/>
      <c r="H10" s="447"/>
      <c r="I10" s="447"/>
      <c r="J10" s="447"/>
      <c r="K10" s="447"/>
      <c r="L10" s="447"/>
      <c r="M10" s="447"/>
      <c r="N10" s="447"/>
      <c r="O10" s="447"/>
      <c r="P10" s="447"/>
    </row>
    <row r="11" spans="1:18" x14ac:dyDescent="0.25">
      <c r="A11" s="454"/>
      <c r="C11" s="451"/>
      <c r="D11" s="452"/>
      <c r="E11" s="452"/>
    </row>
    <row r="12" spans="1:18" ht="18.75" x14ac:dyDescent="0.3">
      <c r="B12" s="450" t="s">
        <v>480</v>
      </c>
      <c r="C12" s="447"/>
      <c r="D12" s="447"/>
      <c r="E12" s="447"/>
      <c r="F12" s="447"/>
      <c r="G12" s="447"/>
      <c r="H12" s="447"/>
      <c r="I12" s="447"/>
      <c r="J12" s="447"/>
      <c r="K12" s="447"/>
      <c r="L12" s="447"/>
      <c r="M12" s="447"/>
      <c r="N12" s="447"/>
      <c r="O12" s="447"/>
      <c r="P12" s="447"/>
    </row>
    <row r="13" spans="1:18" ht="45" x14ac:dyDescent="0.25">
      <c r="B13" s="620" t="s">
        <v>59</v>
      </c>
      <c r="C13" s="622" t="s">
        <v>0</v>
      </c>
      <c r="D13" s="622" t="s">
        <v>45</v>
      </c>
      <c r="E13" s="622" t="s">
        <v>206</v>
      </c>
      <c r="F13" s="240" t="s">
        <v>203</v>
      </c>
      <c r="G13" s="240" t="s">
        <v>46</v>
      </c>
      <c r="H13" s="624" t="s">
        <v>60</v>
      </c>
      <c r="I13" s="624"/>
      <c r="J13" s="624"/>
      <c r="K13" s="624"/>
      <c r="L13" s="624"/>
      <c r="M13" s="624"/>
      <c r="N13" s="624"/>
      <c r="O13" s="624"/>
      <c r="P13" s="625"/>
    </row>
    <row r="14" spans="1:18" ht="60" x14ac:dyDescent="0.25">
      <c r="B14" s="621"/>
      <c r="C14" s="623"/>
      <c r="D14" s="623"/>
      <c r="E14" s="623"/>
      <c r="F14" s="442" t="s">
        <v>214</v>
      </c>
      <c r="G14" s="442" t="s">
        <v>215</v>
      </c>
      <c r="H14" s="443" t="s">
        <v>38</v>
      </c>
      <c r="I14" s="443" t="s">
        <v>40</v>
      </c>
      <c r="J14" s="443" t="s">
        <v>109</v>
      </c>
      <c r="K14" s="443" t="s">
        <v>110</v>
      </c>
      <c r="L14" s="443" t="s">
        <v>41</v>
      </c>
      <c r="M14" s="443" t="s">
        <v>42</v>
      </c>
      <c r="N14" s="443" t="s">
        <v>43</v>
      </c>
      <c r="O14" s="443" t="s">
        <v>106</v>
      </c>
      <c r="P14" s="446" t="s">
        <v>35</v>
      </c>
    </row>
    <row r="15" spans="1:18" ht="29.25" customHeight="1" x14ac:dyDescent="0.25">
      <c r="B15" s="608" t="s">
        <v>142</v>
      </c>
      <c r="C15" s="609"/>
      <c r="D15" s="609"/>
      <c r="E15" s="609"/>
      <c r="F15" s="609"/>
      <c r="G15" s="609"/>
      <c r="H15" s="609"/>
      <c r="I15" s="609"/>
      <c r="J15" s="609"/>
      <c r="K15" s="609"/>
      <c r="L15" s="609"/>
      <c r="M15" s="609"/>
      <c r="N15" s="609"/>
      <c r="O15" s="609"/>
      <c r="P15" s="610"/>
    </row>
    <row r="16" spans="1:18" ht="26.25" customHeight="1" x14ac:dyDescent="0.25">
      <c r="A16" s="455"/>
      <c r="B16" s="600" t="s">
        <v>143</v>
      </c>
      <c r="C16" s="601"/>
      <c r="D16" s="601"/>
      <c r="E16" s="601"/>
      <c r="F16" s="601"/>
      <c r="G16" s="601"/>
      <c r="H16" s="601"/>
      <c r="I16" s="601"/>
      <c r="J16" s="601"/>
      <c r="K16" s="601"/>
      <c r="L16" s="601"/>
      <c r="M16" s="601"/>
      <c r="N16" s="601"/>
      <c r="O16" s="601"/>
      <c r="P16" s="602"/>
    </row>
    <row r="17" spans="1:16" x14ac:dyDescent="0.25">
      <c r="A17" s="455"/>
      <c r="B17" s="433">
        <v>1</v>
      </c>
      <c r="C17" s="418" t="s">
        <v>144</v>
      </c>
      <c r="D17" s="255" t="s">
        <v>34</v>
      </c>
      <c r="E17" s="419"/>
      <c r="F17" s="300"/>
      <c r="G17" s="300"/>
      <c r="H17" s="430">
        <v>1</v>
      </c>
      <c r="I17" s="420"/>
      <c r="J17" s="420"/>
      <c r="K17" s="420"/>
      <c r="L17" s="420"/>
      <c r="M17" s="420"/>
      <c r="N17" s="420"/>
      <c r="O17" s="420"/>
      <c r="P17" s="434">
        <f>SUM(H17:O17)</f>
        <v>1</v>
      </c>
    </row>
    <row r="18" spans="1:16" x14ac:dyDescent="0.25">
      <c r="A18" s="40"/>
      <c r="B18" s="433">
        <v>2</v>
      </c>
      <c r="C18" s="418" t="s">
        <v>145</v>
      </c>
      <c r="D18" s="255" t="s">
        <v>34</v>
      </c>
      <c r="E18" s="421"/>
      <c r="F18" s="300"/>
      <c r="G18" s="300"/>
      <c r="H18" s="430">
        <v>1</v>
      </c>
      <c r="I18" s="420"/>
      <c r="J18" s="420"/>
      <c r="K18" s="420"/>
      <c r="L18" s="420"/>
      <c r="M18" s="420"/>
      <c r="N18" s="420"/>
      <c r="O18" s="420"/>
      <c r="P18" s="434">
        <f t="shared" ref="P18:P79" si="0">SUM(H18:O18)</f>
        <v>1</v>
      </c>
    </row>
    <row r="19" spans="1:16" x14ac:dyDescent="0.25">
      <c r="A19" s="455"/>
      <c r="B19" s="433">
        <v>3</v>
      </c>
      <c r="C19" s="418" t="s">
        <v>146</v>
      </c>
      <c r="D19" s="255" t="s">
        <v>34</v>
      </c>
      <c r="E19" s="421"/>
      <c r="F19" s="300"/>
      <c r="G19" s="300"/>
      <c r="H19" s="430">
        <v>1</v>
      </c>
      <c r="I19" s="420"/>
      <c r="J19" s="420"/>
      <c r="K19" s="420"/>
      <c r="L19" s="420"/>
      <c r="M19" s="420"/>
      <c r="N19" s="420"/>
      <c r="O19" s="420"/>
      <c r="P19" s="434">
        <f t="shared" si="0"/>
        <v>1</v>
      </c>
    </row>
    <row r="20" spans="1:16" x14ac:dyDescent="0.25">
      <c r="A20" s="455"/>
      <c r="B20" s="433">
        <v>4</v>
      </c>
      <c r="C20" s="418" t="s">
        <v>147</v>
      </c>
      <c r="D20" s="255" t="s">
        <v>34</v>
      </c>
      <c r="E20" s="421"/>
      <c r="F20" s="300"/>
      <c r="G20" s="300"/>
      <c r="H20" s="430">
        <v>1</v>
      </c>
      <c r="I20" s="420"/>
      <c r="J20" s="420"/>
      <c r="K20" s="420"/>
      <c r="L20" s="420"/>
      <c r="M20" s="420"/>
      <c r="N20" s="420"/>
      <c r="O20" s="420"/>
      <c r="P20" s="434">
        <f t="shared" si="0"/>
        <v>1</v>
      </c>
    </row>
    <row r="21" spans="1:16" x14ac:dyDescent="0.25">
      <c r="A21" s="455"/>
      <c r="B21" s="433">
        <v>5</v>
      </c>
      <c r="C21" s="418" t="s">
        <v>148</v>
      </c>
      <c r="D21" s="255" t="s">
        <v>34</v>
      </c>
      <c r="E21" s="421"/>
      <c r="F21" s="300"/>
      <c r="G21" s="300"/>
      <c r="H21" s="430">
        <v>1</v>
      </c>
      <c r="I21" s="420"/>
      <c r="J21" s="420"/>
      <c r="K21" s="420"/>
      <c r="L21" s="420"/>
      <c r="M21" s="420"/>
      <c r="N21" s="420"/>
      <c r="O21" s="420"/>
      <c r="P21" s="434">
        <f t="shared" si="0"/>
        <v>1</v>
      </c>
    </row>
    <row r="22" spans="1:16" ht="28.5" x14ac:dyDescent="0.25">
      <c r="A22" s="455"/>
      <c r="B22" s="433">
        <v>6</v>
      </c>
      <c r="C22" s="418" t="s">
        <v>149</v>
      </c>
      <c r="D22" s="255" t="s">
        <v>34</v>
      </c>
      <c r="E22" s="421"/>
      <c r="F22" s="300"/>
      <c r="G22" s="300"/>
      <c r="H22" s="430">
        <v>1</v>
      </c>
      <c r="I22" s="420"/>
      <c r="J22" s="420"/>
      <c r="K22" s="420"/>
      <c r="L22" s="420"/>
      <c r="M22" s="420"/>
      <c r="N22" s="420"/>
      <c r="O22" s="420"/>
      <c r="P22" s="434">
        <f t="shared" si="0"/>
        <v>1</v>
      </c>
    </row>
    <row r="23" spans="1:16" x14ac:dyDescent="0.25">
      <c r="A23" s="455"/>
      <c r="B23" s="435" t="s">
        <v>320</v>
      </c>
      <c r="C23" s="418"/>
      <c r="D23" s="255" t="s">
        <v>254</v>
      </c>
      <c r="E23" s="421"/>
      <c r="F23" s="300"/>
      <c r="G23" s="300"/>
      <c r="H23" s="430"/>
      <c r="I23" s="420"/>
      <c r="J23" s="420"/>
      <c r="K23" s="420"/>
      <c r="L23" s="420"/>
      <c r="M23" s="420"/>
      <c r="N23" s="420"/>
      <c r="O23" s="420"/>
      <c r="P23" s="434">
        <f t="shared" si="0"/>
        <v>0</v>
      </c>
    </row>
    <row r="24" spans="1:16" x14ac:dyDescent="0.25">
      <c r="A24" s="455"/>
      <c r="B24" s="433"/>
      <c r="C24" s="418"/>
      <c r="D24" s="255"/>
      <c r="E24" s="421"/>
      <c r="F24" s="300"/>
      <c r="G24" s="300"/>
      <c r="H24" s="430"/>
      <c r="I24" s="420"/>
      <c r="J24" s="420"/>
      <c r="K24" s="420"/>
      <c r="L24" s="420"/>
      <c r="M24" s="420"/>
      <c r="N24" s="420"/>
      <c r="O24" s="420"/>
      <c r="P24" s="434">
        <f t="shared" si="0"/>
        <v>0</v>
      </c>
    </row>
    <row r="25" spans="1:16" x14ac:dyDescent="0.25">
      <c r="A25" s="455"/>
      <c r="B25" s="433"/>
      <c r="C25" s="418"/>
      <c r="D25" s="255"/>
      <c r="E25" s="421"/>
      <c r="F25" s="300"/>
      <c r="G25" s="300"/>
      <c r="H25" s="430"/>
      <c r="I25" s="420"/>
      <c r="J25" s="420"/>
      <c r="K25" s="420"/>
      <c r="L25" s="420"/>
      <c r="M25" s="420"/>
      <c r="N25" s="420"/>
      <c r="O25" s="420"/>
      <c r="P25" s="434">
        <f t="shared" si="0"/>
        <v>0</v>
      </c>
    </row>
    <row r="26" spans="1:16" x14ac:dyDescent="0.25">
      <c r="A26" s="455"/>
      <c r="B26" s="433"/>
      <c r="C26" s="418"/>
      <c r="D26" s="255"/>
      <c r="E26" s="421"/>
      <c r="F26" s="300"/>
      <c r="G26" s="300"/>
      <c r="H26" s="430"/>
      <c r="I26" s="420"/>
      <c r="J26" s="420"/>
      <c r="K26" s="420"/>
      <c r="L26" s="420"/>
      <c r="M26" s="420"/>
      <c r="N26" s="420"/>
      <c r="O26" s="420"/>
      <c r="P26" s="434">
        <f t="shared" si="0"/>
        <v>0</v>
      </c>
    </row>
    <row r="27" spans="1:16" ht="25.5" customHeight="1" x14ac:dyDescent="0.25">
      <c r="A27" s="455"/>
      <c r="B27" s="600" t="s">
        <v>150</v>
      </c>
      <c r="C27" s="601"/>
      <c r="D27" s="601"/>
      <c r="E27" s="601"/>
      <c r="F27" s="601"/>
      <c r="G27" s="601"/>
      <c r="H27" s="601"/>
      <c r="I27" s="601"/>
      <c r="J27" s="601"/>
      <c r="K27" s="601"/>
      <c r="L27" s="601"/>
      <c r="M27" s="601"/>
      <c r="N27" s="601"/>
      <c r="O27" s="601"/>
      <c r="P27" s="602"/>
    </row>
    <row r="28" spans="1:16" x14ac:dyDescent="0.25">
      <c r="A28" s="455"/>
      <c r="B28" s="433">
        <v>7</v>
      </c>
      <c r="C28" s="418" t="s">
        <v>151</v>
      </c>
      <c r="D28" s="255" t="s">
        <v>34</v>
      </c>
      <c r="E28" s="421">
        <v>12</v>
      </c>
      <c r="F28" s="300"/>
      <c r="G28" s="300"/>
      <c r="H28" s="420"/>
      <c r="I28" s="430">
        <v>0.2</v>
      </c>
      <c r="J28" s="430">
        <v>0.5</v>
      </c>
      <c r="K28" s="430">
        <v>0.3</v>
      </c>
      <c r="L28" s="420"/>
      <c r="M28" s="420"/>
      <c r="N28" s="420"/>
      <c r="O28" s="420"/>
      <c r="P28" s="434">
        <f t="shared" si="0"/>
        <v>1</v>
      </c>
    </row>
    <row r="29" spans="1:16" ht="28.5" x14ac:dyDescent="0.25">
      <c r="A29" s="455"/>
      <c r="B29" s="433">
        <v>8</v>
      </c>
      <c r="C29" s="418" t="s">
        <v>152</v>
      </c>
      <c r="D29" s="255" t="s">
        <v>34</v>
      </c>
      <c r="E29" s="421">
        <v>12</v>
      </c>
      <c r="F29" s="300"/>
      <c r="G29" s="300"/>
      <c r="H29" s="420"/>
      <c r="I29" s="430">
        <v>0.8</v>
      </c>
      <c r="J29" s="430">
        <v>0.2</v>
      </c>
      <c r="K29" s="420"/>
      <c r="L29" s="420"/>
      <c r="M29" s="420"/>
      <c r="N29" s="420"/>
      <c r="O29" s="420"/>
      <c r="P29" s="434">
        <f t="shared" si="0"/>
        <v>1</v>
      </c>
    </row>
    <row r="30" spans="1:16" ht="28.5" x14ac:dyDescent="0.25">
      <c r="A30" s="455"/>
      <c r="B30" s="433">
        <v>9</v>
      </c>
      <c r="C30" s="418" t="s">
        <v>153</v>
      </c>
      <c r="D30" s="255" t="s">
        <v>34</v>
      </c>
      <c r="E30" s="421">
        <v>12</v>
      </c>
      <c r="F30" s="300"/>
      <c r="G30" s="300"/>
      <c r="H30" s="420"/>
      <c r="I30" s="430">
        <v>0.5</v>
      </c>
      <c r="J30" s="430">
        <v>0.5</v>
      </c>
      <c r="K30" s="420"/>
      <c r="L30" s="420"/>
      <c r="M30" s="420"/>
      <c r="N30" s="420"/>
      <c r="O30" s="420"/>
      <c r="P30" s="434">
        <f t="shared" si="0"/>
        <v>1</v>
      </c>
    </row>
    <row r="31" spans="1:16" ht="28.5" x14ac:dyDescent="0.25">
      <c r="A31" s="455"/>
      <c r="B31" s="433">
        <v>10</v>
      </c>
      <c r="C31" s="418" t="s">
        <v>154</v>
      </c>
      <c r="D31" s="255" t="s">
        <v>34</v>
      </c>
      <c r="E31" s="421">
        <v>12</v>
      </c>
      <c r="F31" s="300"/>
      <c r="G31" s="300"/>
      <c r="H31" s="420"/>
      <c r="I31" s="430">
        <v>1</v>
      </c>
      <c r="J31" s="420"/>
      <c r="K31" s="420"/>
      <c r="L31" s="420"/>
      <c r="M31" s="420"/>
      <c r="N31" s="420"/>
      <c r="O31" s="420"/>
      <c r="P31" s="434">
        <f t="shared" si="0"/>
        <v>1</v>
      </c>
    </row>
    <row r="32" spans="1:16" ht="28.5" x14ac:dyDescent="0.25">
      <c r="A32" s="455"/>
      <c r="B32" s="433">
        <v>11</v>
      </c>
      <c r="C32" s="418" t="s">
        <v>155</v>
      </c>
      <c r="D32" s="255" t="s">
        <v>34</v>
      </c>
      <c r="E32" s="421">
        <v>3</v>
      </c>
      <c r="F32" s="300"/>
      <c r="G32" s="300"/>
      <c r="H32" s="420"/>
      <c r="I32" s="420"/>
      <c r="J32" s="430">
        <v>1</v>
      </c>
      <c r="K32" s="420"/>
      <c r="L32" s="420"/>
      <c r="M32" s="420"/>
      <c r="N32" s="420"/>
      <c r="O32" s="420"/>
      <c r="P32" s="434">
        <f t="shared" si="0"/>
        <v>1</v>
      </c>
    </row>
    <row r="33" spans="1:16" x14ac:dyDescent="0.25">
      <c r="A33" s="455"/>
      <c r="B33" s="435" t="s">
        <v>320</v>
      </c>
      <c r="C33" s="418"/>
      <c r="D33" s="255" t="s">
        <v>254</v>
      </c>
      <c r="E33" s="421"/>
      <c r="F33" s="300"/>
      <c r="G33" s="300"/>
      <c r="H33" s="420"/>
      <c r="I33" s="420"/>
      <c r="J33" s="420"/>
      <c r="K33" s="420"/>
      <c r="L33" s="420"/>
      <c r="M33" s="420"/>
      <c r="N33" s="420"/>
      <c r="O33" s="420"/>
      <c r="P33" s="434">
        <f t="shared" si="0"/>
        <v>0</v>
      </c>
    </row>
    <row r="34" spans="1:16" x14ac:dyDescent="0.25">
      <c r="A34" s="455"/>
      <c r="B34" s="433"/>
      <c r="C34" s="418"/>
      <c r="D34" s="255"/>
      <c r="E34" s="421"/>
      <c r="F34" s="300"/>
      <c r="G34" s="300"/>
      <c r="H34" s="420"/>
      <c r="I34" s="420"/>
      <c r="J34" s="420"/>
      <c r="K34" s="420"/>
      <c r="L34" s="420"/>
      <c r="M34" s="420"/>
      <c r="N34" s="420"/>
      <c r="O34" s="420"/>
      <c r="P34" s="434">
        <f t="shared" si="0"/>
        <v>0</v>
      </c>
    </row>
    <row r="35" spans="1:16" x14ac:dyDescent="0.25">
      <c r="A35" s="455"/>
      <c r="B35" s="433"/>
      <c r="C35" s="418"/>
      <c r="D35" s="255"/>
      <c r="E35" s="421"/>
      <c r="F35" s="300"/>
      <c r="G35" s="300"/>
      <c r="H35" s="420"/>
      <c r="I35" s="420"/>
      <c r="J35" s="420"/>
      <c r="K35" s="420"/>
      <c r="L35" s="420"/>
      <c r="M35" s="420"/>
      <c r="N35" s="420"/>
      <c r="O35" s="420"/>
      <c r="P35" s="434">
        <f t="shared" si="0"/>
        <v>0</v>
      </c>
    </row>
    <row r="36" spans="1:16" x14ac:dyDescent="0.25">
      <c r="A36" s="455"/>
      <c r="B36" s="433"/>
      <c r="C36" s="418"/>
      <c r="D36" s="255"/>
      <c r="E36" s="421"/>
      <c r="F36" s="300"/>
      <c r="G36" s="300"/>
      <c r="H36" s="420"/>
      <c r="I36" s="420"/>
      <c r="J36" s="420"/>
      <c r="K36" s="420"/>
      <c r="L36" s="420"/>
      <c r="M36" s="420"/>
      <c r="N36" s="420"/>
      <c r="O36" s="420"/>
      <c r="P36" s="434">
        <f t="shared" si="0"/>
        <v>0</v>
      </c>
    </row>
    <row r="37" spans="1:16" ht="26.25" customHeight="1" x14ac:dyDescent="0.25">
      <c r="A37" s="455"/>
      <c r="B37" s="600" t="s">
        <v>11</v>
      </c>
      <c r="C37" s="601"/>
      <c r="D37" s="601"/>
      <c r="E37" s="601"/>
      <c r="F37" s="601"/>
      <c r="G37" s="601"/>
      <c r="H37" s="601"/>
      <c r="I37" s="601"/>
      <c r="J37" s="601"/>
      <c r="K37" s="601"/>
      <c r="L37" s="601"/>
      <c r="M37" s="601"/>
      <c r="N37" s="601"/>
      <c r="O37" s="601"/>
      <c r="P37" s="602"/>
    </row>
    <row r="38" spans="1:16" ht="28.5" x14ac:dyDescent="0.25">
      <c r="A38" s="455"/>
      <c r="B38" s="433">
        <v>12</v>
      </c>
      <c r="C38" s="418" t="s">
        <v>156</v>
      </c>
      <c r="D38" s="255" t="s">
        <v>34</v>
      </c>
      <c r="E38" s="421">
        <v>12</v>
      </c>
      <c r="F38" s="300"/>
      <c r="G38" s="300"/>
      <c r="H38" s="420"/>
      <c r="I38" s="420"/>
      <c r="J38" s="430">
        <v>1</v>
      </c>
      <c r="K38" s="420"/>
      <c r="L38" s="420"/>
      <c r="M38" s="420"/>
      <c r="N38" s="420"/>
      <c r="O38" s="420"/>
      <c r="P38" s="434">
        <f t="shared" si="0"/>
        <v>1</v>
      </c>
    </row>
    <row r="39" spans="1:16" ht="28.5" x14ac:dyDescent="0.25">
      <c r="A39" s="455"/>
      <c r="B39" s="433">
        <v>13</v>
      </c>
      <c r="C39" s="418" t="s">
        <v>157</v>
      </c>
      <c r="D39" s="255" t="s">
        <v>34</v>
      </c>
      <c r="E39" s="421">
        <v>12</v>
      </c>
      <c r="F39" s="300"/>
      <c r="G39" s="300"/>
      <c r="H39" s="420"/>
      <c r="I39" s="420"/>
      <c r="J39" s="430">
        <v>1</v>
      </c>
      <c r="K39" s="420"/>
      <c r="L39" s="420"/>
      <c r="M39" s="420"/>
      <c r="N39" s="420"/>
      <c r="O39" s="420"/>
      <c r="P39" s="434">
        <f t="shared" si="0"/>
        <v>1</v>
      </c>
    </row>
    <row r="40" spans="1:16" ht="28.5" x14ac:dyDescent="0.25">
      <c r="A40" s="455"/>
      <c r="B40" s="433">
        <v>14</v>
      </c>
      <c r="C40" s="418" t="s">
        <v>158</v>
      </c>
      <c r="D40" s="255" t="s">
        <v>34</v>
      </c>
      <c r="E40" s="421">
        <v>12</v>
      </c>
      <c r="F40" s="300"/>
      <c r="G40" s="300"/>
      <c r="H40" s="420"/>
      <c r="I40" s="420"/>
      <c r="J40" s="430">
        <v>1</v>
      </c>
      <c r="K40" s="420"/>
      <c r="L40" s="420"/>
      <c r="M40" s="420"/>
      <c r="N40" s="420"/>
      <c r="O40" s="420"/>
      <c r="P40" s="434">
        <f t="shared" si="0"/>
        <v>1</v>
      </c>
    </row>
    <row r="41" spans="1:16" x14ac:dyDescent="0.25">
      <c r="A41" s="455"/>
      <c r="B41" s="435" t="s">
        <v>320</v>
      </c>
      <c r="C41" s="418"/>
      <c r="D41" s="255" t="s">
        <v>254</v>
      </c>
      <c r="E41" s="421"/>
      <c r="F41" s="300"/>
      <c r="G41" s="300"/>
      <c r="H41" s="420"/>
      <c r="I41" s="420"/>
      <c r="J41" s="420"/>
      <c r="K41" s="420"/>
      <c r="L41" s="420"/>
      <c r="M41" s="420"/>
      <c r="N41" s="420"/>
      <c r="O41" s="420"/>
      <c r="P41" s="434">
        <f t="shared" si="0"/>
        <v>0</v>
      </c>
    </row>
    <row r="42" spans="1:16" x14ac:dyDescent="0.25">
      <c r="A42" s="455"/>
      <c r="B42" s="433"/>
      <c r="C42" s="418"/>
      <c r="D42" s="255"/>
      <c r="E42" s="421"/>
      <c r="F42" s="300"/>
      <c r="G42" s="300"/>
      <c r="H42" s="420"/>
      <c r="I42" s="420"/>
      <c r="J42" s="420"/>
      <c r="K42" s="420"/>
      <c r="L42" s="420"/>
      <c r="M42" s="420"/>
      <c r="N42" s="420"/>
      <c r="O42" s="420"/>
      <c r="P42" s="434">
        <f t="shared" si="0"/>
        <v>0</v>
      </c>
    </row>
    <row r="43" spans="1:16" x14ac:dyDescent="0.25">
      <c r="A43" s="455"/>
      <c r="B43" s="433"/>
      <c r="C43" s="418"/>
      <c r="D43" s="255"/>
      <c r="E43" s="421"/>
      <c r="F43" s="300"/>
      <c r="G43" s="300"/>
      <c r="H43" s="420"/>
      <c r="I43" s="420"/>
      <c r="J43" s="420"/>
      <c r="K43" s="420"/>
      <c r="L43" s="420"/>
      <c r="M43" s="420"/>
      <c r="N43" s="420"/>
      <c r="O43" s="420"/>
      <c r="P43" s="434">
        <f t="shared" si="0"/>
        <v>0</v>
      </c>
    </row>
    <row r="44" spans="1:16" x14ac:dyDescent="0.25">
      <c r="A44" s="455"/>
      <c r="B44" s="433"/>
      <c r="C44" s="418"/>
      <c r="D44" s="255"/>
      <c r="E44" s="421"/>
      <c r="F44" s="300"/>
      <c r="G44" s="300"/>
      <c r="H44" s="420"/>
      <c r="I44" s="420"/>
      <c r="J44" s="420"/>
      <c r="K44" s="420"/>
      <c r="L44" s="420"/>
      <c r="M44" s="420"/>
      <c r="N44" s="420"/>
      <c r="O44" s="420"/>
      <c r="P44" s="434">
        <f t="shared" si="0"/>
        <v>0</v>
      </c>
    </row>
    <row r="45" spans="1:16" ht="24" customHeight="1" x14ac:dyDescent="0.25">
      <c r="A45" s="455"/>
      <c r="B45" s="600" t="s">
        <v>159</v>
      </c>
      <c r="C45" s="601"/>
      <c r="D45" s="601"/>
      <c r="E45" s="601"/>
      <c r="F45" s="601"/>
      <c r="G45" s="601"/>
      <c r="H45" s="601"/>
      <c r="I45" s="601"/>
      <c r="J45" s="601"/>
      <c r="K45" s="601"/>
      <c r="L45" s="601"/>
      <c r="M45" s="601"/>
      <c r="N45" s="601"/>
      <c r="O45" s="601"/>
      <c r="P45" s="602"/>
    </row>
    <row r="46" spans="1:16" x14ac:dyDescent="0.25">
      <c r="A46" s="455"/>
      <c r="B46" s="433">
        <v>15</v>
      </c>
      <c r="C46" s="418" t="s">
        <v>160</v>
      </c>
      <c r="D46" s="255" t="s">
        <v>34</v>
      </c>
      <c r="E46" s="421"/>
      <c r="F46" s="300"/>
      <c r="G46" s="300"/>
      <c r="H46" s="430">
        <v>1</v>
      </c>
      <c r="I46" s="420"/>
      <c r="J46" s="420"/>
      <c r="K46" s="420"/>
      <c r="L46" s="420"/>
      <c r="M46" s="420"/>
      <c r="N46" s="420"/>
      <c r="O46" s="420"/>
      <c r="P46" s="434">
        <f t="shared" si="0"/>
        <v>1</v>
      </c>
    </row>
    <row r="47" spans="1:16" x14ac:dyDescent="0.25">
      <c r="A47" s="455"/>
      <c r="B47" s="435" t="s">
        <v>320</v>
      </c>
      <c r="C47" s="418"/>
      <c r="D47" s="255" t="s">
        <v>254</v>
      </c>
      <c r="E47" s="421"/>
      <c r="F47" s="300"/>
      <c r="G47" s="300"/>
      <c r="H47" s="430"/>
      <c r="I47" s="420"/>
      <c r="J47" s="420"/>
      <c r="K47" s="420"/>
      <c r="L47" s="420"/>
      <c r="M47" s="420"/>
      <c r="N47" s="420"/>
      <c r="O47" s="420"/>
      <c r="P47" s="434">
        <f t="shared" si="0"/>
        <v>0</v>
      </c>
    </row>
    <row r="48" spans="1:16" x14ac:dyDescent="0.25">
      <c r="A48" s="455"/>
      <c r="B48" s="433"/>
      <c r="C48" s="418"/>
      <c r="D48" s="255"/>
      <c r="E48" s="421"/>
      <c r="F48" s="300"/>
      <c r="G48" s="300"/>
      <c r="H48" s="430"/>
      <c r="I48" s="420"/>
      <c r="J48" s="420"/>
      <c r="K48" s="420"/>
      <c r="L48" s="420"/>
      <c r="M48" s="420"/>
      <c r="N48" s="420"/>
      <c r="O48" s="420"/>
      <c r="P48" s="434">
        <f t="shared" si="0"/>
        <v>0</v>
      </c>
    </row>
    <row r="49" spans="1:16" x14ac:dyDescent="0.25">
      <c r="A49" s="455"/>
      <c r="B49" s="433"/>
      <c r="C49" s="418"/>
      <c r="D49" s="255"/>
      <c r="E49" s="421"/>
      <c r="F49" s="300"/>
      <c r="G49" s="300"/>
      <c r="H49" s="430"/>
      <c r="I49" s="420"/>
      <c r="J49" s="420"/>
      <c r="K49" s="420"/>
      <c r="L49" s="420"/>
      <c r="M49" s="420"/>
      <c r="N49" s="420"/>
      <c r="O49" s="420"/>
      <c r="P49" s="434"/>
    </row>
    <row r="50" spans="1:16" x14ac:dyDescent="0.25">
      <c r="A50" s="455"/>
      <c r="B50" s="433"/>
      <c r="C50" s="418"/>
      <c r="D50" s="255"/>
      <c r="E50" s="421"/>
      <c r="F50" s="300"/>
      <c r="G50" s="300"/>
      <c r="H50" s="430"/>
      <c r="I50" s="420"/>
      <c r="J50" s="420"/>
      <c r="K50" s="420"/>
      <c r="L50" s="420"/>
      <c r="M50" s="420"/>
      <c r="N50" s="420"/>
      <c r="O50" s="420"/>
      <c r="P50" s="434">
        <f t="shared" si="0"/>
        <v>0</v>
      </c>
    </row>
    <row r="51" spans="1:16" ht="21" customHeight="1" x14ac:dyDescent="0.25">
      <c r="A51" s="454"/>
      <c r="B51" s="600" t="s">
        <v>161</v>
      </c>
      <c r="C51" s="601"/>
      <c r="D51" s="601"/>
      <c r="E51" s="601"/>
      <c r="F51" s="601"/>
      <c r="G51" s="601"/>
      <c r="H51" s="601"/>
      <c r="I51" s="601"/>
      <c r="J51" s="601"/>
      <c r="K51" s="601"/>
      <c r="L51" s="601"/>
      <c r="M51" s="601"/>
      <c r="N51" s="601"/>
      <c r="O51" s="601"/>
      <c r="P51" s="602"/>
    </row>
    <row r="52" spans="1:16" x14ac:dyDescent="0.25">
      <c r="A52" s="455"/>
      <c r="B52" s="433">
        <v>16</v>
      </c>
      <c r="C52" s="418" t="s">
        <v>162</v>
      </c>
      <c r="D52" s="255" t="s">
        <v>34</v>
      </c>
      <c r="E52" s="421"/>
      <c r="F52" s="300"/>
      <c r="G52" s="300"/>
      <c r="H52" s="420"/>
      <c r="I52" s="420"/>
      <c r="J52" s="420"/>
      <c r="K52" s="420"/>
      <c r="L52" s="420"/>
      <c r="M52" s="420"/>
      <c r="N52" s="420"/>
      <c r="O52" s="420"/>
      <c r="P52" s="434">
        <f t="shared" si="0"/>
        <v>0</v>
      </c>
    </row>
    <row r="53" spans="1:16" x14ac:dyDescent="0.25">
      <c r="A53" s="455"/>
      <c r="B53" s="433">
        <v>17</v>
      </c>
      <c r="C53" s="418" t="s">
        <v>163</v>
      </c>
      <c r="D53" s="255" t="s">
        <v>34</v>
      </c>
      <c r="E53" s="421"/>
      <c r="F53" s="300"/>
      <c r="G53" s="300"/>
      <c r="H53" s="420"/>
      <c r="I53" s="420"/>
      <c r="J53" s="420"/>
      <c r="K53" s="420"/>
      <c r="L53" s="420"/>
      <c r="M53" s="420"/>
      <c r="N53" s="420"/>
      <c r="O53" s="420"/>
      <c r="P53" s="434">
        <f t="shared" si="0"/>
        <v>0</v>
      </c>
    </row>
    <row r="54" spans="1:16" x14ac:dyDescent="0.25">
      <c r="A54" s="455"/>
      <c r="B54" s="433">
        <v>18</v>
      </c>
      <c r="C54" s="418" t="s">
        <v>164</v>
      </c>
      <c r="D54" s="255" t="s">
        <v>34</v>
      </c>
      <c r="E54" s="421"/>
      <c r="F54" s="300"/>
      <c r="G54" s="300"/>
      <c r="H54" s="420"/>
      <c r="I54" s="420"/>
      <c r="J54" s="420"/>
      <c r="K54" s="420"/>
      <c r="L54" s="420"/>
      <c r="M54" s="420"/>
      <c r="N54" s="420"/>
      <c r="O54" s="420"/>
      <c r="P54" s="434">
        <f t="shared" si="0"/>
        <v>0</v>
      </c>
    </row>
    <row r="55" spans="1:16" x14ac:dyDescent="0.25">
      <c r="A55" s="455"/>
      <c r="B55" s="433">
        <v>19</v>
      </c>
      <c r="C55" s="418" t="s">
        <v>165</v>
      </c>
      <c r="D55" s="255" t="s">
        <v>34</v>
      </c>
      <c r="E55" s="421"/>
      <c r="F55" s="300"/>
      <c r="G55" s="300"/>
      <c r="H55" s="420"/>
      <c r="I55" s="420"/>
      <c r="J55" s="420"/>
      <c r="K55" s="420"/>
      <c r="L55" s="420"/>
      <c r="M55" s="420"/>
      <c r="N55" s="420"/>
      <c r="O55" s="420"/>
      <c r="P55" s="434">
        <f t="shared" si="0"/>
        <v>0</v>
      </c>
    </row>
    <row r="56" spans="1:16" x14ac:dyDescent="0.25">
      <c r="A56" s="455"/>
      <c r="B56" s="435" t="s">
        <v>320</v>
      </c>
      <c r="C56" s="418"/>
      <c r="D56" s="255" t="s">
        <v>254</v>
      </c>
      <c r="E56" s="421"/>
      <c r="F56" s="300"/>
      <c r="G56" s="300"/>
      <c r="H56" s="420"/>
      <c r="I56" s="420"/>
      <c r="J56" s="420"/>
      <c r="K56" s="420"/>
      <c r="L56" s="420"/>
      <c r="M56" s="420"/>
      <c r="N56" s="420"/>
      <c r="O56" s="420"/>
      <c r="P56" s="434">
        <f t="shared" si="0"/>
        <v>0</v>
      </c>
    </row>
    <row r="57" spans="1:16" x14ac:dyDescent="0.25">
      <c r="A57" s="455"/>
      <c r="B57" s="435"/>
      <c r="C57" s="418"/>
      <c r="D57" s="255"/>
      <c r="E57" s="421"/>
      <c r="F57" s="300"/>
      <c r="G57" s="300"/>
      <c r="H57" s="420"/>
      <c r="I57" s="420"/>
      <c r="J57" s="420"/>
      <c r="K57" s="420"/>
      <c r="L57" s="420"/>
      <c r="M57" s="420"/>
      <c r="N57" s="420"/>
      <c r="O57" s="420"/>
      <c r="P57" s="434"/>
    </row>
    <row r="58" spans="1:16" x14ac:dyDescent="0.25">
      <c r="A58" s="455"/>
      <c r="B58" s="435"/>
      <c r="C58" s="418"/>
      <c r="D58" s="255"/>
      <c r="E58" s="421"/>
      <c r="F58" s="300"/>
      <c r="G58" s="300"/>
      <c r="H58" s="420"/>
      <c r="I58" s="420"/>
      <c r="J58" s="420"/>
      <c r="K58" s="420"/>
      <c r="L58" s="420"/>
      <c r="M58" s="420"/>
      <c r="N58" s="420"/>
      <c r="O58" s="420"/>
      <c r="P58" s="434"/>
    </row>
    <row r="59" spans="1:16" x14ac:dyDescent="0.25">
      <c r="A59" s="454"/>
      <c r="B59" s="436"/>
      <c r="C59" s="422"/>
      <c r="D59" s="423"/>
      <c r="E59" s="423"/>
      <c r="F59" s="300"/>
      <c r="G59" s="300"/>
      <c r="H59" s="424"/>
      <c r="I59" s="424"/>
      <c r="J59" s="424"/>
      <c r="K59" s="424"/>
      <c r="L59" s="424"/>
      <c r="M59" s="424"/>
      <c r="N59" s="424"/>
      <c r="O59" s="424"/>
      <c r="P59" s="434"/>
    </row>
    <row r="60" spans="1:16" ht="27" customHeight="1" x14ac:dyDescent="0.25">
      <c r="B60" s="608" t="s">
        <v>166</v>
      </c>
      <c r="C60" s="609"/>
      <c r="D60" s="609"/>
      <c r="E60" s="609"/>
      <c r="F60" s="609"/>
      <c r="G60" s="609"/>
      <c r="H60" s="609"/>
      <c r="I60" s="609"/>
      <c r="J60" s="609"/>
      <c r="K60" s="609"/>
      <c r="L60" s="609"/>
      <c r="M60" s="609"/>
      <c r="N60" s="609"/>
      <c r="O60" s="609"/>
      <c r="P60" s="610"/>
    </row>
    <row r="61" spans="1:16" ht="16.5" x14ac:dyDescent="0.25">
      <c r="B61" s="437"/>
      <c r="C61" s="418"/>
      <c r="D61" s="421"/>
      <c r="E61" s="421"/>
      <c r="F61" s="417"/>
      <c r="G61" s="417"/>
      <c r="H61" s="417"/>
      <c r="I61" s="417"/>
      <c r="J61" s="417"/>
      <c r="K61" s="417"/>
      <c r="L61" s="417"/>
      <c r="M61" s="417"/>
      <c r="N61" s="417"/>
      <c r="O61" s="417"/>
      <c r="P61" s="438"/>
    </row>
    <row r="62" spans="1:16" ht="25.5" customHeight="1" x14ac:dyDescent="0.25">
      <c r="A62" s="455"/>
      <c r="B62" s="603" t="s">
        <v>167</v>
      </c>
      <c r="C62" s="593"/>
      <c r="D62" s="593"/>
      <c r="E62" s="593"/>
      <c r="F62" s="593"/>
      <c r="G62" s="593"/>
      <c r="H62" s="593"/>
      <c r="I62" s="593"/>
      <c r="J62" s="593"/>
      <c r="K62" s="593"/>
      <c r="L62" s="593"/>
      <c r="M62" s="593"/>
      <c r="N62" s="593"/>
      <c r="O62" s="593"/>
      <c r="P62" s="604"/>
    </row>
    <row r="63" spans="1:16" x14ac:dyDescent="0.25">
      <c r="A63" s="455"/>
      <c r="B63" s="433">
        <v>21</v>
      </c>
      <c r="C63" s="418" t="s">
        <v>168</v>
      </c>
      <c r="D63" s="255" t="s">
        <v>34</v>
      </c>
      <c r="E63" s="421"/>
      <c r="F63" s="300"/>
      <c r="G63" s="300"/>
      <c r="H63" s="430">
        <v>1</v>
      </c>
      <c r="I63" s="420"/>
      <c r="J63" s="420"/>
      <c r="K63" s="420"/>
      <c r="L63" s="420"/>
      <c r="M63" s="420"/>
      <c r="N63" s="420"/>
      <c r="O63" s="420"/>
      <c r="P63" s="434">
        <f t="shared" si="0"/>
        <v>1</v>
      </c>
    </row>
    <row r="64" spans="1:16" ht="28.5" x14ac:dyDescent="0.25">
      <c r="A64" s="455"/>
      <c r="B64" s="433">
        <v>22</v>
      </c>
      <c r="C64" s="418" t="s">
        <v>169</v>
      </c>
      <c r="D64" s="255" t="s">
        <v>34</v>
      </c>
      <c r="E64" s="421"/>
      <c r="F64" s="300"/>
      <c r="G64" s="300"/>
      <c r="H64" s="430">
        <v>1</v>
      </c>
      <c r="I64" s="420"/>
      <c r="J64" s="420"/>
      <c r="K64" s="420"/>
      <c r="L64" s="420"/>
      <c r="M64" s="420"/>
      <c r="N64" s="420"/>
      <c r="O64" s="420"/>
      <c r="P64" s="434">
        <f t="shared" si="0"/>
        <v>1</v>
      </c>
    </row>
    <row r="65" spans="1:16" x14ac:dyDescent="0.25">
      <c r="A65" s="455"/>
      <c r="B65" s="433">
        <v>23</v>
      </c>
      <c r="C65" s="418" t="s">
        <v>170</v>
      </c>
      <c r="D65" s="255" t="s">
        <v>34</v>
      </c>
      <c r="E65" s="421"/>
      <c r="F65" s="300"/>
      <c r="G65" s="300"/>
      <c r="H65" s="430">
        <v>1</v>
      </c>
      <c r="I65" s="420"/>
      <c r="J65" s="420"/>
      <c r="K65" s="420"/>
      <c r="L65" s="420"/>
      <c r="M65" s="420"/>
      <c r="N65" s="420"/>
      <c r="O65" s="420"/>
      <c r="P65" s="434">
        <f t="shared" si="0"/>
        <v>1</v>
      </c>
    </row>
    <row r="66" spans="1:16" x14ac:dyDescent="0.25">
      <c r="A66" s="455"/>
      <c r="B66" s="433">
        <v>24</v>
      </c>
      <c r="C66" s="418" t="s">
        <v>171</v>
      </c>
      <c r="D66" s="255" t="s">
        <v>34</v>
      </c>
      <c r="E66" s="421"/>
      <c r="F66" s="300"/>
      <c r="G66" s="300"/>
      <c r="H66" s="430">
        <v>1</v>
      </c>
      <c r="I66" s="420"/>
      <c r="J66" s="420"/>
      <c r="K66" s="420"/>
      <c r="L66" s="420"/>
      <c r="M66" s="420"/>
      <c r="N66" s="420"/>
      <c r="O66" s="420"/>
      <c r="P66" s="434">
        <f t="shared" si="0"/>
        <v>1</v>
      </c>
    </row>
    <row r="67" spans="1:16" x14ac:dyDescent="0.25">
      <c r="A67" s="455"/>
      <c r="B67" s="435" t="s">
        <v>320</v>
      </c>
      <c r="C67" s="418"/>
      <c r="D67" s="255" t="s">
        <v>254</v>
      </c>
      <c r="E67" s="421"/>
      <c r="F67" s="300"/>
      <c r="G67" s="300"/>
      <c r="H67" s="430"/>
      <c r="I67" s="420"/>
      <c r="J67" s="420"/>
      <c r="K67" s="420"/>
      <c r="L67" s="420"/>
      <c r="M67" s="420"/>
      <c r="N67" s="420"/>
      <c r="O67" s="420"/>
      <c r="P67" s="434"/>
    </row>
    <row r="68" spans="1:16" x14ac:dyDescent="0.25">
      <c r="A68" s="455"/>
      <c r="B68" s="433"/>
      <c r="C68" s="418"/>
      <c r="D68" s="255"/>
      <c r="E68" s="421"/>
      <c r="F68" s="300"/>
      <c r="G68" s="300"/>
      <c r="H68" s="430"/>
      <c r="I68" s="420"/>
      <c r="J68" s="420"/>
      <c r="K68" s="420"/>
      <c r="L68" s="420"/>
      <c r="M68" s="420"/>
      <c r="N68" s="420"/>
      <c r="O68" s="420"/>
      <c r="P68" s="434"/>
    </row>
    <row r="69" spans="1:16" x14ac:dyDescent="0.25">
      <c r="A69" s="455"/>
      <c r="B69" s="433"/>
      <c r="C69" s="418"/>
      <c r="D69" s="255"/>
      <c r="E69" s="421"/>
      <c r="F69" s="300"/>
      <c r="G69" s="300"/>
      <c r="H69" s="430"/>
      <c r="I69" s="420"/>
      <c r="J69" s="420"/>
      <c r="K69" s="420"/>
      <c r="L69" s="420"/>
      <c r="M69" s="420"/>
      <c r="N69" s="420"/>
      <c r="O69" s="420"/>
      <c r="P69" s="434"/>
    </row>
    <row r="70" spans="1:16" x14ac:dyDescent="0.25">
      <c r="A70" s="455"/>
      <c r="B70" s="433"/>
      <c r="C70" s="418"/>
      <c r="D70" s="255"/>
      <c r="E70" s="421"/>
      <c r="F70" s="300"/>
      <c r="G70" s="300"/>
      <c r="H70" s="420"/>
      <c r="I70" s="420"/>
      <c r="J70" s="420"/>
      <c r="K70" s="420"/>
      <c r="L70" s="420"/>
      <c r="M70" s="420"/>
      <c r="N70" s="420"/>
      <c r="O70" s="420"/>
      <c r="P70" s="434">
        <f t="shared" si="0"/>
        <v>0</v>
      </c>
    </row>
    <row r="71" spans="1:16" ht="28.5" customHeight="1" x14ac:dyDescent="0.25">
      <c r="A71" s="455"/>
      <c r="B71" s="603" t="s">
        <v>172</v>
      </c>
      <c r="C71" s="593"/>
      <c r="D71" s="593"/>
      <c r="E71" s="593"/>
      <c r="F71" s="593"/>
      <c r="G71" s="593"/>
      <c r="H71" s="593"/>
      <c r="I71" s="593"/>
      <c r="J71" s="593"/>
      <c r="K71" s="593"/>
      <c r="L71" s="593"/>
      <c r="M71" s="593"/>
      <c r="N71" s="593"/>
      <c r="O71" s="593"/>
      <c r="P71" s="604"/>
    </row>
    <row r="72" spans="1:16" x14ac:dyDescent="0.25">
      <c r="A72" s="455"/>
      <c r="B72" s="433">
        <v>25</v>
      </c>
      <c r="C72" s="418" t="s">
        <v>173</v>
      </c>
      <c r="D72" s="255" t="s">
        <v>34</v>
      </c>
      <c r="E72" s="421"/>
      <c r="F72" s="300"/>
      <c r="G72" s="300"/>
      <c r="H72" s="420"/>
      <c r="I72" s="430">
        <v>1</v>
      </c>
      <c r="J72" s="420"/>
      <c r="K72" s="420"/>
      <c r="L72" s="420"/>
      <c r="M72" s="420"/>
      <c r="N72" s="420"/>
      <c r="O72" s="420"/>
      <c r="P72" s="434">
        <f t="shared" si="0"/>
        <v>1</v>
      </c>
    </row>
    <row r="73" spans="1:16" x14ac:dyDescent="0.25">
      <c r="A73" s="455"/>
      <c r="B73" s="433">
        <v>26</v>
      </c>
      <c r="C73" s="418" t="s">
        <v>174</v>
      </c>
      <c r="D73" s="255" t="s">
        <v>34</v>
      </c>
      <c r="E73" s="421"/>
      <c r="F73" s="300"/>
      <c r="G73" s="300"/>
      <c r="H73" s="420"/>
      <c r="I73" s="430">
        <v>1</v>
      </c>
      <c r="J73" s="420"/>
      <c r="K73" s="420"/>
      <c r="L73" s="420"/>
      <c r="M73" s="420"/>
      <c r="N73" s="420"/>
      <c r="O73" s="420"/>
      <c r="P73" s="434">
        <f t="shared" si="0"/>
        <v>1</v>
      </c>
    </row>
    <row r="74" spans="1:16" ht="28.5" x14ac:dyDescent="0.25">
      <c r="A74" s="455"/>
      <c r="B74" s="433">
        <v>27</v>
      </c>
      <c r="C74" s="418" t="s">
        <v>175</v>
      </c>
      <c r="D74" s="255" t="s">
        <v>34</v>
      </c>
      <c r="E74" s="421"/>
      <c r="F74" s="300"/>
      <c r="G74" s="300"/>
      <c r="H74" s="420"/>
      <c r="I74" s="430">
        <v>0.8</v>
      </c>
      <c r="J74" s="430">
        <v>0.2</v>
      </c>
      <c r="K74" s="420"/>
      <c r="L74" s="420"/>
      <c r="M74" s="420"/>
      <c r="N74" s="420"/>
      <c r="O74" s="420"/>
      <c r="P74" s="434">
        <f t="shared" si="0"/>
        <v>1</v>
      </c>
    </row>
    <row r="75" spans="1:16" ht="28.5" x14ac:dyDescent="0.25">
      <c r="A75" s="455"/>
      <c r="B75" s="433">
        <v>28</v>
      </c>
      <c r="C75" s="418" t="s">
        <v>176</v>
      </c>
      <c r="D75" s="255" t="s">
        <v>34</v>
      </c>
      <c r="E75" s="421"/>
      <c r="F75" s="300"/>
      <c r="G75" s="300"/>
      <c r="H75" s="420"/>
      <c r="I75" s="420"/>
      <c r="J75" s="420"/>
      <c r="K75" s="420"/>
      <c r="L75" s="420"/>
      <c r="M75" s="420"/>
      <c r="N75" s="420"/>
      <c r="O75" s="420"/>
      <c r="P75" s="434">
        <f t="shared" si="0"/>
        <v>0</v>
      </c>
    </row>
    <row r="76" spans="1:16" ht="28.5" x14ac:dyDescent="0.25">
      <c r="A76" s="455"/>
      <c r="B76" s="433">
        <v>29</v>
      </c>
      <c r="C76" s="418" t="s">
        <v>177</v>
      </c>
      <c r="D76" s="255" t="s">
        <v>34</v>
      </c>
      <c r="E76" s="421"/>
      <c r="F76" s="300"/>
      <c r="G76" s="300"/>
      <c r="H76" s="420"/>
      <c r="I76" s="420"/>
      <c r="J76" s="420"/>
      <c r="K76" s="420"/>
      <c r="L76" s="420"/>
      <c r="M76" s="420"/>
      <c r="N76" s="420"/>
      <c r="O76" s="420"/>
      <c r="P76" s="434">
        <f t="shared" si="0"/>
        <v>0</v>
      </c>
    </row>
    <row r="77" spans="1:16" ht="28.5" x14ac:dyDescent="0.25">
      <c r="A77" s="455"/>
      <c r="B77" s="433">
        <v>30</v>
      </c>
      <c r="C77" s="418" t="s">
        <v>178</v>
      </c>
      <c r="D77" s="255" t="s">
        <v>34</v>
      </c>
      <c r="E77" s="421"/>
      <c r="F77" s="300"/>
      <c r="G77" s="300"/>
      <c r="H77" s="420"/>
      <c r="I77" s="420"/>
      <c r="J77" s="420"/>
      <c r="K77" s="420"/>
      <c r="L77" s="420"/>
      <c r="M77" s="420"/>
      <c r="N77" s="420"/>
      <c r="O77" s="420"/>
      <c r="P77" s="434">
        <f t="shared" si="0"/>
        <v>0</v>
      </c>
    </row>
    <row r="78" spans="1:16" ht="28.5" x14ac:dyDescent="0.25">
      <c r="A78" s="455"/>
      <c r="B78" s="433">
        <v>31</v>
      </c>
      <c r="C78" s="418" t="s">
        <v>179</v>
      </c>
      <c r="D78" s="255" t="s">
        <v>34</v>
      </c>
      <c r="E78" s="421"/>
      <c r="F78" s="300"/>
      <c r="G78" s="300"/>
      <c r="H78" s="420"/>
      <c r="I78" s="420"/>
      <c r="J78" s="420"/>
      <c r="K78" s="420"/>
      <c r="L78" s="420"/>
      <c r="M78" s="420"/>
      <c r="N78" s="420"/>
      <c r="O78" s="420"/>
      <c r="P78" s="434">
        <f t="shared" si="0"/>
        <v>0</v>
      </c>
    </row>
    <row r="79" spans="1:16" x14ac:dyDescent="0.25">
      <c r="A79" s="455"/>
      <c r="B79" s="433">
        <v>32</v>
      </c>
      <c r="C79" s="418" t="s">
        <v>180</v>
      </c>
      <c r="D79" s="255" t="s">
        <v>34</v>
      </c>
      <c r="E79" s="421"/>
      <c r="F79" s="300"/>
      <c r="G79" s="300"/>
      <c r="H79" s="420"/>
      <c r="I79" s="420"/>
      <c r="J79" s="420"/>
      <c r="K79" s="420"/>
      <c r="L79" s="420"/>
      <c r="M79" s="420"/>
      <c r="N79" s="420"/>
      <c r="O79" s="420"/>
      <c r="P79" s="434">
        <f t="shared" si="0"/>
        <v>0</v>
      </c>
    </row>
    <row r="80" spans="1:16" x14ac:dyDescent="0.25">
      <c r="A80" s="455"/>
      <c r="B80" s="435" t="s">
        <v>320</v>
      </c>
      <c r="C80" s="418"/>
      <c r="D80" s="255" t="s">
        <v>254</v>
      </c>
      <c r="E80" s="421"/>
      <c r="F80" s="300"/>
      <c r="G80" s="300"/>
      <c r="H80" s="420"/>
      <c r="I80" s="420"/>
      <c r="J80" s="420"/>
      <c r="K80" s="420"/>
      <c r="L80" s="420"/>
      <c r="M80" s="420"/>
      <c r="N80" s="420"/>
      <c r="O80" s="420"/>
      <c r="P80" s="434"/>
    </row>
    <row r="81" spans="1:16" x14ac:dyDescent="0.25">
      <c r="A81" s="455"/>
      <c r="B81" s="433"/>
      <c r="C81" s="418"/>
      <c r="D81" s="255"/>
      <c r="E81" s="421"/>
      <c r="F81" s="300"/>
      <c r="G81" s="300"/>
      <c r="H81" s="420"/>
      <c r="I81" s="420"/>
      <c r="J81" s="420"/>
      <c r="K81" s="420"/>
      <c r="L81" s="420"/>
      <c r="M81" s="420"/>
      <c r="N81" s="420"/>
      <c r="O81" s="420"/>
      <c r="P81" s="434"/>
    </row>
    <row r="82" spans="1:16" x14ac:dyDescent="0.25">
      <c r="A82" s="455"/>
      <c r="B82" s="433"/>
      <c r="C82" s="418"/>
      <c r="D82" s="255"/>
      <c r="E82" s="421"/>
      <c r="F82" s="300"/>
      <c r="G82" s="300"/>
      <c r="H82" s="420"/>
      <c r="I82" s="420"/>
      <c r="J82" s="420"/>
      <c r="K82" s="420"/>
      <c r="L82" s="420"/>
      <c r="M82" s="420"/>
      <c r="N82" s="420"/>
      <c r="O82" s="420"/>
      <c r="P82" s="434"/>
    </row>
    <row r="83" spans="1:16" x14ac:dyDescent="0.25">
      <c r="A83" s="455"/>
      <c r="B83" s="433"/>
      <c r="C83" s="418"/>
      <c r="D83" s="255"/>
      <c r="E83" s="421"/>
      <c r="F83" s="300"/>
      <c r="G83" s="300"/>
      <c r="H83" s="420"/>
      <c r="I83" s="420"/>
      <c r="J83" s="420"/>
      <c r="K83" s="420"/>
      <c r="L83" s="420"/>
      <c r="M83" s="420"/>
      <c r="N83" s="420"/>
      <c r="O83" s="420"/>
      <c r="P83" s="434">
        <f t="shared" ref="P83:P106" si="1">SUM(H83:O83)</f>
        <v>0</v>
      </c>
    </row>
    <row r="84" spans="1:16" ht="25.5" customHeight="1" x14ac:dyDescent="0.25">
      <c r="A84" s="455"/>
      <c r="B84" s="603" t="s">
        <v>181</v>
      </c>
      <c r="C84" s="593"/>
      <c r="D84" s="593"/>
      <c r="E84" s="593"/>
      <c r="F84" s="593"/>
      <c r="G84" s="593"/>
      <c r="H84" s="593"/>
      <c r="I84" s="593"/>
      <c r="J84" s="593"/>
      <c r="K84" s="593"/>
      <c r="L84" s="593"/>
      <c r="M84" s="593"/>
      <c r="N84" s="593"/>
      <c r="O84" s="593"/>
      <c r="P84" s="604"/>
    </row>
    <row r="85" spans="1:16" x14ac:dyDescent="0.25">
      <c r="A85" s="455"/>
      <c r="B85" s="433">
        <v>33</v>
      </c>
      <c r="C85" s="418" t="s">
        <v>182</v>
      </c>
      <c r="D85" s="255" t="s">
        <v>34</v>
      </c>
      <c r="E85" s="421"/>
      <c r="F85" s="300"/>
      <c r="G85" s="300"/>
      <c r="H85" s="426"/>
      <c r="I85" s="426"/>
      <c r="J85" s="426"/>
      <c r="K85" s="426"/>
      <c r="L85" s="426"/>
      <c r="M85" s="426"/>
      <c r="N85" s="426"/>
      <c r="O85" s="426"/>
      <c r="P85" s="434">
        <f t="shared" si="1"/>
        <v>0</v>
      </c>
    </row>
    <row r="86" spans="1:16" x14ac:dyDescent="0.25">
      <c r="A86" s="455"/>
      <c r="B86" s="433">
        <v>34</v>
      </c>
      <c r="C86" s="418" t="s">
        <v>183</v>
      </c>
      <c r="D86" s="255" t="s">
        <v>34</v>
      </c>
      <c r="E86" s="421"/>
      <c r="F86" s="300"/>
      <c r="G86" s="300"/>
      <c r="H86" s="426"/>
      <c r="I86" s="426"/>
      <c r="J86" s="426"/>
      <c r="K86" s="426"/>
      <c r="L86" s="426"/>
      <c r="M86" s="426"/>
      <c r="N86" s="426"/>
      <c r="O86" s="426"/>
      <c r="P86" s="434">
        <f t="shared" si="1"/>
        <v>0</v>
      </c>
    </row>
    <row r="87" spans="1:16" x14ac:dyDescent="0.25">
      <c r="A87" s="455"/>
      <c r="B87" s="433">
        <v>35</v>
      </c>
      <c r="C87" s="418" t="s">
        <v>184</v>
      </c>
      <c r="D87" s="255" t="s">
        <v>34</v>
      </c>
      <c r="E87" s="421"/>
      <c r="F87" s="300"/>
      <c r="G87" s="300"/>
      <c r="H87" s="426"/>
      <c r="I87" s="426"/>
      <c r="J87" s="426"/>
      <c r="K87" s="426"/>
      <c r="L87" s="426"/>
      <c r="M87" s="426"/>
      <c r="N87" s="426"/>
      <c r="O87" s="426"/>
      <c r="P87" s="434">
        <f t="shared" si="1"/>
        <v>0</v>
      </c>
    </row>
    <row r="88" spans="1:16" x14ac:dyDescent="0.25">
      <c r="A88" s="455"/>
      <c r="B88" s="435" t="s">
        <v>320</v>
      </c>
      <c r="C88" s="418"/>
      <c r="D88" s="255" t="s">
        <v>254</v>
      </c>
      <c r="E88" s="421"/>
      <c r="F88" s="300"/>
      <c r="G88" s="300"/>
      <c r="H88" s="426"/>
      <c r="I88" s="426"/>
      <c r="J88" s="426"/>
      <c r="K88" s="426"/>
      <c r="L88" s="426"/>
      <c r="M88" s="426"/>
      <c r="N88" s="426"/>
      <c r="O88" s="426"/>
      <c r="P88" s="434"/>
    </row>
    <row r="89" spans="1:16" x14ac:dyDescent="0.25">
      <c r="A89" s="455"/>
      <c r="B89" s="433"/>
      <c r="C89" s="418"/>
      <c r="D89" s="255"/>
      <c r="E89" s="421"/>
      <c r="F89" s="300"/>
      <c r="G89" s="300"/>
      <c r="H89" s="426"/>
      <c r="I89" s="426"/>
      <c r="J89" s="426"/>
      <c r="K89" s="426"/>
      <c r="L89" s="426"/>
      <c r="M89" s="426"/>
      <c r="N89" s="426"/>
      <c r="O89" s="426"/>
      <c r="P89" s="434"/>
    </row>
    <row r="90" spans="1:16" x14ac:dyDescent="0.25">
      <c r="A90" s="455"/>
      <c r="B90" s="433"/>
      <c r="C90" s="418"/>
      <c r="D90" s="255"/>
      <c r="E90" s="421"/>
      <c r="F90" s="300"/>
      <c r="G90" s="300"/>
      <c r="H90" s="426"/>
      <c r="I90" s="426"/>
      <c r="J90" s="426"/>
      <c r="K90" s="426"/>
      <c r="L90" s="426"/>
      <c r="M90" s="426"/>
      <c r="N90" s="426"/>
      <c r="O90" s="426"/>
      <c r="P90" s="434"/>
    </row>
    <row r="91" spans="1:16" x14ac:dyDescent="0.25">
      <c r="A91" s="455"/>
      <c r="B91" s="433"/>
      <c r="C91" s="418"/>
      <c r="D91" s="255"/>
      <c r="E91" s="421"/>
      <c r="F91" s="300"/>
      <c r="G91" s="300"/>
      <c r="H91" s="426"/>
      <c r="I91" s="426"/>
      <c r="J91" s="426"/>
      <c r="K91" s="426"/>
      <c r="L91" s="426"/>
      <c r="M91" s="426"/>
      <c r="N91" s="426"/>
      <c r="O91" s="426"/>
      <c r="P91" s="434">
        <f t="shared" si="1"/>
        <v>0</v>
      </c>
    </row>
    <row r="92" spans="1:16" ht="24" customHeight="1" x14ac:dyDescent="0.25">
      <c r="A92" s="455"/>
      <c r="B92" s="603" t="s">
        <v>185</v>
      </c>
      <c r="C92" s="593"/>
      <c r="D92" s="593"/>
      <c r="E92" s="593"/>
      <c r="F92" s="593"/>
      <c r="G92" s="593"/>
      <c r="H92" s="593"/>
      <c r="I92" s="593"/>
      <c r="J92" s="593"/>
      <c r="K92" s="593"/>
      <c r="L92" s="593"/>
      <c r="M92" s="593"/>
      <c r="N92" s="593"/>
      <c r="O92" s="593"/>
      <c r="P92" s="604"/>
    </row>
    <row r="93" spans="1:16" ht="42.75" x14ac:dyDescent="0.25">
      <c r="A93" s="455"/>
      <c r="B93" s="433">
        <v>36</v>
      </c>
      <c r="C93" s="418" t="s">
        <v>186</v>
      </c>
      <c r="D93" s="255" t="s">
        <v>34</v>
      </c>
      <c r="E93" s="421"/>
      <c r="F93" s="300"/>
      <c r="G93" s="300"/>
      <c r="H93" s="426"/>
      <c r="I93" s="426"/>
      <c r="J93" s="426"/>
      <c r="K93" s="426"/>
      <c r="L93" s="426"/>
      <c r="M93" s="426"/>
      <c r="N93" s="426"/>
      <c r="O93" s="426"/>
      <c r="P93" s="434">
        <f t="shared" si="1"/>
        <v>0</v>
      </c>
    </row>
    <row r="94" spans="1:16" ht="28.5" x14ac:dyDescent="0.25">
      <c r="A94" s="455"/>
      <c r="B94" s="433">
        <v>37</v>
      </c>
      <c r="C94" s="418" t="s">
        <v>187</v>
      </c>
      <c r="D94" s="255" t="s">
        <v>34</v>
      </c>
      <c r="E94" s="421"/>
      <c r="F94" s="300"/>
      <c r="G94" s="300"/>
      <c r="H94" s="426"/>
      <c r="I94" s="426"/>
      <c r="J94" s="426"/>
      <c r="K94" s="426"/>
      <c r="L94" s="426"/>
      <c r="M94" s="426"/>
      <c r="N94" s="426"/>
      <c r="O94" s="426"/>
      <c r="P94" s="434">
        <f t="shared" si="1"/>
        <v>0</v>
      </c>
    </row>
    <row r="95" spans="1:16" x14ac:dyDescent="0.25">
      <c r="A95" s="455"/>
      <c r="B95" s="433">
        <v>38</v>
      </c>
      <c r="C95" s="418" t="s">
        <v>188</v>
      </c>
      <c r="D95" s="255" t="s">
        <v>34</v>
      </c>
      <c r="E95" s="421"/>
      <c r="F95" s="300"/>
      <c r="G95" s="300"/>
      <c r="H95" s="426"/>
      <c r="I95" s="426"/>
      <c r="J95" s="426"/>
      <c r="K95" s="426"/>
      <c r="L95" s="426"/>
      <c r="M95" s="426"/>
      <c r="N95" s="426"/>
      <c r="O95" s="426"/>
      <c r="P95" s="434">
        <f t="shared" si="1"/>
        <v>0</v>
      </c>
    </row>
    <row r="96" spans="1:16" ht="28.5" x14ac:dyDescent="0.25">
      <c r="A96" s="455"/>
      <c r="B96" s="433">
        <v>39</v>
      </c>
      <c r="C96" s="418" t="s">
        <v>189</v>
      </c>
      <c r="D96" s="255" t="s">
        <v>34</v>
      </c>
      <c r="E96" s="421"/>
      <c r="F96" s="300"/>
      <c r="G96" s="300"/>
      <c r="H96" s="426"/>
      <c r="I96" s="426"/>
      <c r="J96" s="426"/>
      <c r="K96" s="426"/>
      <c r="L96" s="426"/>
      <c r="M96" s="426"/>
      <c r="N96" s="426"/>
      <c r="O96" s="426"/>
      <c r="P96" s="434">
        <f t="shared" si="1"/>
        <v>0</v>
      </c>
    </row>
    <row r="97" spans="1:16" ht="28.5" x14ac:dyDescent="0.25">
      <c r="A97" s="455"/>
      <c r="B97" s="433">
        <v>40</v>
      </c>
      <c r="C97" s="418" t="s">
        <v>190</v>
      </c>
      <c r="D97" s="255" t="s">
        <v>34</v>
      </c>
      <c r="E97" s="421"/>
      <c r="F97" s="300"/>
      <c r="G97" s="300"/>
      <c r="H97" s="426"/>
      <c r="I97" s="426"/>
      <c r="J97" s="426"/>
      <c r="K97" s="426"/>
      <c r="L97" s="426"/>
      <c r="M97" s="426"/>
      <c r="N97" s="426"/>
      <c r="O97" s="426"/>
      <c r="P97" s="434">
        <f t="shared" si="1"/>
        <v>0</v>
      </c>
    </row>
    <row r="98" spans="1:16" ht="28.5" x14ac:dyDescent="0.25">
      <c r="A98" s="455"/>
      <c r="B98" s="433">
        <v>41</v>
      </c>
      <c r="C98" s="418" t="s">
        <v>191</v>
      </c>
      <c r="D98" s="255" t="s">
        <v>34</v>
      </c>
      <c r="E98" s="421"/>
      <c r="F98" s="300"/>
      <c r="G98" s="300"/>
      <c r="H98" s="426"/>
      <c r="I98" s="426"/>
      <c r="J98" s="426"/>
      <c r="K98" s="426"/>
      <c r="L98" s="426"/>
      <c r="M98" s="426"/>
      <c r="N98" s="426"/>
      <c r="O98" s="426"/>
      <c r="P98" s="434">
        <f t="shared" si="1"/>
        <v>0</v>
      </c>
    </row>
    <row r="99" spans="1:16" ht="28.5" x14ac:dyDescent="0.25">
      <c r="A99" s="455"/>
      <c r="B99" s="433">
        <v>42</v>
      </c>
      <c r="C99" s="418" t="s">
        <v>192</v>
      </c>
      <c r="D99" s="255" t="s">
        <v>34</v>
      </c>
      <c r="E99" s="421"/>
      <c r="F99" s="300"/>
      <c r="G99" s="300"/>
      <c r="H99" s="426"/>
      <c r="I99" s="426"/>
      <c r="J99" s="426"/>
      <c r="K99" s="426"/>
      <c r="L99" s="426"/>
      <c r="M99" s="426"/>
      <c r="N99" s="426"/>
      <c r="O99" s="426"/>
      <c r="P99" s="434">
        <f t="shared" si="1"/>
        <v>0</v>
      </c>
    </row>
    <row r="100" spans="1:16" x14ac:dyDescent="0.25">
      <c r="A100" s="455"/>
      <c r="B100" s="433">
        <v>43</v>
      </c>
      <c r="C100" s="418" t="s">
        <v>193</v>
      </c>
      <c r="D100" s="255" t="s">
        <v>34</v>
      </c>
      <c r="E100" s="421"/>
      <c r="F100" s="300"/>
      <c r="G100" s="300"/>
      <c r="H100" s="426"/>
      <c r="I100" s="426"/>
      <c r="J100" s="426"/>
      <c r="K100" s="426"/>
      <c r="L100" s="426"/>
      <c r="M100" s="426"/>
      <c r="N100" s="426"/>
      <c r="O100" s="426"/>
      <c r="P100" s="434">
        <f t="shared" si="1"/>
        <v>0</v>
      </c>
    </row>
    <row r="101" spans="1:16" ht="42.75" x14ac:dyDescent="0.25">
      <c r="A101" s="455"/>
      <c r="B101" s="433">
        <v>44</v>
      </c>
      <c r="C101" s="418" t="s">
        <v>194</v>
      </c>
      <c r="D101" s="255" t="s">
        <v>34</v>
      </c>
      <c r="E101" s="421"/>
      <c r="F101" s="300"/>
      <c r="G101" s="300"/>
      <c r="H101" s="426"/>
      <c r="I101" s="426"/>
      <c r="J101" s="426"/>
      <c r="K101" s="426"/>
      <c r="L101" s="426"/>
      <c r="M101" s="426"/>
      <c r="N101" s="426"/>
      <c r="O101" s="426"/>
      <c r="P101" s="434">
        <f t="shared" si="1"/>
        <v>0</v>
      </c>
    </row>
    <row r="102" spans="1:16" ht="28.5" x14ac:dyDescent="0.25">
      <c r="A102" s="455"/>
      <c r="B102" s="433">
        <v>45</v>
      </c>
      <c r="C102" s="418" t="s">
        <v>195</v>
      </c>
      <c r="D102" s="255" t="s">
        <v>34</v>
      </c>
      <c r="E102" s="421"/>
      <c r="F102" s="300"/>
      <c r="G102" s="300"/>
      <c r="H102" s="426"/>
      <c r="I102" s="426"/>
      <c r="J102" s="426"/>
      <c r="K102" s="426"/>
      <c r="L102" s="426"/>
      <c r="M102" s="426"/>
      <c r="N102" s="426"/>
      <c r="O102" s="426"/>
      <c r="P102" s="434">
        <f t="shared" si="1"/>
        <v>0</v>
      </c>
    </row>
    <row r="103" spans="1:16" ht="28.5" x14ac:dyDescent="0.25">
      <c r="A103" s="455"/>
      <c r="B103" s="433">
        <v>46</v>
      </c>
      <c r="C103" s="418" t="s">
        <v>196</v>
      </c>
      <c r="D103" s="255" t="s">
        <v>34</v>
      </c>
      <c r="E103" s="421"/>
      <c r="F103" s="300"/>
      <c r="G103" s="300"/>
      <c r="H103" s="426"/>
      <c r="I103" s="426"/>
      <c r="J103" s="426"/>
      <c r="K103" s="426"/>
      <c r="L103" s="426"/>
      <c r="M103" s="426"/>
      <c r="N103" s="426"/>
      <c r="O103" s="426"/>
      <c r="P103" s="434">
        <f t="shared" si="1"/>
        <v>0</v>
      </c>
    </row>
    <row r="104" spans="1:16" ht="28.5" x14ac:dyDescent="0.25">
      <c r="A104" s="455"/>
      <c r="B104" s="433">
        <v>47</v>
      </c>
      <c r="C104" s="418" t="s">
        <v>197</v>
      </c>
      <c r="D104" s="255" t="s">
        <v>34</v>
      </c>
      <c r="E104" s="421"/>
      <c r="F104" s="300"/>
      <c r="G104" s="300"/>
      <c r="H104" s="426"/>
      <c r="I104" s="426"/>
      <c r="J104" s="426"/>
      <c r="K104" s="426"/>
      <c r="L104" s="426"/>
      <c r="M104" s="426"/>
      <c r="N104" s="426"/>
      <c r="O104" s="426"/>
      <c r="P104" s="434">
        <f t="shared" si="1"/>
        <v>0</v>
      </c>
    </row>
    <row r="105" spans="1:16" ht="28.5" x14ac:dyDescent="0.25">
      <c r="A105" s="455"/>
      <c r="B105" s="433">
        <v>48</v>
      </c>
      <c r="C105" s="418" t="s">
        <v>198</v>
      </c>
      <c r="D105" s="255" t="s">
        <v>34</v>
      </c>
      <c r="E105" s="421"/>
      <c r="F105" s="300"/>
      <c r="G105" s="300"/>
      <c r="H105" s="426"/>
      <c r="I105" s="426"/>
      <c r="J105" s="426"/>
      <c r="K105" s="426"/>
      <c r="L105" s="426"/>
      <c r="M105" s="426"/>
      <c r="N105" s="426"/>
      <c r="O105" s="426"/>
      <c r="P105" s="434">
        <f t="shared" si="1"/>
        <v>0</v>
      </c>
    </row>
    <row r="106" spans="1:16" ht="28.5" x14ac:dyDescent="0.25">
      <c r="A106" s="455"/>
      <c r="B106" s="433">
        <v>49</v>
      </c>
      <c r="C106" s="418" t="s">
        <v>199</v>
      </c>
      <c r="D106" s="255" t="s">
        <v>34</v>
      </c>
      <c r="E106" s="421"/>
      <c r="F106" s="300"/>
      <c r="G106" s="300"/>
      <c r="H106" s="426"/>
      <c r="I106" s="426"/>
      <c r="J106" s="426"/>
      <c r="K106" s="426"/>
      <c r="L106" s="426"/>
      <c r="M106" s="426"/>
      <c r="N106" s="426"/>
      <c r="O106" s="426"/>
      <c r="P106" s="434">
        <f t="shared" si="1"/>
        <v>0</v>
      </c>
    </row>
    <row r="107" spans="1:16" x14ac:dyDescent="0.25">
      <c r="A107" s="455"/>
      <c r="B107" s="435" t="s">
        <v>320</v>
      </c>
      <c r="C107" s="418"/>
      <c r="D107" s="255" t="s">
        <v>254</v>
      </c>
      <c r="E107" s="421"/>
      <c r="F107" s="300"/>
      <c r="G107" s="300"/>
      <c r="H107" s="426"/>
      <c r="I107" s="426"/>
      <c r="J107" s="426"/>
      <c r="K107" s="426"/>
      <c r="L107" s="426"/>
      <c r="M107" s="426"/>
      <c r="N107" s="426"/>
      <c r="O107" s="426"/>
      <c r="P107" s="434"/>
    </row>
    <row r="108" spans="1:16" x14ac:dyDescent="0.25">
      <c r="A108" s="455"/>
      <c r="B108" s="433"/>
      <c r="C108" s="418"/>
      <c r="D108" s="255"/>
      <c r="E108" s="421"/>
      <c r="F108" s="300"/>
      <c r="G108" s="300"/>
      <c r="H108" s="426"/>
      <c r="I108" s="426"/>
      <c r="J108" s="426"/>
      <c r="K108" s="426"/>
      <c r="L108" s="426"/>
      <c r="M108" s="426"/>
      <c r="N108" s="426"/>
      <c r="O108" s="426"/>
      <c r="P108" s="434"/>
    </row>
    <row r="109" spans="1:16" x14ac:dyDescent="0.25">
      <c r="A109" s="455"/>
      <c r="B109" s="433"/>
      <c r="C109" s="418"/>
      <c r="D109" s="255"/>
      <c r="E109" s="421"/>
      <c r="F109" s="300"/>
      <c r="G109" s="300"/>
      <c r="H109" s="426"/>
      <c r="I109" s="426"/>
      <c r="J109" s="426"/>
      <c r="K109" s="426"/>
      <c r="L109" s="426"/>
      <c r="M109" s="426"/>
      <c r="N109" s="426"/>
      <c r="O109" s="426"/>
      <c r="P109" s="434"/>
    </row>
    <row r="110" spans="1:16" x14ac:dyDescent="0.25">
      <c r="A110" s="455"/>
      <c r="B110" s="433"/>
      <c r="C110" s="418"/>
      <c r="D110" s="255"/>
      <c r="E110" s="421"/>
      <c r="F110" s="300"/>
      <c r="G110" s="300"/>
      <c r="H110" s="426"/>
      <c r="I110" s="426"/>
      <c r="J110" s="426"/>
      <c r="K110" s="426"/>
      <c r="L110" s="426"/>
      <c r="M110" s="426"/>
      <c r="N110" s="426"/>
      <c r="O110" s="426"/>
      <c r="P110" s="434"/>
    </row>
    <row r="111" spans="1:16" x14ac:dyDescent="0.25">
      <c r="B111" s="357"/>
      <c r="C111" s="594" t="s">
        <v>222</v>
      </c>
      <c r="D111" s="594"/>
      <c r="E111" s="358"/>
      <c r="F111" s="359"/>
      <c r="G111" s="359"/>
      <c r="H111" s="360">
        <f>SUM(F17*H17,F18*H18,F19*H19,F20*H20,F21*H21,F22*H22,F46*H46,F63*H63,F64*H64,F65*H65,F66*H66)</f>
        <v>0</v>
      </c>
      <c r="I111" s="360">
        <f>SUM(F28*I28,F29*I29,F30*I30,F31*I31,F32*I32,F72*I72,F73*I73,F74*I74,F75*I75,F76*I76,F77*I77,F78*I78,F79*I79,F85*I85,F86*I86,F87*I87)</f>
        <v>0</v>
      </c>
      <c r="J111" s="361"/>
      <c r="K111" s="358"/>
      <c r="L111" s="358"/>
      <c r="M111" s="358"/>
      <c r="N111" s="360"/>
      <c r="O111" s="358"/>
      <c r="P111" s="362">
        <f>SUM(H111:O111)</f>
        <v>0</v>
      </c>
    </row>
    <row r="112" spans="1:16" x14ac:dyDescent="0.25">
      <c r="B112" s="277"/>
      <c r="C112" s="580" t="s">
        <v>261</v>
      </c>
      <c r="D112" s="580"/>
      <c r="E112" s="271"/>
      <c r="F112" s="269"/>
      <c r="G112" s="269"/>
      <c r="H112" s="271"/>
      <c r="I112" s="271"/>
      <c r="J112" s="272">
        <f>SUM(E28*G28*J28,E29*G29*J29,E30*G30*J30,E31*G31,J31*E32*G32*J32,E38*G38*J38,E39*G39*J39,E40*G40*J40)</f>
        <v>0</v>
      </c>
      <c r="K112" s="272">
        <f>SUM(E28*G28*K28,E29*G29*K29,E30*G30*K30,E31*G31*K31,E32*G32*K32,E38*G38*K38,E39*G39*K39,E40*G40*K40)</f>
        <v>0</v>
      </c>
      <c r="L112" s="272"/>
      <c r="M112" s="272"/>
      <c r="N112" s="271"/>
      <c r="O112" s="271"/>
      <c r="P112" s="278">
        <f>SUM(H112:O112)</f>
        <v>0</v>
      </c>
    </row>
    <row r="113" spans="2:16" x14ac:dyDescent="0.25">
      <c r="B113" s="277"/>
      <c r="C113" s="580" t="s">
        <v>262</v>
      </c>
      <c r="D113" s="580"/>
      <c r="E113" s="271"/>
      <c r="F113" s="269"/>
      <c r="G113" s="269"/>
      <c r="H113" s="271"/>
      <c r="I113" s="271"/>
      <c r="J113" s="272">
        <f>J112-(E32*G32*J32)</f>
        <v>0</v>
      </c>
      <c r="K113" s="271">
        <f>K112-(E32*G32*K32)</f>
        <v>0</v>
      </c>
      <c r="L113" s="271"/>
      <c r="M113" s="271"/>
      <c r="N113" s="271"/>
      <c r="O113" s="271"/>
      <c r="P113" s="278"/>
    </row>
    <row r="114" spans="2:16" x14ac:dyDescent="0.25">
      <c r="B114" s="279"/>
      <c r="C114" s="595"/>
      <c r="D114" s="595"/>
      <c r="E114" s="264"/>
      <c r="F114" s="262"/>
      <c r="G114" s="262"/>
      <c r="H114" s="264"/>
      <c r="I114" s="264"/>
      <c r="J114" s="264"/>
      <c r="K114" s="264"/>
      <c r="L114" s="264"/>
      <c r="M114" s="264"/>
      <c r="N114" s="264"/>
      <c r="O114" s="264"/>
      <c r="P114" s="280"/>
    </row>
    <row r="115" spans="2:16" x14ac:dyDescent="0.25">
      <c r="B115" s="279"/>
      <c r="C115" s="263"/>
      <c r="D115" s="264"/>
      <c r="E115" s="264"/>
      <c r="F115" s="262"/>
      <c r="G115" s="262"/>
      <c r="H115" s="264"/>
      <c r="I115" s="264"/>
      <c r="J115" s="264"/>
      <c r="K115" s="264"/>
      <c r="L115" s="264"/>
      <c r="M115" s="264"/>
      <c r="N115" s="264"/>
      <c r="O115" s="264"/>
      <c r="P115" s="280"/>
    </row>
    <row r="116" spans="2:16" x14ac:dyDescent="0.25">
      <c r="B116" s="385"/>
      <c r="C116" s="578" t="s">
        <v>330</v>
      </c>
      <c r="D116" s="578"/>
      <c r="E116" s="255"/>
      <c r="F116" s="266"/>
      <c r="G116" s="255"/>
      <c r="H116" s="267" t="e">
        <f>'3.  Distribution Rates'!#REF!</f>
        <v>#REF!</v>
      </c>
      <c r="I116" s="267" t="e">
        <f>'3.  Distribution Rates'!#REF!</f>
        <v>#REF!</v>
      </c>
      <c r="J116" s="267" t="e">
        <f>'3.  Distribution Rates'!#REF!</f>
        <v>#REF!</v>
      </c>
      <c r="K116" s="267" t="e">
        <f>'3.  Distribution Rates'!#REF!</f>
        <v>#REF!</v>
      </c>
      <c r="L116" s="267" t="e">
        <f>'3.  Distribution Rates'!#REF!</f>
        <v>#REF!</v>
      </c>
      <c r="M116" s="267" t="e">
        <f>'3.  Distribution Rates'!#REF!</f>
        <v>#REF!</v>
      </c>
      <c r="N116" s="267" t="e">
        <f>'3.  Distribution Rates'!#REF!</f>
        <v>#REF!</v>
      </c>
      <c r="O116" s="267"/>
      <c r="P116" s="386"/>
    </row>
    <row r="117" spans="2:16" x14ac:dyDescent="0.25">
      <c r="B117" s="385"/>
      <c r="C117" s="578" t="s">
        <v>309</v>
      </c>
      <c r="D117" s="578"/>
      <c r="E117" s="264"/>
      <c r="F117" s="266"/>
      <c r="G117" s="266"/>
      <c r="H117" s="408"/>
      <c r="I117" s="408"/>
      <c r="J117" s="408"/>
      <c r="K117" s="408"/>
      <c r="L117" s="408"/>
      <c r="M117" s="408"/>
      <c r="N117" s="408"/>
      <c r="O117" s="255"/>
      <c r="P117" s="281">
        <f>SUM(H117:O117)</f>
        <v>0</v>
      </c>
    </row>
    <row r="118" spans="2:16" x14ac:dyDescent="0.25">
      <c r="B118" s="385"/>
      <c r="C118" s="578" t="s">
        <v>310</v>
      </c>
      <c r="D118" s="578"/>
      <c r="E118" s="264"/>
      <c r="F118" s="266"/>
      <c r="G118" s="266"/>
      <c r="H118" s="408"/>
      <c r="I118" s="408"/>
      <c r="J118" s="408"/>
      <c r="K118" s="408"/>
      <c r="L118" s="408"/>
      <c r="M118" s="408"/>
      <c r="N118" s="408"/>
      <c r="O118" s="255"/>
      <c r="P118" s="281">
        <f>SUM(H118:O118)</f>
        <v>0</v>
      </c>
    </row>
    <row r="119" spans="2:16" x14ac:dyDescent="0.25">
      <c r="B119" s="385"/>
      <c r="C119" s="578" t="s">
        <v>311</v>
      </c>
      <c r="D119" s="578"/>
      <c r="E119" s="264"/>
      <c r="F119" s="266"/>
      <c r="G119" s="266"/>
      <c r="H119" s="408"/>
      <c r="I119" s="408"/>
      <c r="J119" s="408"/>
      <c r="K119" s="408"/>
      <c r="L119" s="408"/>
      <c r="M119" s="408"/>
      <c r="N119" s="408"/>
      <c r="O119" s="255"/>
      <c r="P119" s="281">
        <f t="shared" ref="P119" si="2">SUM(H119:O119)</f>
        <v>0</v>
      </c>
    </row>
    <row r="120" spans="2:16" x14ac:dyDescent="0.25">
      <c r="B120" s="385"/>
      <c r="C120" s="578" t="s">
        <v>312</v>
      </c>
      <c r="D120" s="578"/>
      <c r="E120" s="264"/>
      <c r="F120" s="266"/>
      <c r="G120" s="266"/>
      <c r="H120" s="408"/>
      <c r="I120" s="408"/>
      <c r="J120" s="408"/>
      <c r="K120" s="408"/>
      <c r="L120" s="408"/>
      <c r="M120" s="408"/>
      <c r="N120" s="408"/>
      <c r="O120" s="255"/>
      <c r="P120" s="281">
        <f>SUM(H120:O120)</f>
        <v>0</v>
      </c>
    </row>
    <row r="121" spans="2:16" x14ac:dyDescent="0.25">
      <c r="B121" s="385"/>
      <c r="C121" s="578" t="s">
        <v>313</v>
      </c>
      <c r="D121" s="578"/>
      <c r="E121" s="264"/>
      <c r="F121" s="266"/>
      <c r="G121" s="266"/>
      <c r="H121" s="382" t="e">
        <f>'5.  2015 LRAM'!H130*H116</f>
        <v>#REF!</v>
      </c>
      <c r="I121" s="382" t="e">
        <f>'5.  2015 LRAM'!I130*I116</f>
        <v>#REF!</v>
      </c>
      <c r="J121" s="382" t="e">
        <f>'5.  2015 LRAM'!J130*J116</f>
        <v>#REF!</v>
      </c>
      <c r="K121" s="382" t="e">
        <f>'5.  2015 LRAM'!K130*K116</f>
        <v>#REF!</v>
      </c>
      <c r="L121" s="382" t="e">
        <f>'5.  2015 LRAM'!L130*L116</f>
        <v>#REF!</v>
      </c>
      <c r="M121" s="382" t="e">
        <f>'5.  2015 LRAM'!M130*M116</f>
        <v>#REF!</v>
      </c>
      <c r="N121" s="382" t="e">
        <f>'5.  2015 LRAM'!N130*N116</f>
        <v>#REF!</v>
      </c>
      <c r="O121" s="255"/>
      <c r="P121" s="281" t="e">
        <f t="shared" ref="P121:P122" si="3">SUM(H121:O121)</f>
        <v>#REF!</v>
      </c>
    </row>
    <row r="122" spans="2:16" x14ac:dyDescent="0.25">
      <c r="B122" s="385"/>
      <c r="C122" s="578" t="s">
        <v>314</v>
      </c>
      <c r="D122" s="578"/>
      <c r="E122" s="264"/>
      <c r="F122" s="266"/>
      <c r="G122" s="266"/>
      <c r="H122" s="382" t="e">
        <f>'5-b. 2016 LRAM'!H128*H116</f>
        <v>#REF!</v>
      </c>
      <c r="I122" s="382" t="e">
        <f>'5-b. 2016 LRAM'!I128*I116</f>
        <v>#REF!</v>
      </c>
      <c r="J122" s="382" t="e">
        <f>'5-b. 2016 LRAM'!J128*J116</f>
        <v>#REF!</v>
      </c>
      <c r="K122" s="382" t="e">
        <f>'5-b. 2016 LRAM'!K128*K116</f>
        <v>#REF!</v>
      </c>
      <c r="L122" s="382" t="e">
        <f>'5-b. 2016 LRAM'!L128*L116</f>
        <v>#REF!</v>
      </c>
      <c r="M122" s="382" t="e">
        <f>'5-b. 2016 LRAM'!M128*M116</f>
        <v>#REF!</v>
      </c>
      <c r="N122" s="382" t="e">
        <f>'5-b. 2016 LRAM'!N128*N116</f>
        <v>#REF!</v>
      </c>
      <c r="O122" s="255"/>
      <c r="P122" s="281" t="e">
        <f t="shared" si="3"/>
        <v>#REF!</v>
      </c>
    </row>
    <row r="123" spans="2:16" x14ac:dyDescent="0.25">
      <c r="B123" s="385"/>
      <c r="C123" s="578" t="s">
        <v>315</v>
      </c>
      <c r="D123" s="578"/>
      <c r="E123" s="264"/>
      <c r="F123" s="266"/>
      <c r="G123" s="266"/>
      <c r="H123" s="382" t="e">
        <f>'5-c.  2017 LRAM'!H129*H116</f>
        <v>#REF!</v>
      </c>
      <c r="I123" s="382" t="e">
        <f>'5-c.  2017 LRAM'!I129*I116</f>
        <v>#REF!</v>
      </c>
      <c r="J123" s="382" t="e">
        <f>'5-c.  2017 LRAM'!J129*J116</f>
        <v>#REF!</v>
      </c>
      <c r="K123" s="382" t="e">
        <f>'5-c.  2017 LRAM'!K129*K116</f>
        <v>#REF!</v>
      </c>
      <c r="L123" s="382" t="e">
        <f>'5-c.  2017 LRAM'!L129*L116</f>
        <v>#REF!</v>
      </c>
      <c r="M123" s="382" t="e">
        <f>'5-c.  2017 LRAM'!M129*M116</f>
        <v>#REF!</v>
      </c>
      <c r="N123" s="382" t="e">
        <f>'5-c.  2017 LRAM'!N129*N116</f>
        <v>#REF!</v>
      </c>
      <c r="O123" s="255"/>
      <c r="P123" s="281" t="e">
        <f>SUM(H123:O123)</f>
        <v>#REF!</v>
      </c>
    </row>
    <row r="124" spans="2:16" x14ac:dyDescent="0.25">
      <c r="B124" s="385"/>
      <c r="C124" s="578" t="s">
        <v>316</v>
      </c>
      <c r="D124" s="578"/>
      <c r="E124" s="264"/>
      <c r="F124" s="266"/>
      <c r="G124" s="266"/>
      <c r="H124" s="382" t="e">
        <f>'5-d.  2018 LRAM'!H128*H116</f>
        <v>#REF!</v>
      </c>
      <c r="I124" s="382" t="e">
        <f>'5-d.  2018 LRAM'!I128*I116</f>
        <v>#REF!</v>
      </c>
      <c r="J124" s="382" t="e">
        <f>'5-d.  2018 LRAM'!J128*J116</f>
        <v>#REF!</v>
      </c>
      <c r="K124" s="382" t="e">
        <f>'5-d.  2018 LRAM'!K128*K116</f>
        <v>#REF!</v>
      </c>
      <c r="L124" s="382" t="e">
        <f>'5-d.  2018 LRAM'!L128*L116</f>
        <v>#REF!</v>
      </c>
      <c r="M124" s="382" t="e">
        <f>'5-d.  2018 LRAM'!M128*M116</f>
        <v>#REF!</v>
      </c>
      <c r="N124" s="382" t="e">
        <f>'5-d.  2018 LRAM'!N128*N116</f>
        <v>#REF!</v>
      </c>
      <c r="O124" s="255"/>
      <c r="P124" s="281" t="e">
        <f t="shared" ref="P124:P126" si="4">SUM(H124:O124)</f>
        <v>#REF!</v>
      </c>
    </row>
    <row r="125" spans="2:16" x14ac:dyDescent="0.25">
      <c r="B125" s="385"/>
      <c r="C125" s="578" t="s">
        <v>317</v>
      </c>
      <c r="D125" s="578"/>
      <c r="E125" s="264"/>
      <c r="F125" s="266"/>
      <c r="G125" s="266"/>
      <c r="H125" s="382" t="e">
        <f>'5-e.  2019 LRAM'!H128*H116</f>
        <v>#REF!</v>
      </c>
      <c r="I125" s="382" t="e">
        <f>'5-e.  2019 LRAM'!I128*I116</f>
        <v>#REF!</v>
      </c>
      <c r="J125" s="382" t="e">
        <f>'5-e.  2019 LRAM'!J128*J116</f>
        <v>#REF!</v>
      </c>
      <c r="K125" s="382" t="e">
        <f>'5-e.  2019 LRAM'!K128*K116</f>
        <v>#REF!</v>
      </c>
      <c r="L125" s="382" t="e">
        <f>'5-e.  2019 LRAM'!L128*L116</f>
        <v>#REF!</v>
      </c>
      <c r="M125" s="382" t="e">
        <f>'5-e.  2019 LRAM'!M128*M116</f>
        <v>#REF!</v>
      </c>
      <c r="N125" s="382" t="e">
        <f>'5-e.  2019 LRAM'!N128*N116</f>
        <v>#REF!</v>
      </c>
      <c r="O125" s="255"/>
      <c r="P125" s="281" t="e">
        <f t="shared" si="4"/>
        <v>#REF!</v>
      </c>
    </row>
    <row r="126" spans="2:16" x14ac:dyDescent="0.25">
      <c r="B126" s="385"/>
      <c r="C126" s="578" t="s">
        <v>318</v>
      </c>
      <c r="D126" s="578"/>
      <c r="E126" s="264"/>
      <c r="F126" s="266"/>
      <c r="G126" s="266"/>
      <c r="H126" s="382" t="e">
        <f>H111*H116</f>
        <v>#REF!</v>
      </c>
      <c r="I126" s="382" t="e">
        <f>I111*I116</f>
        <v>#REF!</v>
      </c>
      <c r="J126" s="382" t="e">
        <f>J112*J116</f>
        <v>#REF!</v>
      </c>
      <c r="K126" s="382" t="e">
        <f>K112*K116</f>
        <v>#REF!</v>
      </c>
      <c r="L126" s="382" t="e">
        <f>L112*L116</f>
        <v>#REF!</v>
      </c>
      <c r="M126" s="382" t="e">
        <f>M112*M116</f>
        <v>#REF!</v>
      </c>
      <c r="N126" s="382" t="e">
        <f>N111*N116</f>
        <v>#REF!</v>
      </c>
      <c r="O126" s="255"/>
      <c r="P126" s="281" t="e">
        <f t="shared" si="4"/>
        <v>#REF!</v>
      </c>
    </row>
    <row r="127" spans="2:16" x14ac:dyDescent="0.25">
      <c r="B127" s="283"/>
      <c r="C127" s="457" t="s">
        <v>308</v>
      </c>
      <c r="D127" s="284"/>
      <c r="E127" s="284"/>
      <c r="F127" s="285"/>
      <c r="G127" s="285"/>
      <c r="H127" s="458" t="e">
        <f t="shared" ref="H127:N127" si="5">SUM(H117:H126)</f>
        <v>#REF!</v>
      </c>
      <c r="I127" s="458" t="e">
        <f t="shared" si="5"/>
        <v>#REF!</v>
      </c>
      <c r="J127" s="458" t="e">
        <f t="shared" si="5"/>
        <v>#REF!</v>
      </c>
      <c r="K127" s="458" t="e">
        <f t="shared" si="5"/>
        <v>#REF!</v>
      </c>
      <c r="L127" s="458" t="e">
        <f t="shared" si="5"/>
        <v>#REF!</v>
      </c>
      <c r="M127" s="458" t="e">
        <f t="shared" si="5"/>
        <v>#REF!</v>
      </c>
      <c r="N127" s="458" t="e">
        <f t="shared" si="5"/>
        <v>#REF!</v>
      </c>
      <c r="O127" s="284"/>
      <c r="P127" s="459" t="e">
        <f>SUM(P117:P126)</f>
        <v>#REF!</v>
      </c>
    </row>
  </sheetData>
  <mergeCells count="34">
    <mergeCell ref="C121:D121"/>
    <mergeCell ref="C116:D116"/>
    <mergeCell ref="C117:D117"/>
    <mergeCell ref="C118:D118"/>
    <mergeCell ref="C119:D119"/>
    <mergeCell ref="C120:D120"/>
    <mergeCell ref="B2:P2"/>
    <mergeCell ref="C111:D111"/>
    <mergeCell ref="C112:D112"/>
    <mergeCell ref="C113:D113"/>
    <mergeCell ref="C114:D114"/>
    <mergeCell ref="E4:P4"/>
    <mergeCell ref="B13:B14"/>
    <mergeCell ref="C13:C14"/>
    <mergeCell ref="D13:D14"/>
    <mergeCell ref="E10:F10"/>
    <mergeCell ref="E13:E14"/>
    <mergeCell ref="H13:P13"/>
    <mergeCell ref="B15:P15"/>
    <mergeCell ref="B16:P16"/>
    <mergeCell ref="B27:P27"/>
    <mergeCell ref="B71:P71"/>
    <mergeCell ref="C126:D126"/>
    <mergeCell ref="C122:D122"/>
    <mergeCell ref="C123:D123"/>
    <mergeCell ref="C124:D124"/>
    <mergeCell ref="C125:D125"/>
    <mergeCell ref="B84:P84"/>
    <mergeCell ref="B92:P92"/>
    <mergeCell ref="B37:P37"/>
    <mergeCell ref="B45:P45"/>
    <mergeCell ref="B51:P51"/>
    <mergeCell ref="B60:P60"/>
    <mergeCell ref="B62:P62"/>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54"/>
  <sheetViews>
    <sheetView zoomScale="90" zoomScaleNormal="90" zoomScaleSheetLayoutView="100" zoomScalePageLayoutView="85" workbookViewId="0">
      <pane ySplit="2" topLeftCell="A3" activePane="bottomLeft" state="frozen"/>
      <selection pane="bottomLeft" activeCell="R43" sqref="R43"/>
    </sheetView>
  </sheetViews>
  <sheetFormatPr defaultRowHeight="14.25" outlineLevelRow="1" x14ac:dyDescent="0.2"/>
  <cols>
    <col min="1" max="1" width="3.28515625" style="66" customWidth="1"/>
    <col min="2" max="2" width="4" style="66" customWidth="1"/>
    <col min="3" max="3" width="26.42578125" style="69" customWidth="1"/>
    <col min="4" max="4" width="15.140625" style="69" customWidth="1"/>
    <col min="5" max="5" width="10.85546875" style="66" customWidth="1"/>
    <col min="6" max="7" width="11.85546875" style="66" customWidth="1"/>
    <col min="8" max="8" width="10.7109375" style="66" customWidth="1"/>
    <col min="9" max="13" width="11.28515625" style="66" customWidth="1"/>
    <col min="14" max="14" width="4" style="66" customWidth="1"/>
    <col min="15" max="15" width="25.85546875" style="69" customWidth="1"/>
    <col min="16" max="16" width="10.85546875" style="66" customWidth="1"/>
    <col min="17" max="17" width="10.7109375" style="66" customWidth="1"/>
    <col min="18" max="18" width="11.140625" style="66" customWidth="1"/>
    <col min="19" max="19" width="11.28515625" style="66" customWidth="1"/>
    <col min="20" max="16384" width="9.140625" style="66"/>
  </cols>
  <sheetData>
    <row r="1" spans="1:25" ht="155.25" customHeight="1" x14ac:dyDescent="0.2">
      <c r="C1" s="66"/>
      <c r="D1" s="66"/>
    </row>
    <row r="2" spans="1:25" ht="29.25" customHeight="1" x14ac:dyDescent="0.3">
      <c r="B2" s="69"/>
      <c r="C2" s="558" t="s">
        <v>351</v>
      </c>
      <c r="D2" s="558"/>
      <c r="E2" s="558"/>
      <c r="F2" s="558"/>
      <c r="G2" s="558"/>
      <c r="H2" s="558"/>
      <c r="I2" s="558"/>
      <c r="J2" s="558"/>
      <c r="K2" s="558"/>
      <c r="L2" s="558"/>
      <c r="M2" s="558"/>
      <c r="N2" s="558"/>
      <c r="O2" s="558"/>
      <c r="P2" s="558"/>
      <c r="Q2" s="558"/>
      <c r="R2" s="558"/>
      <c r="S2" s="558"/>
      <c r="T2" s="558"/>
      <c r="U2" s="558"/>
    </row>
    <row r="3" spans="1:25" ht="8.25" customHeight="1" outlineLevel="1" x14ac:dyDescent="0.3">
      <c r="B3" s="69"/>
      <c r="C3" s="131"/>
      <c r="D3" s="131"/>
      <c r="E3" s="131"/>
      <c r="F3" s="131"/>
      <c r="G3" s="131"/>
      <c r="H3" s="131"/>
      <c r="I3" s="131"/>
      <c r="J3" s="518"/>
      <c r="K3" s="518"/>
      <c r="L3" s="518"/>
      <c r="M3" s="518"/>
      <c r="N3" s="131"/>
      <c r="O3" s="131"/>
      <c r="P3" s="131"/>
      <c r="Q3" s="131"/>
      <c r="R3" s="131"/>
    </row>
    <row r="4" spans="1:25" ht="9" hidden="1" customHeight="1" outlineLevel="1" x14ac:dyDescent="0.2">
      <c r="C4" s="66"/>
      <c r="D4" s="392"/>
      <c r="E4" s="393"/>
      <c r="F4" s="393"/>
      <c r="G4" s="393"/>
      <c r="H4" s="393"/>
      <c r="I4" s="393"/>
      <c r="J4" s="393"/>
      <c r="K4" s="393"/>
      <c r="L4" s="393"/>
      <c r="M4" s="393"/>
      <c r="N4" s="393"/>
      <c r="O4" s="393"/>
      <c r="P4" s="393"/>
      <c r="Q4" s="393"/>
      <c r="R4" s="393"/>
      <c r="S4" s="394"/>
    </row>
    <row r="5" spans="1:25" ht="80.25" customHeight="1" outlineLevel="1" x14ac:dyDescent="0.2">
      <c r="D5" s="373" t="s">
        <v>401</v>
      </c>
      <c r="E5" s="70"/>
      <c r="F5" s="644" t="s">
        <v>500</v>
      </c>
      <c r="G5" s="644"/>
      <c r="H5" s="644"/>
      <c r="I5" s="644"/>
      <c r="J5" s="644"/>
      <c r="K5" s="644"/>
      <c r="L5" s="644"/>
      <c r="M5" s="644"/>
      <c r="N5" s="644"/>
      <c r="O5" s="644"/>
      <c r="P5" s="644"/>
      <c r="Q5" s="644"/>
      <c r="R5" s="644"/>
      <c r="S5" s="644"/>
    </row>
    <row r="6" spans="1:25" ht="14.25" customHeight="1" outlineLevel="1" x14ac:dyDescent="0.2">
      <c r="D6" s="392"/>
      <c r="E6" s="70"/>
      <c r="F6" s="173" t="s">
        <v>493</v>
      </c>
      <c r="G6" s="70"/>
      <c r="H6" s="169"/>
      <c r="I6" s="169"/>
      <c r="J6" s="169"/>
      <c r="K6" s="169"/>
      <c r="L6" s="169"/>
      <c r="M6" s="169"/>
      <c r="N6" s="169"/>
      <c r="O6" s="169"/>
      <c r="P6" s="291"/>
      <c r="Q6" s="169"/>
      <c r="R6" s="169"/>
      <c r="S6" s="70"/>
    </row>
    <row r="7" spans="1:25" ht="6.75" hidden="1" customHeight="1" outlineLevel="1" x14ac:dyDescent="0.2">
      <c r="D7" s="392"/>
      <c r="E7" s="70"/>
      <c r="F7" s="173"/>
      <c r="G7" s="70"/>
      <c r="H7" s="169"/>
      <c r="I7" s="169"/>
      <c r="J7" s="169"/>
      <c r="K7" s="169"/>
      <c r="L7" s="169"/>
      <c r="M7" s="169"/>
      <c r="N7" s="169"/>
      <c r="O7" s="169"/>
      <c r="P7" s="291"/>
      <c r="Q7" s="169"/>
      <c r="R7" s="169"/>
      <c r="S7" s="70"/>
    </row>
    <row r="8" spans="1:25" outlineLevel="1" x14ac:dyDescent="0.2">
      <c r="A8" s="129"/>
      <c r="D8" s="83"/>
      <c r="F8" s="169" t="s">
        <v>260</v>
      </c>
      <c r="H8" s="169"/>
      <c r="I8" s="169"/>
      <c r="J8" s="169"/>
      <c r="K8" s="169"/>
      <c r="L8" s="169"/>
      <c r="M8" s="169"/>
      <c r="N8" s="169"/>
      <c r="O8" s="169"/>
      <c r="P8" s="170"/>
      <c r="Q8" s="169"/>
      <c r="R8" s="169"/>
    </row>
    <row r="9" spans="1:25" ht="12" customHeight="1" outlineLevel="1" x14ac:dyDescent="0.3">
      <c r="A9" s="129"/>
      <c r="D9" s="83"/>
      <c r="F9" s="169"/>
      <c r="H9" s="169"/>
      <c r="I9" s="169"/>
      <c r="J9" s="169"/>
      <c r="K9" s="169"/>
      <c r="L9" s="169"/>
      <c r="M9" s="169"/>
      <c r="N9" s="169"/>
      <c r="O9" s="169"/>
      <c r="P9" s="170"/>
      <c r="Q9" s="169"/>
      <c r="R9" s="169"/>
      <c r="U9" s="63"/>
    </row>
    <row r="10" spans="1:25" ht="18.75" outlineLevel="1" x14ac:dyDescent="0.3">
      <c r="A10" s="129"/>
      <c r="D10" s="84" t="s">
        <v>338</v>
      </c>
      <c r="E10" s="63"/>
      <c r="F10" s="619" t="s">
        <v>365</v>
      </c>
      <c r="G10" s="619"/>
      <c r="H10" s="212"/>
      <c r="I10" s="169"/>
      <c r="J10" s="169"/>
      <c r="K10" s="169"/>
      <c r="L10" s="169"/>
      <c r="M10" s="169"/>
      <c r="N10" s="169"/>
      <c r="O10" s="169"/>
      <c r="P10" s="170"/>
      <c r="Q10" s="169"/>
      <c r="R10" s="169"/>
      <c r="U10" s="63"/>
    </row>
    <row r="11" spans="1:25" ht="16.5" customHeight="1" outlineLevel="1" x14ac:dyDescent="0.3">
      <c r="A11" s="129"/>
      <c r="D11" s="63"/>
      <c r="E11" s="63"/>
      <c r="F11" s="630" t="s">
        <v>339</v>
      </c>
      <c r="G11" s="630"/>
      <c r="H11" s="630"/>
      <c r="I11" s="169"/>
      <c r="J11" s="169"/>
      <c r="K11" s="169"/>
      <c r="L11" s="169"/>
      <c r="M11" s="169"/>
      <c r="N11" s="169"/>
      <c r="O11" s="170"/>
      <c r="P11" s="169"/>
      <c r="Q11" s="169"/>
    </row>
    <row r="12" spans="1:25" ht="12.75" customHeight="1" x14ac:dyDescent="0.2">
      <c r="A12" s="129"/>
    </row>
    <row r="13" spans="1:25" ht="9.75" customHeight="1" x14ac:dyDescent="0.2">
      <c r="A13" s="129"/>
    </row>
    <row r="14" spans="1:25" ht="15" x14ac:dyDescent="0.2">
      <c r="A14" s="129"/>
      <c r="C14" s="172" t="s">
        <v>488</v>
      </c>
    </row>
    <row r="15" spans="1:25" ht="11.25" customHeight="1" x14ac:dyDescent="0.2">
      <c r="A15" s="129"/>
    </row>
    <row r="16" spans="1:25" ht="15" customHeight="1" x14ac:dyDescent="0.2">
      <c r="A16" s="129"/>
      <c r="C16" s="241" t="s">
        <v>21</v>
      </c>
      <c r="D16" s="621" t="s">
        <v>362</v>
      </c>
      <c r="E16" s="623"/>
      <c r="F16" s="623"/>
      <c r="G16" s="623"/>
      <c r="H16" s="623"/>
      <c r="I16" s="623"/>
      <c r="J16" s="623"/>
      <c r="K16" s="623"/>
      <c r="L16" s="623"/>
      <c r="M16" s="623"/>
      <c r="O16" s="314" t="s">
        <v>21</v>
      </c>
      <c r="P16" s="642" t="s">
        <v>361</v>
      </c>
      <c r="Q16" s="643"/>
      <c r="R16" s="643"/>
      <c r="S16" s="643"/>
      <c r="T16" s="643"/>
      <c r="U16" s="643"/>
      <c r="V16" s="643"/>
      <c r="W16" s="643"/>
      <c r="X16" s="643"/>
      <c r="Y16" s="643"/>
    </row>
    <row r="17" spans="1:25" ht="15" customHeight="1" x14ac:dyDescent="0.2">
      <c r="A17" s="43"/>
      <c r="C17" s="241"/>
      <c r="D17" s="174">
        <v>2011</v>
      </c>
      <c r="E17" s="174">
        <v>2012</v>
      </c>
      <c r="F17" s="174">
        <v>2013</v>
      </c>
      <c r="G17" s="174">
        <v>2014</v>
      </c>
      <c r="H17" s="521">
        <v>2015</v>
      </c>
      <c r="I17" s="521">
        <v>2016</v>
      </c>
      <c r="J17" s="521">
        <v>2017</v>
      </c>
      <c r="K17" s="521">
        <v>2018</v>
      </c>
      <c r="L17" s="521">
        <v>2019</v>
      </c>
      <c r="M17" s="521">
        <v>2020</v>
      </c>
      <c r="O17" s="313"/>
      <c r="P17" s="174">
        <v>2011</v>
      </c>
      <c r="Q17" s="174">
        <v>2012</v>
      </c>
      <c r="R17" s="174">
        <v>2013</v>
      </c>
      <c r="S17" s="174">
        <v>2014</v>
      </c>
      <c r="T17" s="521">
        <v>2015</v>
      </c>
      <c r="U17" s="521">
        <v>2016</v>
      </c>
      <c r="V17" s="521">
        <v>2017</v>
      </c>
      <c r="W17" s="521">
        <v>2018</v>
      </c>
      <c r="X17" s="521">
        <v>2019</v>
      </c>
      <c r="Y17" s="521">
        <v>2020</v>
      </c>
    </row>
    <row r="18" spans="1:25" ht="15" customHeight="1" x14ac:dyDescent="0.2">
      <c r="A18" s="43"/>
      <c r="C18" s="154" t="s">
        <v>22</v>
      </c>
      <c r="D18" s="213">
        <f>(2234431+3706474+356470+6585253)/1000000</f>
        <v>12.882628</v>
      </c>
      <c r="E18" s="213">
        <f>+D18</f>
        <v>12.882628</v>
      </c>
      <c r="F18" s="213">
        <f>+E18</f>
        <v>12.882628</v>
      </c>
      <c r="G18" s="213">
        <f>+F18</f>
        <v>12.882628</v>
      </c>
      <c r="H18" s="213"/>
      <c r="I18" s="213"/>
      <c r="J18" s="213"/>
      <c r="K18" s="213"/>
      <c r="L18" s="213"/>
      <c r="M18" s="213"/>
      <c r="O18" s="154" t="s">
        <v>22</v>
      </c>
      <c r="P18" s="213">
        <v>4.5999999999999996</v>
      </c>
      <c r="Q18" s="213">
        <f>+P18</f>
        <v>4.5999999999999996</v>
      </c>
      <c r="R18" s="213">
        <f>+Q18</f>
        <v>4.5999999999999996</v>
      </c>
      <c r="S18" s="213">
        <f>+R18</f>
        <v>4.5999999999999996</v>
      </c>
      <c r="T18" s="213"/>
      <c r="U18" s="213"/>
      <c r="V18" s="213"/>
      <c r="W18" s="213"/>
      <c r="X18" s="213"/>
      <c r="Y18" s="213"/>
    </row>
    <row r="19" spans="1:25" x14ac:dyDescent="0.2">
      <c r="A19" s="43"/>
      <c r="C19" s="155" t="s">
        <v>32</v>
      </c>
      <c r="D19" s="156" t="s">
        <v>24</v>
      </c>
      <c r="E19" s="213">
        <v>6.6</v>
      </c>
      <c r="F19" s="213">
        <f>+E19</f>
        <v>6.6</v>
      </c>
      <c r="G19" s="213">
        <f>+F19</f>
        <v>6.6</v>
      </c>
      <c r="H19" s="213"/>
      <c r="I19" s="213"/>
      <c r="J19" s="213"/>
      <c r="K19" s="213"/>
      <c r="L19" s="213"/>
      <c r="M19" s="213"/>
      <c r="O19" s="155" t="s">
        <v>32</v>
      </c>
      <c r="P19" s="156"/>
      <c r="Q19" s="213">
        <v>3.4</v>
      </c>
      <c r="R19" s="213">
        <f>+Q19</f>
        <v>3.4</v>
      </c>
      <c r="S19" s="213">
        <f>+R19</f>
        <v>3.4</v>
      </c>
      <c r="T19" s="213"/>
      <c r="U19" s="213"/>
      <c r="V19" s="213"/>
      <c r="W19" s="213"/>
      <c r="X19" s="213"/>
      <c r="Y19" s="213"/>
    </row>
    <row r="20" spans="1:25" ht="15" customHeight="1" x14ac:dyDescent="0.2">
      <c r="A20" s="43"/>
      <c r="C20" s="154" t="s">
        <v>204</v>
      </c>
      <c r="D20" s="156" t="s">
        <v>24</v>
      </c>
      <c r="E20" s="156"/>
      <c r="F20" s="213">
        <v>8.9</v>
      </c>
      <c r="G20" s="213">
        <f>+F20</f>
        <v>8.9</v>
      </c>
      <c r="H20" s="213"/>
      <c r="I20" s="213"/>
      <c r="J20" s="213"/>
      <c r="K20" s="213"/>
      <c r="L20" s="213"/>
      <c r="M20" s="213"/>
      <c r="O20" s="154" t="s">
        <v>204</v>
      </c>
      <c r="P20" s="156"/>
      <c r="Q20" s="156"/>
      <c r="R20" s="213">
        <v>8.9</v>
      </c>
      <c r="S20" s="213">
        <f>+R20</f>
        <v>8.9</v>
      </c>
      <c r="T20" s="213"/>
      <c r="U20" s="213"/>
      <c r="V20" s="213"/>
      <c r="W20" s="213"/>
      <c r="X20" s="213"/>
      <c r="Y20" s="213"/>
    </row>
    <row r="21" spans="1:25" ht="15" customHeight="1" x14ac:dyDescent="0.2">
      <c r="A21" s="43"/>
      <c r="C21" s="154" t="s">
        <v>205</v>
      </c>
      <c r="D21" s="156"/>
      <c r="E21" s="156"/>
      <c r="F21" s="156"/>
      <c r="G21" s="213">
        <v>11.9</v>
      </c>
      <c r="H21" s="213"/>
      <c r="I21" s="213"/>
      <c r="J21" s="213"/>
      <c r="K21" s="213"/>
      <c r="L21" s="213"/>
      <c r="M21" s="213"/>
      <c r="O21" s="154" t="s">
        <v>205</v>
      </c>
      <c r="P21" s="156"/>
      <c r="Q21" s="156"/>
      <c r="R21" s="156"/>
      <c r="S21" s="213">
        <v>9.9</v>
      </c>
      <c r="T21" s="213"/>
      <c r="U21" s="213"/>
      <c r="V21" s="213"/>
      <c r="W21" s="213"/>
      <c r="X21" s="213"/>
      <c r="Y21" s="213"/>
    </row>
    <row r="22" spans="1:25" ht="15" customHeight="1" x14ac:dyDescent="0.2">
      <c r="A22" s="43"/>
      <c r="C22" s="1"/>
      <c r="D22" s="1"/>
      <c r="E22" s="1"/>
      <c r="F22" s="1"/>
      <c r="G22" s="1"/>
      <c r="P22" s="69"/>
      <c r="Q22" s="69"/>
      <c r="R22" s="69"/>
      <c r="S22" s="69"/>
      <c r="W22" s="157"/>
    </row>
    <row r="23" spans="1:25" ht="15" customHeight="1" x14ac:dyDescent="0.2">
      <c r="A23" s="43"/>
      <c r="C23" s="241" t="s">
        <v>21</v>
      </c>
      <c r="D23" s="642" t="s">
        <v>44</v>
      </c>
      <c r="E23" s="643"/>
      <c r="F23" s="643"/>
      <c r="G23" s="643"/>
      <c r="H23" s="643"/>
      <c r="I23" s="643"/>
      <c r="J23" s="643"/>
      <c r="K23" s="643"/>
      <c r="L23" s="643"/>
      <c r="M23" s="643"/>
      <c r="O23" s="316" t="s">
        <v>21</v>
      </c>
      <c r="P23" s="621" t="s">
        <v>263</v>
      </c>
      <c r="Q23" s="623"/>
      <c r="R23" s="623"/>
      <c r="S23" s="623"/>
      <c r="T23" s="623"/>
      <c r="U23" s="623"/>
      <c r="V23" s="623"/>
      <c r="W23" s="623"/>
      <c r="X23" s="623"/>
      <c r="Y23" s="623"/>
    </row>
    <row r="24" spans="1:25" ht="15" customHeight="1" x14ac:dyDescent="0.25">
      <c r="A24" s="43"/>
      <c r="C24" s="241"/>
      <c r="D24" s="306">
        <v>2011</v>
      </c>
      <c r="E24" s="306">
        <v>2012</v>
      </c>
      <c r="F24" s="306">
        <v>2013</v>
      </c>
      <c r="G24" s="306">
        <v>2014</v>
      </c>
      <c r="H24" s="521">
        <v>2015</v>
      </c>
      <c r="I24" s="521">
        <v>2016</v>
      </c>
      <c r="J24" s="521">
        <v>2017</v>
      </c>
      <c r="K24" s="521">
        <v>2018</v>
      </c>
      <c r="L24" s="521">
        <v>2019</v>
      </c>
      <c r="M24" s="521">
        <v>2020</v>
      </c>
      <c r="O24" s="315"/>
      <c r="P24" s="306">
        <v>2011</v>
      </c>
      <c r="Q24" s="306">
        <v>2012</v>
      </c>
      <c r="R24" s="306">
        <v>2013</v>
      </c>
      <c r="S24" s="306">
        <v>2014</v>
      </c>
      <c r="T24" s="306">
        <v>2015</v>
      </c>
      <c r="U24" s="306">
        <v>2016</v>
      </c>
      <c r="V24" s="306">
        <v>2017</v>
      </c>
      <c r="W24" s="306">
        <v>2018</v>
      </c>
      <c r="X24" s="306">
        <v>2019</v>
      </c>
      <c r="Y24" s="306">
        <v>2020</v>
      </c>
    </row>
    <row r="25" spans="1:25" ht="16.5" customHeight="1" x14ac:dyDescent="0.2">
      <c r="A25" s="43"/>
      <c r="C25" s="30">
        <v>2011</v>
      </c>
      <c r="D25" s="22"/>
      <c r="E25" s="31">
        <f t="shared" ref="E25:J25" si="0">E18/$D$18</f>
        <v>1</v>
      </c>
      <c r="F25" s="31">
        <f t="shared" si="0"/>
        <v>1</v>
      </c>
      <c r="G25" s="31">
        <f t="shared" si="0"/>
        <v>1</v>
      </c>
      <c r="H25" s="31">
        <f t="shared" si="0"/>
        <v>0</v>
      </c>
      <c r="I25" s="31">
        <f t="shared" si="0"/>
        <v>0</v>
      </c>
      <c r="J25" s="31">
        <f t="shared" si="0"/>
        <v>0</v>
      </c>
      <c r="K25" s="31">
        <f t="shared" ref="K25:M25" si="1">K18/$D$18</f>
        <v>0</v>
      </c>
      <c r="L25" s="31">
        <f t="shared" si="1"/>
        <v>0</v>
      </c>
      <c r="M25" s="31">
        <f t="shared" si="1"/>
        <v>0</v>
      </c>
      <c r="O25" s="526">
        <v>2011</v>
      </c>
      <c r="P25" s="527"/>
      <c r="Q25" s="529">
        <f>Q18/$P$18</f>
        <v>1</v>
      </c>
      <c r="R25" s="529">
        <f>R18/$P$18</f>
        <v>1</v>
      </c>
      <c r="S25" s="529">
        <f>S18/$P$18</f>
        <v>1</v>
      </c>
      <c r="T25" s="529">
        <f t="shared" ref="T25:X25" si="2">T18/$P$18</f>
        <v>0</v>
      </c>
      <c r="U25" s="529">
        <f>U18/$P$18</f>
        <v>0</v>
      </c>
      <c r="V25" s="529">
        <f t="shared" si="2"/>
        <v>0</v>
      </c>
      <c r="W25" s="529">
        <f>W18/$P$18</f>
        <v>0</v>
      </c>
      <c r="X25" s="529">
        <f t="shared" si="2"/>
        <v>0</v>
      </c>
      <c r="Y25" s="529">
        <f>Y18/$P$18</f>
        <v>0</v>
      </c>
    </row>
    <row r="26" spans="1:25" ht="16.5" customHeight="1" x14ac:dyDescent="0.2">
      <c r="A26" s="43"/>
      <c r="C26" s="30">
        <v>2012</v>
      </c>
      <c r="D26" s="22"/>
      <c r="E26" s="22"/>
      <c r="F26" s="31">
        <f>F19/$E$19</f>
        <v>1</v>
      </c>
      <c r="G26" s="31">
        <f>G19/$E$19</f>
        <v>1</v>
      </c>
      <c r="H26" s="31">
        <f>H19/$E$19</f>
        <v>0</v>
      </c>
      <c r="I26" s="31">
        <f t="shared" ref="I26:J26" si="3">I19/$E$19</f>
        <v>0</v>
      </c>
      <c r="J26" s="31">
        <f t="shared" si="3"/>
        <v>0</v>
      </c>
      <c r="K26" s="31">
        <f>K19/$E$19</f>
        <v>0</v>
      </c>
      <c r="L26" s="31">
        <f>L19/$E$19</f>
        <v>0</v>
      </c>
      <c r="M26" s="31">
        <f>M19/$E$19</f>
        <v>0</v>
      </c>
      <c r="O26" s="526">
        <v>2012</v>
      </c>
      <c r="P26" s="527"/>
      <c r="Q26" s="530"/>
      <c r="R26" s="529">
        <f>R19/$Q$19</f>
        <v>1</v>
      </c>
      <c r="S26" s="529">
        <f>S19/$Q$19</f>
        <v>1</v>
      </c>
      <c r="T26" s="529">
        <f t="shared" ref="T26:X26" si="4">T19/$Q$19</f>
        <v>0</v>
      </c>
      <c r="U26" s="529">
        <f>U19/$Q$19</f>
        <v>0</v>
      </c>
      <c r="V26" s="529">
        <f t="shared" si="4"/>
        <v>0</v>
      </c>
      <c r="W26" s="529">
        <f>W19/$Q$19</f>
        <v>0</v>
      </c>
      <c r="X26" s="529">
        <f t="shared" si="4"/>
        <v>0</v>
      </c>
      <c r="Y26" s="529">
        <f>Y19/$Q$19</f>
        <v>0</v>
      </c>
    </row>
    <row r="27" spans="1:25" ht="16.5" customHeight="1" x14ac:dyDescent="0.2">
      <c r="A27" s="43"/>
      <c r="C27" s="526">
        <v>2013</v>
      </c>
      <c r="D27" s="527"/>
      <c r="E27" s="527"/>
      <c r="F27" s="528"/>
      <c r="G27" s="529">
        <f>G20/$F$20</f>
        <v>1</v>
      </c>
      <c r="H27" s="529">
        <f>H20/$F$20</f>
        <v>0</v>
      </c>
      <c r="I27" s="529">
        <f t="shared" ref="I27:M27" si="5">I20/$F$20</f>
        <v>0</v>
      </c>
      <c r="J27" s="529">
        <f t="shared" si="5"/>
        <v>0</v>
      </c>
      <c r="K27" s="529">
        <f t="shared" si="5"/>
        <v>0</v>
      </c>
      <c r="L27" s="529">
        <f t="shared" si="5"/>
        <v>0</v>
      </c>
      <c r="M27" s="529">
        <f t="shared" si="5"/>
        <v>0</v>
      </c>
      <c r="O27" s="526">
        <v>2013</v>
      </c>
      <c r="P27" s="527"/>
      <c r="Q27" s="527"/>
      <c r="R27" s="528"/>
      <c r="S27" s="529">
        <f>S20/$R$20</f>
        <v>1</v>
      </c>
      <c r="T27" s="529">
        <f t="shared" ref="T27:Y27" si="6">T20/$R$20</f>
        <v>0</v>
      </c>
      <c r="U27" s="529">
        <f t="shared" si="6"/>
        <v>0</v>
      </c>
      <c r="V27" s="529">
        <f t="shared" si="6"/>
        <v>0</v>
      </c>
      <c r="W27" s="529">
        <f t="shared" si="6"/>
        <v>0</v>
      </c>
      <c r="X27" s="529">
        <f t="shared" si="6"/>
        <v>0</v>
      </c>
      <c r="Y27" s="529">
        <f t="shared" si="6"/>
        <v>0</v>
      </c>
    </row>
    <row r="28" spans="1:25" ht="16.5" customHeight="1" x14ac:dyDescent="0.2">
      <c r="A28" s="43"/>
      <c r="C28" s="526">
        <v>2014</v>
      </c>
      <c r="D28" s="527"/>
      <c r="E28" s="527"/>
      <c r="F28" s="528"/>
      <c r="G28" s="529"/>
      <c r="H28" s="31">
        <f t="shared" ref="H28:M28" si="7">H21/$G$21</f>
        <v>0</v>
      </c>
      <c r="I28" s="31">
        <f t="shared" si="7"/>
        <v>0</v>
      </c>
      <c r="J28" s="31">
        <f t="shared" si="7"/>
        <v>0</v>
      </c>
      <c r="K28" s="31">
        <f t="shared" si="7"/>
        <v>0</v>
      </c>
      <c r="L28" s="31">
        <f t="shared" si="7"/>
        <v>0</v>
      </c>
      <c r="M28" s="31">
        <f t="shared" si="7"/>
        <v>0</v>
      </c>
      <c r="O28" s="526">
        <v>2014</v>
      </c>
      <c r="P28" s="527"/>
      <c r="Q28" s="527"/>
      <c r="R28" s="528"/>
      <c r="S28" s="529"/>
      <c r="T28" s="532">
        <f>T21/$S$21</f>
        <v>0</v>
      </c>
      <c r="U28" s="532">
        <f t="shared" ref="U28:X28" si="8">U21/$S$21</f>
        <v>0</v>
      </c>
      <c r="V28" s="532">
        <f t="shared" si="8"/>
        <v>0</v>
      </c>
      <c r="W28" s="532">
        <f t="shared" si="8"/>
        <v>0</v>
      </c>
      <c r="X28" s="532">
        <f t="shared" si="8"/>
        <v>0</v>
      </c>
      <c r="Y28" s="532">
        <f>Y21/$S$21</f>
        <v>0</v>
      </c>
    </row>
    <row r="29" spans="1:25" ht="9" customHeight="1" x14ac:dyDescent="0.2">
      <c r="A29" s="43"/>
      <c r="C29" s="32"/>
      <c r="D29" s="302"/>
      <c r="E29" s="302"/>
      <c r="F29" s="303"/>
      <c r="G29" s="304"/>
      <c r="O29" s="32"/>
      <c r="P29" s="302"/>
      <c r="Q29" s="302"/>
      <c r="R29" s="303"/>
      <c r="S29" s="304"/>
      <c r="V29" s="157"/>
      <c r="W29" s="157"/>
    </row>
    <row r="30" spans="1:25" ht="9.75" customHeight="1" x14ac:dyDescent="0.2">
      <c r="A30" s="43"/>
      <c r="U30" s="157"/>
      <c r="V30" s="157"/>
      <c r="W30" s="157"/>
    </row>
    <row r="31" spans="1:25" ht="18.75" x14ac:dyDescent="0.2">
      <c r="A31" s="43"/>
      <c r="C31" s="172" t="s">
        <v>489</v>
      </c>
      <c r="E31" s="153"/>
      <c r="F31" s="153"/>
      <c r="G31" s="153"/>
      <c r="H31" s="153"/>
      <c r="I31" s="153"/>
      <c r="J31" s="153"/>
      <c r="K31" s="153"/>
      <c r="L31" s="153"/>
      <c r="M31" s="153"/>
      <c r="N31" s="153"/>
      <c r="O31" s="153"/>
      <c r="P31" s="153"/>
      <c r="Q31" s="153"/>
      <c r="R31" s="153"/>
      <c r="S31" s="153"/>
    </row>
    <row r="32" spans="1:25" ht="8.25" customHeight="1" x14ac:dyDescent="0.2">
      <c r="D32" s="66"/>
      <c r="J32" s="153"/>
      <c r="K32" s="153"/>
      <c r="L32" s="153"/>
      <c r="M32" s="153"/>
    </row>
    <row r="33" spans="1:24" ht="18.75" x14ac:dyDescent="0.25">
      <c r="C33" s="633" t="s">
        <v>21</v>
      </c>
      <c r="D33" s="620" t="s">
        <v>362</v>
      </c>
      <c r="E33" s="622"/>
      <c r="F33" s="622"/>
      <c r="G33" s="622"/>
      <c r="H33" s="622"/>
      <c r="I33" s="632"/>
      <c r="J33" s="153"/>
      <c r="K33" s="153"/>
      <c r="L33" s="153"/>
      <c r="M33" s="153"/>
      <c r="N33" s="158"/>
      <c r="O33" s="635" t="s">
        <v>21</v>
      </c>
      <c r="P33" s="636" t="s">
        <v>361</v>
      </c>
      <c r="Q33" s="637"/>
      <c r="R33" s="637"/>
      <c r="S33" s="637"/>
      <c r="T33" s="637"/>
      <c r="U33" s="637"/>
      <c r="V33" s="638"/>
      <c r="W33" s="158"/>
    </row>
    <row r="34" spans="1:24" ht="14.25" customHeight="1" x14ac:dyDescent="0.25">
      <c r="C34" s="634"/>
      <c r="D34" s="174">
        <v>2015</v>
      </c>
      <c r="E34" s="174">
        <v>2016</v>
      </c>
      <c r="F34" s="174">
        <v>2017</v>
      </c>
      <c r="G34" s="174">
        <v>2018</v>
      </c>
      <c r="H34" s="176">
        <v>2019</v>
      </c>
      <c r="I34" s="174">
        <v>2020</v>
      </c>
      <c r="J34" s="153"/>
      <c r="K34" s="153"/>
      <c r="L34" s="153"/>
      <c r="M34" s="153"/>
      <c r="N34" s="159"/>
      <c r="O34" s="635"/>
      <c r="P34" s="175"/>
      <c r="Q34" s="175">
        <v>2015</v>
      </c>
      <c r="R34" s="175">
        <v>2016</v>
      </c>
      <c r="S34" s="175">
        <v>2017</v>
      </c>
      <c r="T34" s="175">
        <v>2018</v>
      </c>
      <c r="U34" s="175">
        <v>2019</v>
      </c>
      <c r="V34" s="175">
        <v>2020</v>
      </c>
      <c r="W34" s="160"/>
    </row>
    <row r="35" spans="1:24" ht="18.75" x14ac:dyDescent="0.2">
      <c r="C35" s="161" t="s">
        <v>216</v>
      </c>
      <c r="D35" s="214"/>
      <c r="E35" s="215"/>
      <c r="F35" s="215"/>
      <c r="G35" s="215"/>
      <c r="H35" s="215"/>
      <c r="I35" s="215"/>
      <c r="J35" s="153"/>
      <c r="K35" s="153"/>
      <c r="L35" s="153"/>
      <c r="M35" s="153"/>
      <c r="N35" s="162"/>
      <c r="O35" s="161" t="s">
        <v>216</v>
      </c>
      <c r="P35" s="163"/>
      <c r="Q35" s="216"/>
      <c r="R35" s="216"/>
      <c r="S35" s="216"/>
      <c r="T35" s="216"/>
      <c r="U35" s="216"/>
      <c r="V35" s="216"/>
      <c r="W35" s="164"/>
    </row>
    <row r="36" spans="1:24" ht="18.75" x14ac:dyDescent="0.2">
      <c r="C36" s="161" t="s">
        <v>217</v>
      </c>
      <c r="D36" s="165"/>
      <c r="E36" s="215"/>
      <c r="F36" s="215"/>
      <c r="G36" s="215"/>
      <c r="H36" s="215"/>
      <c r="I36" s="215"/>
      <c r="J36" s="153"/>
      <c r="K36" s="153"/>
      <c r="L36" s="153"/>
      <c r="M36" s="153"/>
      <c r="N36" s="162"/>
      <c r="O36" s="161" t="s">
        <v>217</v>
      </c>
      <c r="P36" s="163"/>
      <c r="Q36" s="166"/>
      <c r="R36" s="216"/>
      <c r="S36" s="216"/>
      <c r="T36" s="216"/>
      <c r="U36" s="216"/>
      <c r="V36" s="216"/>
      <c r="W36" s="164"/>
    </row>
    <row r="37" spans="1:24" ht="18.75" x14ac:dyDescent="0.2">
      <c r="C37" s="161" t="s">
        <v>218</v>
      </c>
      <c r="D37" s="165"/>
      <c r="E37" s="165"/>
      <c r="F37" s="215"/>
      <c r="G37" s="215"/>
      <c r="H37" s="215"/>
      <c r="I37" s="215"/>
      <c r="J37" s="153"/>
      <c r="K37" s="153"/>
      <c r="L37" s="153"/>
      <c r="M37" s="153"/>
      <c r="N37" s="162"/>
      <c r="O37" s="161" t="s">
        <v>218</v>
      </c>
      <c r="P37" s="163"/>
      <c r="Q37" s="166"/>
      <c r="R37" s="166"/>
      <c r="S37" s="216"/>
      <c r="T37" s="216"/>
      <c r="U37" s="216"/>
      <c r="V37" s="216"/>
      <c r="W37" s="164"/>
    </row>
    <row r="38" spans="1:24" ht="18.75" x14ac:dyDescent="0.2">
      <c r="C38" s="161" t="s">
        <v>219</v>
      </c>
      <c r="D38" s="165"/>
      <c r="E38" s="165"/>
      <c r="F38" s="165"/>
      <c r="G38" s="215"/>
      <c r="H38" s="215"/>
      <c r="I38" s="215"/>
      <c r="J38" s="153"/>
      <c r="K38" s="153"/>
      <c r="L38" s="153"/>
      <c r="M38" s="153"/>
      <c r="N38" s="162"/>
      <c r="O38" s="161" t="s">
        <v>219</v>
      </c>
      <c r="P38" s="163"/>
      <c r="Q38" s="166"/>
      <c r="R38" s="166"/>
      <c r="S38" s="166"/>
      <c r="T38" s="216"/>
      <c r="U38" s="216"/>
      <c r="V38" s="216"/>
      <c r="W38" s="164"/>
    </row>
    <row r="39" spans="1:24" ht="18.75" x14ac:dyDescent="0.2">
      <c r="C39" s="161" t="s">
        <v>220</v>
      </c>
      <c r="D39" s="165"/>
      <c r="E39" s="165"/>
      <c r="F39" s="165"/>
      <c r="G39" s="165"/>
      <c r="H39" s="215"/>
      <c r="I39" s="215"/>
      <c r="J39" s="153"/>
      <c r="K39" s="153"/>
      <c r="L39" s="153"/>
      <c r="M39" s="153"/>
      <c r="N39" s="162"/>
      <c r="O39" s="161" t="s">
        <v>220</v>
      </c>
      <c r="P39" s="163"/>
      <c r="Q39" s="166"/>
      <c r="R39" s="166"/>
      <c r="S39" s="166"/>
      <c r="T39" s="166"/>
      <c r="U39" s="216"/>
      <c r="V39" s="216"/>
      <c r="W39" s="164"/>
    </row>
    <row r="40" spans="1:24" ht="18.75" x14ac:dyDescent="0.2">
      <c r="C40" s="161" t="s">
        <v>221</v>
      </c>
      <c r="D40" s="165"/>
      <c r="E40" s="165"/>
      <c r="F40" s="165"/>
      <c r="G40" s="165"/>
      <c r="H40" s="165"/>
      <c r="I40" s="215"/>
      <c r="J40" s="153"/>
      <c r="K40" s="153"/>
      <c r="L40" s="153"/>
      <c r="M40" s="153"/>
      <c r="N40" s="162"/>
      <c r="O40" s="161" t="s">
        <v>221</v>
      </c>
      <c r="P40" s="163"/>
      <c r="Q40" s="166"/>
      <c r="R40" s="166"/>
      <c r="S40" s="166"/>
      <c r="T40" s="166"/>
      <c r="U40" s="166"/>
      <c r="V40" s="216"/>
      <c r="W40" s="164"/>
    </row>
    <row r="41" spans="1:24" ht="9.75" customHeight="1" x14ac:dyDescent="0.2">
      <c r="D41" s="83"/>
      <c r="E41" s="83"/>
      <c r="F41" s="83"/>
      <c r="G41" s="83"/>
      <c r="H41" s="83"/>
      <c r="I41" s="83"/>
      <c r="J41" s="153"/>
      <c r="K41" s="153"/>
      <c r="L41" s="153"/>
      <c r="M41" s="153"/>
      <c r="N41" s="83"/>
    </row>
    <row r="42" spans="1:24" ht="14.25" customHeight="1" x14ac:dyDescent="0.2">
      <c r="C42" s="633" t="s">
        <v>21</v>
      </c>
      <c r="D42" s="639" t="s">
        <v>44</v>
      </c>
      <c r="E42" s="640"/>
      <c r="F42" s="640"/>
      <c r="G42" s="640"/>
      <c r="H42" s="640"/>
      <c r="I42" s="641"/>
      <c r="J42" s="153"/>
      <c r="K42" s="153"/>
      <c r="L42" s="153"/>
      <c r="M42" s="153"/>
      <c r="O42" s="635" t="s">
        <v>21</v>
      </c>
      <c r="P42" s="642" t="s">
        <v>263</v>
      </c>
      <c r="Q42" s="643"/>
      <c r="R42" s="643"/>
      <c r="S42" s="643"/>
      <c r="T42" s="643"/>
      <c r="U42" s="643"/>
      <c r="V42" s="643"/>
      <c r="W42" s="160"/>
    </row>
    <row r="43" spans="1:24" ht="14.25" customHeight="1" x14ac:dyDescent="0.2">
      <c r="A43" s="631"/>
      <c r="C43" s="634"/>
      <c r="D43" s="175">
        <v>2015</v>
      </c>
      <c r="E43" s="175">
        <v>2016</v>
      </c>
      <c r="F43" s="175">
        <v>2017</v>
      </c>
      <c r="G43" s="175">
        <v>2018</v>
      </c>
      <c r="H43" s="175">
        <v>2019</v>
      </c>
      <c r="I43" s="175">
        <v>2020</v>
      </c>
      <c r="J43" s="153"/>
      <c r="K43" s="153"/>
      <c r="L43" s="153"/>
      <c r="M43" s="153"/>
      <c r="O43" s="635"/>
      <c r="P43" s="175"/>
      <c r="Q43" s="175">
        <v>2015</v>
      </c>
      <c r="R43" s="175">
        <v>2016</v>
      </c>
      <c r="S43" s="175">
        <v>2017</v>
      </c>
      <c r="T43" s="175">
        <v>2018</v>
      </c>
      <c r="U43" s="175">
        <v>2019</v>
      </c>
      <c r="V43" s="177">
        <v>2020</v>
      </c>
      <c r="W43" s="160"/>
      <c r="X43" s="13"/>
    </row>
    <row r="44" spans="1:24" ht="18.75" x14ac:dyDescent="0.2">
      <c r="A44" s="631"/>
      <c r="C44" s="161" t="s">
        <v>216</v>
      </c>
      <c r="D44" s="115"/>
      <c r="E44" s="509">
        <f>IFERROR((E35/$D$35),0)</f>
        <v>0</v>
      </c>
      <c r="F44" s="509">
        <f t="shared" ref="F44:I44" si="9">IFERROR((F35/$D$35),0)</f>
        <v>0</v>
      </c>
      <c r="G44" s="509">
        <f t="shared" si="9"/>
        <v>0</v>
      </c>
      <c r="H44" s="509">
        <f t="shared" si="9"/>
        <v>0</v>
      </c>
      <c r="I44" s="509">
        <f t="shared" si="9"/>
        <v>0</v>
      </c>
      <c r="J44" s="153"/>
      <c r="K44" s="153"/>
      <c r="L44" s="153"/>
      <c r="M44" s="153"/>
      <c r="N44" s="167"/>
      <c r="O44" s="161" t="s">
        <v>216</v>
      </c>
      <c r="P44" s="163"/>
      <c r="Q44" s="115"/>
      <c r="R44" s="509">
        <f>IFERROR((R35/$Q$35),0)</f>
        <v>0</v>
      </c>
      <c r="S44" s="509">
        <f t="shared" ref="S44:V44" si="10">IFERROR((S35/$Q$35),0)</f>
        <v>0</v>
      </c>
      <c r="T44" s="509">
        <f t="shared" si="10"/>
        <v>0</v>
      </c>
      <c r="U44" s="509">
        <f t="shared" si="10"/>
        <v>0</v>
      </c>
      <c r="V44" s="509">
        <f t="shared" si="10"/>
        <v>0</v>
      </c>
      <c r="W44" s="168"/>
      <c r="X44" s="13"/>
    </row>
    <row r="45" spans="1:24" ht="18.75" x14ac:dyDescent="0.2">
      <c r="A45" s="631"/>
      <c r="C45" s="161" t="s">
        <v>217</v>
      </c>
      <c r="D45" s="115"/>
      <c r="E45" s="509"/>
      <c r="F45" s="509">
        <f>IFERROR((F36/$E$36),0)</f>
        <v>0</v>
      </c>
      <c r="G45" s="509">
        <f t="shared" ref="G45:I45" si="11">IFERROR((G36/$E$36),0)</f>
        <v>0</v>
      </c>
      <c r="H45" s="509">
        <f t="shared" si="11"/>
        <v>0</v>
      </c>
      <c r="I45" s="509">
        <f t="shared" si="11"/>
        <v>0</v>
      </c>
      <c r="J45" s="153"/>
      <c r="K45" s="153"/>
      <c r="L45" s="153"/>
      <c r="M45" s="153"/>
      <c r="O45" s="161" t="s">
        <v>217</v>
      </c>
      <c r="P45" s="163"/>
      <c r="Q45" s="115"/>
      <c r="R45" s="509"/>
      <c r="S45" s="509">
        <f>IFERROR((S36/$R$36),0)</f>
        <v>0</v>
      </c>
      <c r="T45" s="509">
        <f t="shared" ref="T45:V45" si="12">IFERROR((T36/$R$36),0)</f>
        <v>0</v>
      </c>
      <c r="U45" s="509">
        <f t="shared" si="12"/>
        <v>0</v>
      </c>
      <c r="V45" s="509">
        <f t="shared" si="12"/>
        <v>0</v>
      </c>
      <c r="W45" s="160"/>
      <c r="X45" s="13"/>
    </row>
    <row r="46" spans="1:24" x14ac:dyDescent="0.2">
      <c r="A46" s="631"/>
      <c r="C46" s="161" t="s">
        <v>218</v>
      </c>
      <c r="D46" s="115"/>
      <c r="E46" s="509"/>
      <c r="F46" s="509"/>
      <c r="G46" s="509">
        <f>IFERROR((G37/$F$37),0)</f>
        <v>0</v>
      </c>
      <c r="H46" s="509">
        <f t="shared" ref="H46:I46" si="13">IFERROR((H37/$F$37),0)</f>
        <v>0</v>
      </c>
      <c r="I46" s="509">
        <f t="shared" si="13"/>
        <v>0</v>
      </c>
      <c r="J46" s="525"/>
      <c r="K46" s="525"/>
      <c r="L46" s="525"/>
      <c r="M46" s="525"/>
      <c r="O46" s="161" t="s">
        <v>218</v>
      </c>
      <c r="P46" s="163"/>
      <c r="Q46" s="115"/>
      <c r="R46" s="509"/>
      <c r="S46" s="509"/>
      <c r="T46" s="509">
        <f>IFERROR((T37/$S$37),0)</f>
        <v>0</v>
      </c>
      <c r="U46" s="509">
        <f t="shared" ref="U46:V46" si="14">IFERROR((U37/$S$37),0)</f>
        <v>0</v>
      </c>
      <c r="V46" s="509">
        <f t="shared" si="14"/>
        <v>0</v>
      </c>
      <c r="W46" s="168"/>
      <c r="X46" s="13"/>
    </row>
    <row r="47" spans="1:24" x14ac:dyDescent="0.2">
      <c r="C47" s="161" t="s">
        <v>219</v>
      </c>
      <c r="D47" s="115"/>
      <c r="E47" s="509"/>
      <c r="F47" s="509"/>
      <c r="G47" s="509"/>
      <c r="H47" s="509">
        <f>IFERROR((H38/$G$38),0)</f>
        <v>0</v>
      </c>
      <c r="I47" s="509">
        <f>IFERROR((I38/$G$38),0)</f>
        <v>0</v>
      </c>
      <c r="J47" s="525"/>
      <c r="K47" s="525"/>
      <c r="L47" s="525"/>
      <c r="M47" s="525"/>
      <c r="O47" s="161" t="s">
        <v>219</v>
      </c>
      <c r="P47" s="163"/>
      <c r="Q47" s="115"/>
      <c r="R47" s="509"/>
      <c r="S47" s="509"/>
      <c r="T47" s="509"/>
      <c r="U47" s="509">
        <f>IFERROR((U38/$T$38),0)</f>
        <v>0</v>
      </c>
      <c r="V47" s="509">
        <f>IFERROR((V38/$T$38),0)</f>
        <v>0</v>
      </c>
      <c r="W47" s="160"/>
    </row>
    <row r="48" spans="1:24" x14ac:dyDescent="0.2">
      <c r="C48" s="161" t="s">
        <v>220</v>
      </c>
      <c r="D48" s="115"/>
      <c r="E48" s="509"/>
      <c r="F48" s="509"/>
      <c r="G48" s="509"/>
      <c r="H48" s="509"/>
      <c r="I48" s="509">
        <f>IFERROR((I39/H39),0)</f>
        <v>0</v>
      </c>
      <c r="J48" s="525"/>
      <c r="K48" s="525"/>
      <c r="L48" s="525"/>
      <c r="M48" s="525"/>
      <c r="O48" s="161" t="s">
        <v>220</v>
      </c>
      <c r="P48" s="163"/>
      <c r="Q48" s="115"/>
      <c r="R48" s="509"/>
      <c r="S48" s="509"/>
      <c r="T48" s="509"/>
      <c r="U48" s="509"/>
      <c r="V48" s="509">
        <f>IFERROR((V39/U39),0)</f>
        <v>0</v>
      </c>
      <c r="W48" s="160"/>
    </row>
    <row r="51" spans="3:4" x14ac:dyDescent="0.2">
      <c r="C51" s="66"/>
      <c r="D51" s="66"/>
    </row>
    <row r="52" spans="3:4" x14ac:dyDescent="0.2">
      <c r="C52" s="66"/>
      <c r="D52" s="66"/>
    </row>
    <row r="53" spans="3:4" x14ac:dyDescent="0.2">
      <c r="C53" s="66"/>
      <c r="D53" s="66"/>
    </row>
    <row r="54" spans="3:4" x14ac:dyDescent="0.2">
      <c r="C54" s="66"/>
      <c r="D54" s="66"/>
    </row>
  </sheetData>
  <mergeCells count="17">
    <mergeCell ref="D23:M23"/>
    <mergeCell ref="P23:Y23"/>
    <mergeCell ref="F10:G10"/>
    <mergeCell ref="F11:H11"/>
    <mergeCell ref="C2:U2"/>
    <mergeCell ref="F5:S5"/>
    <mergeCell ref="D16:M16"/>
    <mergeCell ref="P16:Y16"/>
    <mergeCell ref="A43:A46"/>
    <mergeCell ref="D33:I33"/>
    <mergeCell ref="C33:C34"/>
    <mergeCell ref="O33:O34"/>
    <mergeCell ref="P33:V33"/>
    <mergeCell ref="C42:C43"/>
    <mergeCell ref="D42:I42"/>
    <mergeCell ref="O42:O43"/>
    <mergeCell ref="P42:V42"/>
  </mergeCells>
  <pageMargins left="0.32" right="0.1" top="0.74803149606299213" bottom="0.74803149606299213" header="0.31496062992125984" footer="0.31496062992125984"/>
  <pageSetup scale="52" orientation="landscape" cellComments="asDisplayed" r:id="rId1"/>
  <headerFooter>
    <oddHeader>&amp;L&amp;G</oddHead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164"/>
  <sheetViews>
    <sheetView tabSelected="1" zoomScale="90" zoomScaleNormal="90" workbookViewId="0">
      <pane ySplit="3" topLeftCell="A4" activePane="bottomLeft" state="frozen"/>
      <selection pane="bottomLeft" activeCell="A5" sqref="A5:XFD8"/>
    </sheetView>
  </sheetViews>
  <sheetFormatPr defaultRowHeight="15" outlineLevelRow="1" x14ac:dyDescent="0.25"/>
  <cols>
    <col min="1" max="1" width="4.5703125" style="26" customWidth="1"/>
    <col min="2" max="2" width="17.42578125" style="25" customWidth="1"/>
    <col min="3" max="3" width="22.28515625" style="26" customWidth="1"/>
    <col min="4" max="4" width="5" style="26" customWidth="1"/>
    <col min="5" max="5" width="12.140625" style="26" customWidth="1"/>
    <col min="6" max="6" width="11.42578125" style="26" customWidth="1"/>
    <col min="7" max="7" width="10.42578125" style="26" customWidth="1"/>
    <col min="8" max="8" width="14.5703125" style="47" customWidth="1"/>
    <col min="9" max="9" width="12" style="26" customWidth="1"/>
    <col min="10" max="10" width="11.5703125" style="26" customWidth="1"/>
    <col min="11" max="11" width="12.5703125" style="26" customWidth="1"/>
    <col min="12" max="12" width="11.5703125" style="26" customWidth="1"/>
    <col min="13" max="14" width="9.140625" style="26"/>
    <col min="15" max="15" width="12" style="26" customWidth="1"/>
    <col min="16" max="16" width="9.140625" style="26"/>
    <col min="17" max="17" width="11" style="26" bestFit="1" customWidth="1"/>
    <col min="18" max="18" width="4.140625" style="26" customWidth="1"/>
    <col min="19" max="16384" width="9.140625" style="26"/>
  </cols>
  <sheetData>
    <row r="1" spans="1:21" ht="153" customHeight="1" x14ac:dyDescent="0.25">
      <c r="E1" s="2"/>
      <c r="G1" s="2"/>
      <c r="I1" s="2"/>
      <c r="J1" s="2"/>
      <c r="K1" s="2"/>
      <c r="L1" s="2"/>
      <c r="M1" s="2"/>
      <c r="N1" s="2"/>
      <c r="O1" s="2"/>
      <c r="P1" s="2"/>
      <c r="Q1" s="2"/>
      <c r="R1" s="2"/>
      <c r="S1" s="2"/>
      <c r="T1" s="2"/>
      <c r="U1" s="2"/>
    </row>
    <row r="3" spans="1:21" ht="20.25" x14ac:dyDescent="0.25">
      <c r="A3" s="2"/>
      <c r="B3" s="645" t="s">
        <v>208</v>
      </c>
      <c r="C3" s="645"/>
      <c r="D3" s="645"/>
      <c r="E3" s="645"/>
      <c r="F3" s="645"/>
      <c r="G3" s="645"/>
      <c r="H3" s="645"/>
      <c r="I3" s="645"/>
      <c r="J3" s="645"/>
      <c r="K3" s="645"/>
      <c r="L3" s="645"/>
      <c r="M3" s="645"/>
      <c r="N3" s="645"/>
      <c r="O3" s="645"/>
      <c r="P3" s="645"/>
      <c r="Q3" s="645"/>
      <c r="R3" s="2"/>
      <c r="S3" s="2"/>
      <c r="T3" s="3"/>
      <c r="U3" s="2"/>
    </row>
    <row r="4" spans="1:21" ht="14.25" customHeight="1" outlineLevel="1" x14ac:dyDescent="0.3">
      <c r="B4" s="61"/>
      <c r="C4" s="398"/>
      <c r="D4" s="398"/>
      <c r="E4" s="399"/>
      <c r="F4" s="399"/>
      <c r="G4" s="399"/>
      <c r="H4" s="399"/>
      <c r="I4" s="399"/>
      <c r="J4" s="399"/>
      <c r="K4" s="399"/>
      <c r="L4" s="399"/>
      <c r="M4" s="399"/>
      <c r="N4" s="399"/>
      <c r="O4" s="399"/>
      <c r="P4" s="399"/>
      <c r="Q4" s="399"/>
      <c r="T4" s="3"/>
    </row>
    <row r="5" spans="1:21" s="23" customFormat="1" ht="18.75" hidden="1" outlineLevel="1" x14ac:dyDescent="0.3">
      <c r="A5" s="65"/>
      <c r="B5" s="202"/>
      <c r="C5" s="373" t="s">
        <v>401</v>
      </c>
      <c r="D5" s="376" t="s">
        <v>499</v>
      </c>
      <c r="E5" s="399"/>
      <c r="F5" s="399"/>
      <c r="G5" s="399"/>
      <c r="H5" s="399"/>
      <c r="I5" s="400"/>
      <c r="J5" s="400"/>
      <c r="K5" s="400"/>
      <c r="L5" s="400"/>
      <c r="M5" s="400"/>
      <c r="N5" s="399"/>
      <c r="O5" s="399"/>
      <c r="P5" s="47"/>
      <c r="Q5" s="47"/>
    </row>
    <row r="6" spans="1:21" s="23" customFormat="1" ht="18.75" hidden="1" customHeight="1" outlineLevel="1" x14ac:dyDescent="0.3">
      <c r="B6" s="202"/>
      <c r="C6" s="395"/>
      <c r="D6" s="376" t="s">
        <v>358</v>
      </c>
      <c r="E6" s="395"/>
      <c r="F6" s="395"/>
      <c r="G6" s="395"/>
      <c r="H6" s="395"/>
      <c r="I6" s="400"/>
      <c r="J6" s="400"/>
      <c r="K6" s="400"/>
      <c r="L6" s="400"/>
      <c r="M6" s="400"/>
      <c r="N6" s="395"/>
      <c r="O6" s="395"/>
      <c r="P6" s="47"/>
      <c r="Q6" s="47"/>
    </row>
    <row r="7" spans="1:21" s="23" customFormat="1" ht="49.5" hidden="1" customHeight="1" outlineLevel="1" x14ac:dyDescent="0.3">
      <c r="B7" s="202"/>
      <c r="C7" s="395"/>
      <c r="D7" s="629" t="s">
        <v>375</v>
      </c>
      <c r="E7" s="629"/>
      <c r="F7" s="629"/>
      <c r="G7" s="629"/>
      <c r="H7" s="629"/>
      <c r="I7" s="629"/>
      <c r="J7" s="629"/>
      <c r="K7" s="629"/>
      <c r="L7" s="629"/>
      <c r="M7" s="629"/>
      <c r="N7" s="629"/>
      <c r="O7" s="629"/>
      <c r="P7" s="629"/>
      <c r="Q7" s="629"/>
    </row>
    <row r="8" spans="1:21" s="23" customFormat="1" ht="12" hidden="1" customHeight="1" outlineLevel="1" x14ac:dyDescent="0.3">
      <c r="B8" s="202"/>
      <c r="C8" s="395"/>
      <c r="D8" s="376"/>
      <c r="E8" s="395"/>
      <c r="F8" s="395"/>
      <c r="G8" s="395"/>
      <c r="H8" s="395"/>
      <c r="I8" s="400"/>
      <c r="J8" s="400"/>
      <c r="K8" s="400"/>
      <c r="L8" s="400"/>
      <c r="M8" s="400"/>
      <c r="N8" s="395"/>
      <c r="O8" s="395"/>
      <c r="P8" s="47"/>
      <c r="Q8" s="47"/>
    </row>
    <row r="9" spans="1:21" s="23" customFormat="1" ht="18.75" customHeight="1" outlineLevel="1" x14ac:dyDescent="0.3">
      <c r="B9" s="202"/>
      <c r="C9" s="84" t="s">
        <v>338</v>
      </c>
      <c r="D9" s="219" t="s">
        <v>365</v>
      </c>
      <c r="E9" s="219"/>
      <c r="F9" s="219"/>
      <c r="G9" s="218"/>
      <c r="H9" s="395"/>
      <c r="I9" s="190"/>
      <c r="J9" s="190"/>
      <c r="K9" s="190"/>
      <c r="L9" s="190"/>
      <c r="M9" s="190"/>
      <c r="N9" s="218"/>
      <c r="O9" s="218"/>
      <c r="Q9" s="82"/>
    </row>
    <row r="10" spans="1:21" s="23" customFormat="1" ht="18.75" customHeight="1" outlineLevel="1" x14ac:dyDescent="0.3">
      <c r="B10" s="202"/>
      <c r="C10" s="242"/>
      <c r="D10" s="317" t="s">
        <v>339</v>
      </c>
      <c r="E10" s="242"/>
      <c r="F10" s="218"/>
      <c r="G10" s="218"/>
      <c r="H10" s="395"/>
      <c r="I10" s="190"/>
      <c r="J10" s="190"/>
      <c r="K10" s="190"/>
      <c r="L10" s="190"/>
      <c r="M10" s="190"/>
      <c r="N10" s="218"/>
      <c r="O10" s="218"/>
    </row>
    <row r="11" spans="1:21" s="23" customFormat="1" ht="6.75" customHeight="1" outlineLevel="1" x14ac:dyDescent="0.3">
      <c r="B11" s="242"/>
      <c r="C11" s="242"/>
      <c r="D11" s="317"/>
      <c r="E11" s="242"/>
      <c r="F11" s="242"/>
      <c r="G11" s="242"/>
      <c r="H11" s="395"/>
      <c r="I11" s="190"/>
      <c r="J11" s="190"/>
      <c r="K11" s="190"/>
      <c r="L11" s="190"/>
      <c r="M11" s="190"/>
      <c r="N11" s="242"/>
      <c r="O11" s="242"/>
    </row>
    <row r="12" spans="1:21" ht="8.25" customHeight="1" x14ac:dyDescent="0.3">
      <c r="B12" s="61"/>
      <c r="C12" s="61"/>
      <c r="D12" s="201"/>
      <c r="E12" s="62"/>
      <c r="F12" s="62"/>
      <c r="G12" s="62"/>
      <c r="H12" s="399"/>
      <c r="I12" s="191"/>
      <c r="J12" s="191"/>
      <c r="K12" s="191"/>
      <c r="L12" s="191"/>
      <c r="M12" s="191"/>
      <c r="N12" s="62"/>
      <c r="O12" s="62"/>
      <c r="P12" s="62"/>
      <c r="Q12" s="62"/>
      <c r="T12" s="3"/>
    </row>
    <row r="13" spans="1:21" s="309" customFormat="1" ht="17.25" customHeight="1" x14ac:dyDescent="0.25">
      <c r="B13" s="646" t="s">
        <v>491</v>
      </c>
      <c r="C13" s="646"/>
      <c r="D13" s="310"/>
      <c r="E13" s="311" t="s">
        <v>492</v>
      </c>
      <c r="F13" s="311"/>
      <c r="G13" s="311"/>
      <c r="H13" s="192"/>
      <c r="I13" s="311"/>
      <c r="J13" s="312"/>
      <c r="K13" s="312"/>
      <c r="L13" s="312"/>
      <c r="M13" s="312"/>
      <c r="N13" s="312"/>
      <c r="O13" s="312"/>
      <c r="P13" s="312"/>
      <c r="Q13" s="312"/>
    </row>
    <row r="14" spans="1:21" s="3" customFormat="1" ht="11.25" customHeight="1" x14ac:dyDescent="0.25">
      <c r="B14" s="56"/>
      <c r="E14" s="17"/>
      <c r="F14" s="17"/>
      <c r="G14" s="2"/>
      <c r="H14" s="47"/>
      <c r="I14" s="2"/>
      <c r="J14" s="2"/>
      <c r="K14" s="2"/>
      <c r="L14" s="2"/>
      <c r="M14" s="2"/>
      <c r="N14" s="2"/>
      <c r="O14" s="2"/>
      <c r="P14" s="2"/>
      <c r="Q14" s="2"/>
      <c r="S14" s="26"/>
      <c r="T14" s="26"/>
    </row>
    <row r="15" spans="1:21" s="3" customFormat="1" ht="51" x14ac:dyDescent="0.25">
      <c r="B15" s="224" t="s">
        <v>87</v>
      </c>
      <c r="C15" s="225" t="s">
        <v>366</v>
      </c>
      <c r="D15" s="193"/>
      <c r="E15" s="180" t="s">
        <v>86</v>
      </c>
      <c r="F15" s="180" t="s">
        <v>374</v>
      </c>
      <c r="G15" s="180" t="s">
        <v>87</v>
      </c>
      <c r="H15" s="180" t="s">
        <v>88</v>
      </c>
      <c r="I15" s="180" t="str">
        <f>'1.  LRAMVA Summary'!C21</f>
        <v>Residential</v>
      </c>
      <c r="J15" s="180" t="str">
        <f>'1.  LRAMVA Summary'!D21</f>
        <v>General Service &lt;50 kW</v>
      </c>
      <c r="K15" s="180" t="str">
        <f>'1.  LRAMVA Summary'!E21</f>
        <v>General Service &gt; 50 kW</v>
      </c>
      <c r="L15" s="180" t="str">
        <f>'1.  LRAMVA Summary'!F21</f>
        <v>General Service 1,000 - 4,999 kW</v>
      </c>
      <c r="M15" s="180" t="str">
        <f>'1.  LRAMVA Summary'!G21</f>
        <v>Sentinel Lighting</v>
      </c>
      <c r="N15" s="180" t="str">
        <f>'1.  LRAMVA Summary'!H21</f>
        <v>Street Lighting</v>
      </c>
      <c r="O15" s="180" t="str">
        <f>'1.  LRAMVA Summary'!I21</f>
        <v>Unmetered Scattered Load</v>
      </c>
      <c r="P15" s="180" t="s">
        <v>106</v>
      </c>
      <c r="Q15" s="180" t="str">
        <f>'1.  LRAMVA Summary'!K21</f>
        <v>Total</v>
      </c>
      <c r="S15" s="26"/>
      <c r="T15" s="26"/>
    </row>
    <row r="16" spans="1:21" s="3" customFormat="1" ht="12.75" x14ac:dyDescent="0.2">
      <c r="B16" s="222" t="s">
        <v>68</v>
      </c>
      <c r="C16" s="222">
        <v>1.47E-2</v>
      </c>
      <c r="D16" s="194"/>
      <c r="E16" s="182">
        <v>40544</v>
      </c>
      <c r="F16" s="228">
        <v>2011</v>
      </c>
      <c r="G16" s="183" t="s">
        <v>89</v>
      </c>
      <c r="H16" s="478">
        <f t="shared" ref="H16:H18" si="0">C$16/12</f>
        <v>1.225E-3</v>
      </c>
      <c r="I16" s="185">
        <f>SUM('1.  LRAMVA Summary'!C$22:C$23)*(MONTH($E16)-1)/12*$H16</f>
        <v>0</v>
      </c>
      <c r="J16" s="185">
        <f>SUM('1.  LRAMVA Summary'!D$22:D$23)*(MONTH($E16)-1)/12*$H16</f>
        <v>0</v>
      </c>
      <c r="K16" s="185">
        <f>SUM('1.  LRAMVA Summary'!E$22:E$23)*(MONTH($E16)-1)/12*$H16</f>
        <v>0</v>
      </c>
      <c r="L16" s="185">
        <f>SUM('1.  LRAMVA Summary'!F$22:F$23)*(MONTH($E16)-1)/12*$H16</f>
        <v>0</v>
      </c>
      <c r="M16" s="185">
        <f>SUM('1.  LRAMVA Summary'!G$22:G$23)*(MONTH($E16)-1)/12*$H16</f>
        <v>0</v>
      </c>
      <c r="N16" s="185">
        <f>SUM('1.  LRAMVA Summary'!H$22:H$23)*(MONTH($E16)-1)/12*$H16</f>
        <v>0</v>
      </c>
      <c r="O16" s="185">
        <f>SUM('1.  LRAMVA Summary'!I$22:I$23)*(MONTH($E16)-1)/12*$H16</f>
        <v>0</v>
      </c>
      <c r="P16" s="184"/>
      <c r="Q16" s="184">
        <f>SUM(I16:P16)</f>
        <v>0</v>
      </c>
    </row>
    <row r="17" spans="2:21" s="3" customFormat="1" ht="12.75" x14ac:dyDescent="0.2">
      <c r="B17" s="181" t="s">
        <v>69</v>
      </c>
      <c r="C17" s="181">
        <v>1.47E-2</v>
      </c>
      <c r="D17" s="194"/>
      <c r="E17" s="182">
        <v>40575</v>
      </c>
      <c r="F17" s="228">
        <v>2011</v>
      </c>
      <c r="G17" s="183" t="s">
        <v>89</v>
      </c>
      <c r="H17" s="478">
        <f t="shared" si="0"/>
        <v>1.225E-3</v>
      </c>
      <c r="I17" s="185">
        <f>SUM('1.  LRAMVA Summary'!C$22:C$23)*(MONTH($E17)-1)/12*$H17</f>
        <v>3.6039275416666663</v>
      </c>
      <c r="J17" s="185">
        <f>SUM('1.  LRAMVA Summary'!D$22:D$23)*(MONTH($E17)-1)/12*$H17</f>
        <v>7.7337394166666673</v>
      </c>
      <c r="K17" s="185">
        <f>SUM('1.  LRAMVA Summary'!E$22:E$23)*(MONTH($E17)-1)/12*$H17</f>
        <v>3.3945393124999996</v>
      </c>
      <c r="L17" s="185">
        <f>SUM('1.  LRAMVA Summary'!F$22:F$23)*(MONTH($E17)-1)/12*$H17</f>
        <v>0</v>
      </c>
      <c r="M17" s="185">
        <f>SUM('1.  LRAMVA Summary'!G$22:G$23)*(MONTH($E17)-1)/12*$H17</f>
        <v>0</v>
      </c>
      <c r="N17" s="185">
        <f>SUM('1.  LRAMVA Summary'!H$22:H$23)*(MONTH($E17)-1)/12*$H17</f>
        <v>0</v>
      </c>
      <c r="O17" s="185">
        <f>SUM('1.  LRAMVA Summary'!I$22:I$23)*(MONTH($E17)-1)/12*$H17</f>
        <v>0</v>
      </c>
      <c r="P17" s="184"/>
      <c r="Q17" s="184">
        <f>SUM(I17:P17)</f>
        <v>14.732206270833332</v>
      </c>
    </row>
    <row r="18" spans="2:21" s="3" customFormat="1" ht="12.75" x14ac:dyDescent="0.2">
      <c r="B18" s="181" t="s">
        <v>70</v>
      </c>
      <c r="C18" s="181">
        <v>1.47E-2</v>
      </c>
      <c r="D18" s="194"/>
      <c r="E18" s="182">
        <v>40603</v>
      </c>
      <c r="F18" s="228">
        <v>2011</v>
      </c>
      <c r="G18" s="183" t="s">
        <v>89</v>
      </c>
      <c r="H18" s="478">
        <f t="shared" si="0"/>
        <v>1.225E-3</v>
      </c>
      <c r="I18" s="185">
        <f>SUM('1.  LRAMVA Summary'!C$22:C$23)*(MONTH($E18)-1)/12*$H18</f>
        <v>7.2078550833333326</v>
      </c>
      <c r="J18" s="185">
        <f>SUM('1.  LRAMVA Summary'!D$22:D$23)*(MONTH($E18)-1)/12*$H18</f>
        <v>15.467478833333335</v>
      </c>
      <c r="K18" s="185">
        <f>SUM('1.  LRAMVA Summary'!E$22:E$23)*(MONTH($E18)-1)/12*$H18</f>
        <v>6.7890786249999993</v>
      </c>
      <c r="L18" s="185">
        <f>SUM('1.  LRAMVA Summary'!F$22:F$23)*(MONTH($E18)-1)/12*$H18</f>
        <v>0</v>
      </c>
      <c r="M18" s="185">
        <f>SUM('1.  LRAMVA Summary'!G$22:G$23)*(MONTH($E18)-1)/12*$H18</f>
        <v>0</v>
      </c>
      <c r="N18" s="185">
        <f>SUM('1.  LRAMVA Summary'!H$22:H$23)*(MONTH($E18)-1)/12*$H18</f>
        <v>0</v>
      </c>
      <c r="O18" s="185">
        <f>SUM('1.  LRAMVA Summary'!I$22:I$23)*(MONTH($E18)-1)/12*$H18</f>
        <v>0</v>
      </c>
      <c r="P18" s="184"/>
      <c r="Q18" s="184">
        <f t="shared" ref="Q18:Q27" si="1">SUM(I18:P18)</f>
        <v>29.464412541666665</v>
      </c>
    </row>
    <row r="19" spans="2:21" s="3" customFormat="1" ht="12.75" x14ac:dyDescent="0.2">
      <c r="B19" s="181" t="s">
        <v>71</v>
      </c>
      <c r="C19" s="181">
        <v>1.47E-2</v>
      </c>
      <c r="D19" s="194"/>
      <c r="E19" s="186">
        <v>40634</v>
      </c>
      <c r="F19" s="228">
        <v>2011</v>
      </c>
      <c r="G19" s="187" t="s">
        <v>90</v>
      </c>
      <c r="H19" s="478">
        <f>C$17/12</f>
        <v>1.225E-3</v>
      </c>
      <c r="I19" s="188">
        <f>SUM('1.  LRAMVA Summary'!C$22:C$23)*(MONTH($E19)-1)/12*$H19</f>
        <v>10.811782624999999</v>
      </c>
      <c r="J19" s="188">
        <f>SUM('1.  LRAMVA Summary'!D$22:D$23)*(MONTH($E19)-1)/12*$H19</f>
        <v>23.20121825</v>
      </c>
      <c r="K19" s="188">
        <f>SUM('1.  LRAMVA Summary'!E$22:E$23)*(MONTH($E19)-1)/12*$H19</f>
        <v>10.183617937499999</v>
      </c>
      <c r="L19" s="188">
        <f>SUM('1.  LRAMVA Summary'!F$22:F$23)*(MONTH($E19)-1)/12*$H19</f>
        <v>0</v>
      </c>
      <c r="M19" s="188">
        <f>SUM('1.  LRAMVA Summary'!G$22:G$23)*(MONTH($E19)-1)/12*$H19</f>
        <v>0</v>
      </c>
      <c r="N19" s="188">
        <f>SUM('1.  LRAMVA Summary'!H$22:H$23)*(MONTH($E19)-1)/12*$H19</f>
        <v>0</v>
      </c>
      <c r="O19" s="188">
        <f>SUM('1.  LRAMVA Summary'!I$22:I$23)*(MONTH($E19)-1)/12*$H19</f>
        <v>0</v>
      </c>
      <c r="P19" s="189"/>
      <c r="Q19" s="189">
        <f t="shared" si="1"/>
        <v>44.196618812500006</v>
      </c>
    </row>
    <row r="20" spans="2:21" s="3" customFormat="1" ht="12.75" x14ac:dyDescent="0.2">
      <c r="B20" s="181" t="s">
        <v>72</v>
      </c>
      <c r="C20" s="181">
        <v>1.47E-2</v>
      </c>
      <c r="D20" s="194"/>
      <c r="E20" s="186">
        <v>40664</v>
      </c>
      <c r="F20" s="228">
        <v>2011</v>
      </c>
      <c r="G20" s="187" t="s">
        <v>90</v>
      </c>
      <c r="H20" s="478">
        <f t="shared" ref="H20:H21" si="2">C$17/12</f>
        <v>1.225E-3</v>
      </c>
      <c r="I20" s="188">
        <f>SUM('1.  LRAMVA Summary'!C$22:C$23)*(MONTH($E20)-1)/12*$H20</f>
        <v>14.415710166666665</v>
      </c>
      <c r="J20" s="188">
        <f>SUM('1.  LRAMVA Summary'!D$22:D$23)*(MONTH($E20)-1)/12*$H20</f>
        <v>30.934957666666669</v>
      </c>
      <c r="K20" s="188">
        <f>SUM('1.  LRAMVA Summary'!E$22:E$23)*(MONTH($E20)-1)/12*$H20</f>
        <v>13.578157249999999</v>
      </c>
      <c r="L20" s="188">
        <f>SUM('1.  LRAMVA Summary'!F$22:F$23)*(MONTH($E20)-1)/12*$H20</f>
        <v>0</v>
      </c>
      <c r="M20" s="188">
        <f>SUM('1.  LRAMVA Summary'!G$22:G$23)*(MONTH($E20)-1)/12*$H20</f>
        <v>0</v>
      </c>
      <c r="N20" s="188">
        <f>SUM('1.  LRAMVA Summary'!H$22:H$23)*(MONTH($E20)-1)/12*$H20</f>
        <v>0</v>
      </c>
      <c r="O20" s="188">
        <f>SUM('1.  LRAMVA Summary'!I$22:I$23)*(MONTH($E20)-1)/12*$H20</f>
        <v>0</v>
      </c>
      <c r="P20" s="189"/>
      <c r="Q20" s="189">
        <f t="shared" si="1"/>
        <v>58.928825083333329</v>
      </c>
    </row>
    <row r="21" spans="2:21" s="3" customFormat="1" ht="12.75" x14ac:dyDescent="0.2">
      <c r="B21" s="181" t="s">
        <v>73</v>
      </c>
      <c r="C21" s="181">
        <v>1.47E-2</v>
      </c>
      <c r="D21" s="194"/>
      <c r="E21" s="186">
        <v>40695</v>
      </c>
      <c r="F21" s="228">
        <v>2011</v>
      </c>
      <c r="G21" s="187" t="s">
        <v>90</v>
      </c>
      <c r="H21" s="478">
        <f t="shared" si="2"/>
        <v>1.225E-3</v>
      </c>
      <c r="I21" s="188">
        <f>SUM('1.  LRAMVA Summary'!C$22:C$23)*(MONTH($E21)-1)/12*$H21</f>
        <v>18.019637708333331</v>
      </c>
      <c r="J21" s="188">
        <f>SUM('1.  LRAMVA Summary'!D$22:D$23)*(MONTH($E21)-1)/12*$H21</f>
        <v>38.668697083333335</v>
      </c>
      <c r="K21" s="188">
        <f>SUM('1.  LRAMVA Summary'!E$22:E$23)*(MONTH($E21)-1)/12*$H21</f>
        <v>16.972696562499998</v>
      </c>
      <c r="L21" s="188">
        <f>SUM('1.  LRAMVA Summary'!F$22:F$23)*(MONTH($E21)-1)/12*$H21</f>
        <v>0</v>
      </c>
      <c r="M21" s="188">
        <f>SUM('1.  LRAMVA Summary'!G$22:G$23)*(MONTH($E21)-1)/12*$H21</f>
        <v>0</v>
      </c>
      <c r="N21" s="188">
        <f>SUM('1.  LRAMVA Summary'!H$22:H$23)*(MONTH($E21)-1)/12*$H21</f>
        <v>0</v>
      </c>
      <c r="O21" s="188">
        <f>SUM('1.  LRAMVA Summary'!I$22:I$23)*(MONTH($E21)-1)/12*$H21</f>
        <v>0</v>
      </c>
      <c r="P21" s="189"/>
      <c r="Q21" s="189">
        <f t="shared" si="1"/>
        <v>73.661031354166653</v>
      </c>
    </row>
    <row r="22" spans="2:21" s="3" customFormat="1" ht="12.75" x14ac:dyDescent="0.2">
      <c r="B22" s="181" t="s">
        <v>74</v>
      </c>
      <c r="C22" s="181">
        <v>1.47E-2</v>
      </c>
      <c r="D22" s="194"/>
      <c r="E22" s="186">
        <v>40725</v>
      </c>
      <c r="F22" s="228">
        <v>2011</v>
      </c>
      <c r="G22" s="187" t="s">
        <v>92</v>
      </c>
      <c r="H22" s="478">
        <f>C$18/12</f>
        <v>1.225E-3</v>
      </c>
      <c r="I22" s="188">
        <f>SUM('1.  LRAMVA Summary'!C$22:C$23)*(MONTH($E22)-1)/12*$H22</f>
        <v>21.623565249999999</v>
      </c>
      <c r="J22" s="188">
        <f>SUM('1.  LRAMVA Summary'!D$22:D$23)*(MONTH($E22)-1)/12*$H22</f>
        <v>46.4024365</v>
      </c>
      <c r="K22" s="188">
        <f>SUM('1.  LRAMVA Summary'!E$22:E$23)*(MONTH($E22)-1)/12*$H22</f>
        <v>20.367235874999999</v>
      </c>
      <c r="L22" s="188">
        <f>SUM('1.  LRAMVA Summary'!F$22:F$23)*(MONTH($E22)-1)/12*$H22</f>
        <v>0</v>
      </c>
      <c r="M22" s="188">
        <f>SUM('1.  LRAMVA Summary'!G$22:G$23)*(MONTH($E22)-1)/12*$H22</f>
        <v>0</v>
      </c>
      <c r="N22" s="188">
        <f>SUM('1.  LRAMVA Summary'!H$22:H$23)*(MONTH($E22)-1)/12*$H22</f>
        <v>0</v>
      </c>
      <c r="O22" s="188">
        <f>SUM('1.  LRAMVA Summary'!I$22:I$23)*(MONTH($E22)-1)/12*$H22</f>
        <v>0</v>
      </c>
      <c r="P22" s="189"/>
      <c r="Q22" s="189">
        <f t="shared" si="1"/>
        <v>88.393237625000012</v>
      </c>
      <c r="U22" s="3">
        <f>3+7+11+15+8+22+26+28+33+36+40</f>
        <v>229</v>
      </c>
    </row>
    <row r="23" spans="2:21" s="3" customFormat="1" ht="12.75" x14ac:dyDescent="0.2">
      <c r="B23" s="181" t="s">
        <v>75</v>
      </c>
      <c r="C23" s="181">
        <v>1.47E-2</v>
      </c>
      <c r="D23" s="194"/>
      <c r="E23" s="186">
        <v>40756</v>
      </c>
      <c r="F23" s="228">
        <v>2011</v>
      </c>
      <c r="G23" s="187" t="s">
        <v>92</v>
      </c>
      <c r="H23" s="478">
        <f t="shared" ref="H23:H24" si="3">C$18/12</f>
        <v>1.225E-3</v>
      </c>
      <c r="I23" s="188">
        <f>SUM('1.  LRAMVA Summary'!C$22:C$23)*(MONTH($E23)-1)/12*$H23</f>
        <v>25.227492791666666</v>
      </c>
      <c r="J23" s="188">
        <f>SUM('1.  LRAMVA Summary'!D$22:D$23)*(MONTH($E23)-1)/12*$H23</f>
        <v>54.136175916666666</v>
      </c>
      <c r="K23" s="188">
        <f>SUM('1.  LRAMVA Summary'!E$22:E$23)*(MONTH($E23)-1)/12*$H23</f>
        <v>23.761775187499996</v>
      </c>
      <c r="L23" s="188">
        <f>SUM('1.  LRAMVA Summary'!F$22:F$23)*(MONTH($E23)-1)/12*$H23</f>
        <v>0</v>
      </c>
      <c r="M23" s="188">
        <f>SUM('1.  LRAMVA Summary'!G$22:G$23)*(MONTH($E23)-1)/12*$H23</f>
        <v>0</v>
      </c>
      <c r="N23" s="188">
        <f>SUM('1.  LRAMVA Summary'!H$22:H$23)*(MONTH($E23)-1)/12*$H23</f>
        <v>0</v>
      </c>
      <c r="O23" s="188">
        <f>SUM('1.  LRAMVA Summary'!I$22:I$23)*(MONTH($E23)-1)/12*$H23</f>
        <v>0</v>
      </c>
      <c r="P23" s="189"/>
      <c r="Q23" s="189">
        <f t="shared" si="1"/>
        <v>103.12544389583333</v>
      </c>
    </row>
    <row r="24" spans="2:21" s="3" customFormat="1" ht="12.75" x14ac:dyDescent="0.2">
      <c r="B24" s="181" t="s">
        <v>76</v>
      </c>
      <c r="C24" s="181">
        <v>1.47E-2</v>
      </c>
      <c r="D24" s="194"/>
      <c r="E24" s="186">
        <v>40787</v>
      </c>
      <c r="F24" s="228">
        <v>2011</v>
      </c>
      <c r="G24" s="187" t="s">
        <v>92</v>
      </c>
      <c r="H24" s="478">
        <f t="shared" si="3"/>
        <v>1.225E-3</v>
      </c>
      <c r="I24" s="188">
        <f>SUM('1.  LRAMVA Summary'!C$22:C$23)*(MONTH($E24)-1)/12*$H24</f>
        <v>28.83142033333333</v>
      </c>
      <c r="J24" s="188">
        <f>SUM('1.  LRAMVA Summary'!D$22:D$23)*(MONTH($E24)-1)/12*$H24</f>
        <v>61.869915333333338</v>
      </c>
      <c r="K24" s="188">
        <f>SUM('1.  LRAMVA Summary'!E$22:E$23)*(MONTH($E24)-1)/12*$H24</f>
        <v>27.156314499999997</v>
      </c>
      <c r="L24" s="188">
        <f>SUM('1.  LRAMVA Summary'!F$22:F$23)*(MONTH($E24)-1)/12*$H24</f>
        <v>0</v>
      </c>
      <c r="M24" s="188">
        <f>SUM('1.  LRAMVA Summary'!G$22:G$23)*(MONTH($E24)-1)/12*$H24</f>
        <v>0</v>
      </c>
      <c r="N24" s="188">
        <f>SUM('1.  LRAMVA Summary'!H$22:H$23)*(MONTH($E24)-1)/12*$H24</f>
        <v>0</v>
      </c>
      <c r="O24" s="188">
        <f>SUM('1.  LRAMVA Summary'!I$22:I$23)*(MONTH($E24)-1)/12*$H24</f>
        <v>0</v>
      </c>
      <c r="P24" s="189"/>
      <c r="Q24" s="189">
        <f t="shared" si="1"/>
        <v>117.85765016666666</v>
      </c>
    </row>
    <row r="25" spans="2:21" s="3" customFormat="1" ht="12.75" x14ac:dyDescent="0.2">
      <c r="B25" s="181" t="s">
        <v>77</v>
      </c>
      <c r="C25" s="181">
        <v>1.47E-2</v>
      </c>
      <c r="D25" s="194"/>
      <c r="E25" s="186">
        <v>40817</v>
      </c>
      <c r="F25" s="228">
        <v>2011</v>
      </c>
      <c r="G25" s="187" t="s">
        <v>93</v>
      </c>
      <c r="H25" s="478">
        <f>C$19/12</f>
        <v>1.225E-3</v>
      </c>
      <c r="I25" s="188">
        <f>SUM('1.  LRAMVA Summary'!C$22:C$23)*(MONTH($E25)-1)/12*$H25</f>
        <v>32.435347875000005</v>
      </c>
      <c r="J25" s="188">
        <f>SUM('1.  LRAMVA Summary'!D$22:D$23)*(MONTH($E25)-1)/12*$H25</f>
        <v>69.60365474999999</v>
      </c>
      <c r="K25" s="188">
        <f>SUM('1.  LRAMVA Summary'!E$22:E$23)*(MONTH($E25)-1)/12*$H25</f>
        <v>30.550853812499998</v>
      </c>
      <c r="L25" s="188">
        <f>SUM('1.  LRAMVA Summary'!F$22:F$23)*(MONTH($E25)-1)/12*$H25</f>
        <v>0</v>
      </c>
      <c r="M25" s="188">
        <f>SUM('1.  LRAMVA Summary'!G$22:G$23)*(MONTH($E25)-1)/12*$H25</f>
        <v>0</v>
      </c>
      <c r="N25" s="188">
        <f>SUM('1.  LRAMVA Summary'!H$22:H$23)*(MONTH($E25)-1)/12*$H25</f>
        <v>0</v>
      </c>
      <c r="O25" s="188">
        <f>SUM('1.  LRAMVA Summary'!I$22:I$23)*(MONTH($E25)-1)/12*$H25</f>
        <v>0</v>
      </c>
      <c r="P25" s="189"/>
      <c r="Q25" s="189">
        <f t="shared" si="1"/>
        <v>132.5898564375</v>
      </c>
    </row>
    <row r="26" spans="2:21" s="3" customFormat="1" ht="12.75" x14ac:dyDescent="0.2">
      <c r="B26" s="181" t="s">
        <v>78</v>
      </c>
      <c r="C26" s="181">
        <v>1.47E-2</v>
      </c>
      <c r="D26" s="194"/>
      <c r="E26" s="186">
        <v>40848</v>
      </c>
      <c r="F26" s="228">
        <v>2011</v>
      </c>
      <c r="G26" s="187" t="s">
        <v>93</v>
      </c>
      <c r="H26" s="478">
        <f t="shared" ref="H26:H27" si="4">C$19/12</f>
        <v>1.225E-3</v>
      </c>
      <c r="I26" s="188">
        <f>SUM('1.  LRAMVA Summary'!C$22:C$23)*(MONTH($E26)-1)/12*$H26</f>
        <v>36.039275416666662</v>
      </c>
      <c r="J26" s="188">
        <f>SUM('1.  LRAMVA Summary'!D$22:D$23)*(MONTH($E26)-1)/12*$H26</f>
        <v>77.33739416666667</v>
      </c>
      <c r="K26" s="188">
        <f>SUM('1.  LRAMVA Summary'!E$22:E$23)*(MONTH($E26)-1)/12*$H26</f>
        <v>33.945393124999995</v>
      </c>
      <c r="L26" s="188">
        <f>SUM('1.  LRAMVA Summary'!F$22:F$23)*(MONTH($E26)-1)/12*$H26</f>
        <v>0</v>
      </c>
      <c r="M26" s="188">
        <f>SUM('1.  LRAMVA Summary'!G$22:G$23)*(MONTH($E26)-1)/12*$H26</f>
        <v>0</v>
      </c>
      <c r="N26" s="188">
        <f>SUM('1.  LRAMVA Summary'!H$22:H$23)*(MONTH($E26)-1)/12*$H26</f>
        <v>0</v>
      </c>
      <c r="O26" s="188">
        <f>SUM('1.  LRAMVA Summary'!I$22:I$23)*(MONTH($E26)-1)/12*$H26</f>
        <v>0</v>
      </c>
      <c r="P26" s="189"/>
      <c r="Q26" s="189">
        <f t="shared" si="1"/>
        <v>147.32206270833331</v>
      </c>
    </row>
    <row r="27" spans="2:21" s="3" customFormat="1" ht="12.75" x14ac:dyDescent="0.2">
      <c r="B27" s="181" t="s">
        <v>79</v>
      </c>
      <c r="C27" s="181">
        <v>1.47E-2</v>
      </c>
      <c r="D27" s="194"/>
      <c r="E27" s="186">
        <v>40878</v>
      </c>
      <c r="F27" s="228">
        <v>2011</v>
      </c>
      <c r="G27" s="187" t="s">
        <v>93</v>
      </c>
      <c r="H27" s="478">
        <f t="shared" si="4"/>
        <v>1.225E-3</v>
      </c>
      <c r="I27" s="188">
        <f>SUM('1.  LRAMVA Summary'!C$22:C$23)*(MONTH($E27)-1)/12*$H27</f>
        <v>39.643202958333326</v>
      </c>
      <c r="J27" s="188">
        <f>SUM('1.  LRAMVA Summary'!D$22:D$23)*(MONTH($E27)-1)/12*$H27</f>
        <v>85.071133583333335</v>
      </c>
      <c r="K27" s="188">
        <f>SUM('1.  LRAMVA Summary'!E$22:E$23)*(MONTH($E27)-1)/12*$H27</f>
        <v>37.339932437499996</v>
      </c>
      <c r="L27" s="188">
        <f>SUM('1.  LRAMVA Summary'!F$22:F$23)*(MONTH($E27)-1)/12*$H27</f>
        <v>0</v>
      </c>
      <c r="M27" s="188">
        <f>SUM('1.  LRAMVA Summary'!G$22:G$23)*(MONTH($E27)-1)/12*$H27</f>
        <v>0</v>
      </c>
      <c r="N27" s="188">
        <f>SUM('1.  LRAMVA Summary'!H$22:H$23)*(MONTH($E27)-1)/12*$H27</f>
        <v>0</v>
      </c>
      <c r="O27" s="188">
        <f>SUM('1.  LRAMVA Summary'!I$22:I$23)*(MONTH($E27)-1)/12*$H27</f>
        <v>0</v>
      </c>
      <c r="P27" s="189"/>
      <c r="Q27" s="189">
        <f t="shared" si="1"/>
        <v>162.05426897916664</v>
      </c>
    </row>
    <row r="28" spans="2:21" s="3" customFormat="1" ht="13.5" thickBot="1" x14ac:dyDescent="0.25">
      <c r="B28" s="181" t="s">
        <v>80</v>
      </c>
      <c r="C28" s="181">
        <v>1.47E-2</v>
      </c>
      <c r="D28" s="194"/>
      <c r="E28" s="198" t="s">
        <v>382</v>
      </c>
      <c r="F28" s="198"/>
      <c r="G28" s="199"/>
      <c r="H28" s="479"/>
      <c r="I28" s="200">
        <f>SUM(I16:I27)</f>
        <v>237.85921775</v>
      </c>
      <c r="J28" s="200">
        <f t="shared" ref="J28:P28" si="5">SUM(J16:J27)</f>
        <v>510.42680150000001</v>
      </c>
      <c r="K28" s="200">
        <f t="shared" si="5"/>
        <v>224.03959462500001</v>
      </c>
      <c r="L28" s="200">
        <f t="shared" si="5"/>
        <v>0</v>
      </c>
      <c r="M28" s="200">
        <f t="shared" si="5"/>
        <v>0</v>
      </c>
      <c r="N28" s="200">
        <f t="shared" si="5"/>
        <v>0</v>
      </c>
      <c r="O28" s="200">
        <f t="shared" si="5"/>
        <v>0</v>
      </c>
      <c r="P28" s="200">
        <f t="shared" si="5"/>
        <v>0</v>
      </c>
      <c r="Q28" s="200">
        <f>SUM(Q16:Q27)</f>
        <v>972.32561387499993</v>
      </c>
    </row>
    <row r="29" spans="2:21" s="3" customFormat="1" ht="13.5" thickTop="1" x14ac:dyDescent="0.2">
      <c r="B29" s="181" t="s">
        <v>81</v>
      </c>
      <c r="C29" s="181">
        <v>1.47E-2</v>
      </c>
      <c r="D29" s="194"/>
      <c r="E29" s="229" t="s">
        <v>91</v>
      </c>
      <c r="F29" s="229"/>
      <c r="G29" s="230"/>
      <c r="H29" s="480"/>
      <c r="I29" s="231"/>
      <c r="J29" s="231"/>
      <c r="K29" s="231"/>
      <c r="L29" s="231"/>
      <c r="M29" s="231"/>
      <c r="N29" s="231"/>
      <c r="O29" s="231"/>
      <c r="P29" s="231"/>
      <c r="Q29" s="232"/>
    </row>
    <row r="30" spans="2:21" s="3" customFormat="1" ht="12.75" x14ac:dyDescent="0.2">
      <c r="B30" s="181" t="s">
        <v>82</v>
      </c>
      <c r="C30" s="181">
        <v>1.47E-2</v>
      </c>
      <c r="D30" s="194"/>
      <c r="E30" s="195" t="s">
        <v>389</v>
      </c>
      <c r="F30" s="195"/>
      <c r="G30" s="196"/>
      <c r="H30" s="481"/>
      <c r="I30" s="197">
        <f>I28+I29</f>
        <v>237.85921775</v>
      </c>
      <c r="J30" s="197">
        <f t="shared" ref="J30:M30" si="6">J28+J29</f>
        <v>510.42680150000001</v>
      </c>
      <c r="K30" s="197">
        <f t="shared" si="6"/>
        <v>224.03959462500001</v>
      </c>
      <c r="L30" s="197">
        <f t="shared" si="6"/>
        <v>0</v>
      </c>
      <c r="M30" s="197">
        <f t="shared" si="6"/>
        <v>0</v>
      </c>
      <c r="N30" s="197">
        <f>N28+N29</f>
        <v>0</v>
      </c>
      <c r="O30" s="197">
        <f>O28+O29</f>
        <v>0</v>
      </c>
      <c r="P30" s="197"/>
      <c r="Q30" s="197">
        <f>Q28+Q29</f>
        <v>972.32561387499993</v>
      </c>
    </row>
    <row r="31" spans="2:21" s="3" customFormat="1" ht="12.75" x14ac:dyDescent="0.2">
      <c r="B31" s="181" t="s">
        <v>83</v>
      </c>
      <c r="C31" s="181">
        <v>1.47E-2</v>
      </c>
      <c r="D31" s="194"/>
      <c r="E31" s="186">
        <v>40909</v>
      </c>
      <c r="F31" s="186" t="s">
        <v>369</v>
      </c>
      <c r="G31" s="187" t="s">
        <v>89</v>
      </c>
      <c r="H31" s="482">
        <f t="shared" ref="H31:H33" si="7">C$20/12</f>
        <v>1.225E-3</v>
      </c>
      <c r="I31" s="188">
        <f>(SUM('1.  LRAMVA Summary'!C$22:C$24)+SUM('1.  LRAMVA Summary'!C$25:C$26)*(MONTH($E31)-1)/12)*$H31</f>
        <v>43.247130499999997</v>
      </c>
      <c r="J31" s="188">
        <f>(SUM('1.  LRAMVA Summary'!D$22:D$24)+SUM('1.  LRAMVA Summary'!D$25:D$26)*(MONTH($E31)-1)/12)*$H31</f>
        <v>92.804873000000001</v>
      </c>
      <c r="K31" s="188">
        <f>(SUM('1.  LRAMVA Summary'!E$22:E$24)+SUM('1.  LRAMVA Summary'!E$25:E$26)*(MONTH($E31)-1)/12)*$H31</f>
        <v>40.734471749999997</v>
      </c>
      <c r="L31" s="188">
        <f>(SUM('1.  LRAMVA Summary'!F$22:F$24)+SUM('1.  LRAMVA Summary'!F$25:F$26)*(MONTH($E31)-1)/12)*$H31</f>
        <v>0</v>
      </c>
      <c r="M31" s="188">
        <f>(SUM('1.  LRAMVA Summary'!G$22:G$24)+SUM('1.  LRAMVA Summary'!G$25:G$26)*(MONTH($E31)-1)/12)*$H31</f>
        <v>0</v>
      </c>
      <c r="N31" s="188">
        <f>(SUM('1.  LRAMVA Summary'!H$22:H$24)+SUM('1.  LRAMVA Summary'!H$25:H$26)*(MONTH($E31)-1)/12)*$H31</f>
        <v>0</v>
      </c>
      <c r="O31" s="188">
        <f>(SUM('1.  LRAMVA Summary'!I$22:I$24)+SUM('1.  LRAMVA Summary'!I$25:I$26)*(MONTH($E31)-1)/12)*$H31</f>
        <v>0</v>
      </c>
      <c r="P31" s="189"/>
      <c r="Q31" s="189">
        <f t="shared" ref="Q31:Q42" si="8">SUM(I31:P31)</f>
        <v>176.78647525000002</v>
      </c>
    </row>
    <row r="32" spans="2:21" s="3" customFormat="1" ht="12.75" x14ac:dyDescent="0.2">
      <c r="B32" s="181" t="s">
        <v>84</v>
      </c>
      <c r="C32" s="181">
        <v>1.47E-2</v>
      </c>
      <c r="D32" s="194"/>
      <c r="E32" s="186">
        <v>40940</v>
      </c>
      <c r="F32" s="186" t="s">
        <v>369</v>
      </c>
      <c r="G32" s="187" t="s">
        <v>89</v>
      </c>
      <c r="H32" s="482">
        <f t="shared" si="7"/>
        <v>1.225E-3</v>
      </c>
      <c r="I32" s="188">
        <f>(SUM('1.  LRAMVA Summary'!C$22:C$24)+SUM('1.  LRAMVA Summary'!C$25:C$26)*(MONTH($E32)-1)/12)*$H32</f>
        <v>49.157518666666661</v>
      </c>
      <c r="J32" s="188">
        <f>(SUM('1.  LRAMVA Summary'!D$22:D$24)+SUM('1.  LRAMVA Summary'!D$25:D$26)*(MONTH($E32)-1)/12)*$H32</f>
        <v>102.84119387499999</v>
      </c>
      <c r="K32" s="188">
        <f>(SUM('1.  LRAMVA Summary'!E$22:E$24)+SUM('1.  LRAMVA Summary'!E$25:E$26)*(MONTH($E32)-1)/12)*$H32</f>
        <v>49.044811520833335</v>
      </c>
      <c r="L32" s="188">
        <f>(SUM('1.  LRAMVA Summary'!F$22:F$24)+SUM('1.  LRAMVA Summary'!F$25:F$26)*(MONTH($E32)-1)/12)*$H32</f>
        <v>0</v>
      </c>
      <c r="M32" s="188">
        <f>(SUM('1.  LRAMVA Summary'!G$22:G$24)+SUM('1.  LRAMVA Summary'!G$25:G$26)*(MONTH($E32)-1)/12)*$H32</f>
        <v>0</v>
      </c>
      <c r="N32" s="188">
        <f>(SUM('1.  LRAMVA Summary'!H$22:H$24)+SUM('1.  LRAMVA Summary'!H$25:H$26)*(MONTH($E32)-1)/12)*$H32</f>
        <v>0</v>
      </c>
      <c r="O32" s="188">
        <f>(SUM('1.  LRAMVA Summary'!I$22:I$24)+SUM('1.  LRAMVA Summary'!I$25:I$26)*(MONTH($E32)-1)/12)*$H32</f>
        <v>0</v>
      </c>
      <c r="P32" s="189"/>
      <c r="Q32" s="189">
        <f t="shared" si="8"/>
        <v>201.04352406249996</v>
      </c>
    </row>
    <row r="33" spans="2:17" s="3" customFormat="1" ht="12.75" x14ac:dyDescent="0.2">
      <c r="B33" s="181" t="s">
        <v>85</v>
      </c>
      <c r="C33" s="181">
        <v>1.0999999999999999E-2</v>
      </c>
      <c r="D33" s="194"/>
      <c r="E33" s="186">
        <v>40969</v>
      </c>
      <c r="F33" s="186" t="s">
        <v>369</v>
      </c>
      <c r="G33" s="187" t="s">
        <v>89</v>
      </c>
      <c r="H33" s="482">
        <f t="shared" si="7"/>
        <v>1.225E-3</v>
      </c>
      <c r="I33" s="188">
        <f>(SUM('1.  LRAMVA Summary'!C$22:C$24)+SUM('1.  LRAMVA Summary'!C$25:C$26)*(MONTH($E33)-1)/12)*$H33</f>
        <v>55.067906833333332</v>
      </c>
      <c r="J33" s="188">
        <f>(SUM('1.  LRAMVA Summary'!D$22:D$24)+SUM('1.  LRAMVA Summary'!D$25:D$26)*(MONTH($E33)-1)/12)*$H33</f>
        <v>112.87751475</v>
      </c>
      <c r="K33" s="188">
        <f>(SUM('1.  LRAMVA Summary'!E$22:E$24)+SUM('1.  LRAMVA Summary'!E$25:E$26)*(MONTH($E33)-1)/12)*$H33</f>
        <v>57.355151291666658</v>
      </c>
      <c r="L33" s="188">
        <f>(SUM('1.  LRAMVA Summary'!F$22:F$24)+SUM('1.  LRAMVA Summary'!F$25:F$26)*(MONTH($E33)-1)/12)*$H33</f>
        <v>0</v>
      </c>
      <c r="M33" s="188">
        <f>(SUM('1.  LRAMVA Summary'!G$22:G$24)+SUM('1.  LRAMVA Summary'!G$25:G$26)*(MONTH($E33)-1)/12)*$H33</f>
        <v>0</v>
      </c>
      <c r="N33" s="188">
        <f>(SUM('1.  LRAMVA Summary'!H$22:H$24)+SUM('1.  LRAMVA Summary'!H$25:H$26)*(MONTH($E33)-1)/12)*$H33</f>
        <v>0</v>
      </c>
      <c r="O33" s="188">
        <f>(SUM('1.  LRAMVA Summary'!I$22:I$24)+SUM('1.  LRAMVA Summary'!I$25:I$26)*(MONTH($E33)-1)/12)*$H33</f>
        <v>0</v>
      </c>
      <c r="P33" s="189"/>
      <c r="Q33" s="189">
        <f t="shared" si="8"/>
        <v>225.300572875</v>
      </c>
    </row>
    <row r="34" spans="2:17" s="3" customFormat="1" ht="12.75" x14ac:dyDescent="0.2">
      <c r="B34" s="181" t="s">
        <v>367</v>
      </c>
      <c r="C34" s="181">
        <v>1.0999999999999999E-2</v>
      </c>
      <c r="D34" s="194"/>
      <c r="E34" s="186">
        <v>41000</v>
      </c>
      <c r="F34" s="186" t="s">
        <v>369</v>
      </c>
      <c r="G34" s="187" t="s">
        <v>90</v>
      </c>
      <c r="H34" s="483">
        <f>C$21/12</f>
        <v>1.225E-3</v>
      </c>
      <c r="I34" s="188">
        <f>(SUM('1.  LRAMVA Summary'!C$22:C$24)+SUM('1.  LRAMVA Summary'!C$25:C$26)*(MONTH($E34)-1)/12)*$H34</f>
        <v>60.978294999999996</v>
      </c>
      <c r="J34" s="188">
        <f>(SUM('1.  LRAMVA Summary'!D$22:D$24)+SUM('1.  LRAMVA Summary'!D$25:D$26)*(MONTH($E34)-1)/12)*$H34</f>
        <v>122.91383562499999</v>
      </c>
      <c r="K34" s="188">
        <f>(SUM('1.  LRAMVA Summary'!E$22:E$24)+SUM('1.  LRAMVA Summary'!E$25:E$26)*(MONTH($E34)-1)/12)*$H34</f>
        <v>65.665491062499996</v>
      </c>
      <c r="L34" s="188">
        <f>(SUM('1.  LRAMVA Summary'!F$22:F$24)+SUM('1.  LRAMVA Summary'!F$25:F$26)*(MONTH($E34)-1)/12)*$H34</f>
        <v>0</v>
      </c>
      <c r="M34" s="188">
        <f>(SUM('1.  LRAMVA Summary'!G$22:G$24)+SUM('1.  LRAMVA Summary'!G$25:G$26)*(MONTH($E34)-1)/12)*$H34</f>
        <v>0</v>
      </c>
      <c r="N34" s="188">
        <f>(SUM('1.  LRAMVA Summary'!H$22:H$24)+SUM('1.  LRAMVA Summary'!H$25:H$26)*(MONTH($E34)-1)/12)*$H34</f>
        <v>0</v>
      </c>
      <c r="O34" s="188">
        <f>(SUM('1.  LRAMVA Summary'!I$22:I$24)+SUM('1.  LRAMVA Summary'!I$25:I$26)*(MONTH($E34)-1)/12)*$H34</f>
        <v>0</v>
      </c>
      <c r="P34" s="189"/>
      <c r="Q34" s="189">
        <f t="shared" si="8"/>
        <v>249.55762168749999</v>
      </c>
    </row>
    <row r="35" spans="2:17" s="3" customFormat="1" ht="12.75" x14ac:dyDescent="0.2">
      <c r="B35" s="181" t="s">
        <v>368</v>
      </c>
      <c r="C35" s="181">
        <v>1.0999999999999999E-2</v>
      </c>
      <c r="D35" s="194"/>
      <c r="E35" s="186">
        <v>41030</v>
      </c>
      <c r="F35" s="186" t="s">
        <v>369</v>
      </c>
      <c r="G35" s="187" t="s">
        <v>90</v>
      </c>
      <c r="H35" s="482">
        <f>C$21/12</f>
        <v>1.225E-3</v>
      </c>
      <c r="I35" s="188">
        <f>(SUM('1.  LRAMVA Summary'!C$22:C$24)+SUM('1.  LRAMVA Summary'!C$25:C$26)*(MONTH($E35)-1)/12)*$H35</f>
        <v>66.888683166666667</v>
      </c>
      <c r="J35" s="188">
        <f>(SUM('1.  LRAMVA Summary'!D$22:D$24)+SUM('1.  LRAMVA Summary'!D$25:D$26)*(MONTH($E35)-1)/12)*$H35</f>
        <v>132.95015649999999</v>
      </c>
      <c r="K35" s="188">
        <f>(SUM('1.  LRAMVA Summary'!E$22:E$24)+SUM('1.  LRAMVA Summary'!E$25:E$26)*(MONTH($E35)-1)/12)*$H35</f>
        <v>73.975830833333333</v>
      </c>
      <c r="L35" s="188">
        <f>(SUM('1.  LRAMVA Summary'!F$22:F$24)+SUM('1.  LRAMVA Summary'!F$25:F$26)*(MONTH($E35)-1)/12)*$H35</f>
        <v>0</v>
      </c>
      <c r="M35" s="188">
        <f>(SUM('1.  LRAMVA Summary'!G$22:G$24)+SUM('1.  LRAMVA Summary'!G$25:G$26)*(MONTH($E35)-1)/12)*$H35</f>
        <v>0</v>
      </c>
      <c r="N35" s="188">
        <f>(SUM('1.  LRAMVA Summary'!H$22:H$24)+SUM('1.  LRAMVA Summary'!H$25:H$26)*(MONTH($E35)-1)/12)*$H35</f>
        <v>0</v>
      </c>
      <c r="O35" s="188">
        <f>(SUM('1.  LRAMVA Summary'!I$22:I$24)+SUM('1.  LRAMVA Summary'!I$25:I$26)*(MONTH($E35)-1)/12)*$H35</f>
        <v>0</v>
      </c>
      <c r="P35" s="189"/>
      <c r="Q35" s="189">
        <f t="shared" si="8"/>
        <v>273.81467050000003</v>
      </c>
    </row>
    <row r="36" spans="2:17" s="3" customFormat="1" ht="12.75" x14ac:dyDescent="0.2">
      <c r="B36" s="181" t="s">
        <v>120</v>
      </c>
      <c r="C36" s="181">
        <v>1.0999999999999999E-2</v>
      </c>
      <c r="D36" s="194"/>
      <c r="E36" s="186">
        <v>41061</v>
      </c>
      <c r="F36" s="186" t="s">
        <v>369</v>
      </c>
      <c r="G36" s="187" t="s">
        <v>90</v>
      </c>
      <c r="H36" s="482">
        <f>C$21/12</f>
        <v>1.225E-3</v>
      </c>
      <c r="I36" s="188">
        <f>(SUM('1.  LRAMVA Summary'!C$22:C$24)+SUM('1.  LRAMVA Summary'!C$25:C$26)*(MONTH($E36)-1)/12)*$H36</f>
        <v>72.799071333333345</v>
      </c>
      <c r="J36" s="188">
        <f>(SUM('1.  LRAMVA Summary'!D$22:D$24)+SUM('1.  LRAMVA Summary'!D$25:D$26)*(MONTH($E36)-1)/12)*$H36</f>
        <v>142.98647737499999</v>
      </c>
      <c r="K36" s="188">
        <f>(SUM('1.  LRAMVA Summary'!E$22:E$24)+SUM('1.  LRAMVA Summary'!E$25:E$26)*(MONTH($E36)-1)/12)*$H36</f>
        <v>82.286170604166671</v>
      </c>
      <c r="L36" s="188">
        <f>(SUM('1.  LRAMVA Summary'!F$22:F$24)+SUM('1.  LRAMVA Summary'!F$25:F$26)*(MONTH($E36)-1)/12)*$H36</f>
        <v>0</v>
      </c>
      <c r="M36" s="188">
        <f>(SUM('1.  LRAMVA Summary'!G$22:G$24)+SUM('1.  LRAMVA Summary'!G$25:G$26)*(MONTH($E36)-1)/12)*$H36</f>
        <v>0</v>
      </c>
      <c r="N36" s="188">
        <f>(SUM('1.  LRAMVA Summary'!H$22:H$24)+SUM('1.  LRAMVA Summary'!H$25:H$26)*(MONTH($E36)-1)/12)*$H36</f>
        <v>0</v>
      </c>
      <c r="O36" s="188">
        <f>(SUM('1.  LRAMVA Summary'!I$22:I$24)+SUM('1.  LRAMVA Summary'!I$25:I$26)*(MONTH($E36)-1)/12)*$H36</f>
        <v>0</v>
      </c>
      <c r="P36" s="189"/>
      <c r="Q36" s="189">
        <f t="shared" si="8"/>
        <v>298.07171931250002</v>
      </c>
    </row>
    <row r="37" spans="2:17" s="3" customFormat="1" ht="12.75" x14ac:dyDescent="0.2">
      <c r="B37" s="181" t="s">
        <v>121</v>
      </c>
      <c r="C37" s="181">
        <v>1.0999999999999999E-2</v>
      </c>
      <c r="D37" s="194"/>
      <c r="E37" s="186">
        <v>41091</v>
      </c>
      <c r="F37" s="186" t="s">
        <v>369</v>
      </c>
      <c r="G37" s="187" t="s">
        <v>92</v>
      </c>
      <c r="H37" s="483">
        <f>C$22/12</f>
        <v>1.225E-3</v>
      </c>
      <c r="I37" s="188">
        <f>(SUM('1.  LRAMVA Summary'!C$22:C$24)+SUM('1.  LRAMVA Summary'!C$25:C$26)*(MONTH($E37)-1)/12)*$H37</f>
        <v>78.709459499999994</v>
      </c>
      <c r="J37" s="188">
        <f>(SUM('1.  LRAMVA Summary'!D$22:D$24)+SUM('1.  LRAMVA Summary'!D$25:D$26)*(MONTH($E37)-1)/12)*$H37</f>
        <v>153.02279824999999</v>
      </c>
      <c r="K37" s="188">
        <f>(SUM('1.  LRAMVA Summary'!E$22:E$24)+SUM('1.  LRAMVA Summary'!E$25:E$26)*(MONTH($E37)-1)/12)*$H37</f>
        <v>90.596510374999994</v>
      </c>
      <c r="L37" s="188">
        <f>(SUM('1.  LRAMVA Summary'!F$22:F$24)+SUM('1.  LRAMVA Summary'!F$25:F$26)*(MONTH($E37)-1)/12)*$H37</f>
        <v>0</v>
      </c>
      <c r="M37" s="188">
        <f>(SUM('1.  LRAMVA Summary'!G$22:G$24)+SUM('1.  LRAMVA Summary'!G$25:G$26)*(MONTH($E37)-1)/12)*$H37</f>
        <v>0</v>
      </c>
      <c r="N37" s="188">
        <f>(SUM('1.  LRAMVA Summary'!H$22:H$24)+SUM('1.  LRAMVA Summary'!H$25:H$26)*(MONTH($E37)-1)/12)*$H37</f>
        <v>0</v>
      </c>
      <c r="O37" s="188">
        <f>(SUM('1.  LRAMVA Summary'!I$22:I$24)+SUM('1.  LRAMVA Summary'!I$25:I$26)*(MONTH($E37)-1)/12)*$H37</f>
        <v>0</v>
      </c>
      <c r="P37" s="189"/>
      <c r="Q37" s="189">
        <f t="shared" si="8"/>
        <v>322.32876812499995</v>
      </c>
    </row>
    <row r="38" spans="2:17" s="3" customFormat="1" ht="12.75" x14ac:dyDescent="0.2">
      <c r="B38" s="181" t="s">
        <v>122</v>
      </c>
      <c r="C38" s="181">
        <v>1.0999999999999999E-2</v>
      </c>
      <c r="D38" s="194"/>
      <c r="E38" s="186">
        <v>41122</v>
      </c>
      <c r="F38" s="186" t="s">
        <v>369</v>
      </c>
      <c r="G38" s="187" t="s">
        <v>92</v>
      </c>
      <c r="H38" s="482">
        <f>C$22/12</f>
        <v>1.225E-3</v>
      </c>
      <c r="I38" s="188">
        <f>(SUM('1.  LRAMVA Summary'!C$22:C$24)+SUM('1.  LRAMVA Summary'!C$25:C$26)*(MONTH($E38)-1)/12)*$H38</f>
        <v>84.619847666666658</v>
      </c>
      <c r="J38" s="188">
        <f>(SUM('1.  LRAMVA Summary'!D$22:D$24)+SUM('1.  LRAMVA Summary'!D$25:D$26)*(MONTH($E38)-1)/12)*$H38</f>
        <v>163.05911912499997</v>
      </c>
      <c r="K38" s="188">
        <f>(SUM('1.  LRAMVA Summary'!E$22:E$24)+SUM('1.  LRAMVA Summary'!E$25:E$26)*(MONTH($E38)-1)/12)*$H38</f>
        <v>98.906850145833317</v>
      </c>
      <c r="L38" s="188">
        <f>(SUM('1.  LRAMVA Summary'!F$22:F$24)+SUM('1.  LRAMVA Summary'!F$25:F$26)*(MONTH($E38)-1)/12)*$H38</f>
        <v>0</v>
      </c>
      <c r="M38" s="188">
        <f>(SUM('1.  LRAMVA Summary'!G$22:G$24)+SUM('1.  LRAMVA Summary'!G$25:G$26)*(MONTH($E38)-1)/12)*$H38</f>
        <v>0</v>
      </c>
      <c r="N38" s="188">
        <f>(SUM('1.  LRAMVA Summary'!H$22:H$24)+SUM('1.  LRAMVA Summary'!H$25:H$26)*(MONTH($E38)-1)/12)*$H38</f>
        <v>0</v>
      </c>
      <c r="O38" s="188">
        <f>(SUM('1.  LRAMVA Summary'!I$22:I$24)+SUM('1.  LRAMVA Summary'!I$25:I$26)*(MONTH($E38)-1)/12)*$H38</f>
        <v>0</v>
      </c>
      <c r="P38" s="189"/>
      <c r="Q38" s="189">
        <f t="shared" si="8"/>
        <v>346.58581693749994</v>
      </c>
    </row>
    <row r="39" spans="2:17" s="3" customFormat="1" ht="12.75" x14ac:dyDescent="0.2">
      <c r="B39" s="181" t="s">
        <v>123</v>
      </c>
      <c r="C39" s="226">
        <v>1.0999999999999999E-2</v>
      </c>
      <c r="D39" s="194"/>
      <c r="E39" s="186">
        <v>41153</v>
      </c>
      <c r="F39" s="186" t="s">
        <v>369</v>
      </c>
      <c r="G39" s="187" t="s">
        <v>92</v>
      </c>
      <c r="H39" s="482">
        <f>C$22/12</f>
        <v>1.225E-3</v>
      </c>
      <c r="I39" s="188">
        <f>(SUM('1.  LRAMVA Summary'!C$22:C$24)+SUM('1.  LRAMVA Summary'!C$25:C$26)*(MONTH($E39)-1)/12)*$H39</f>
        <v>90.530235833333336</v>
      </c>
      <c r="J39" s="188">
        <f>(SUM('1.  LRAMVA Summary'!D$22:D$24)+SUM('1.  LRAMVA Summary'!D$25:D$26)*(MONTH($E39)-1)/12)*$H39</f>
        <v>173.09544</v>
      </c>
      <c r="K39" s="188">
        <f>(SUM('1.  LRAMVA Summary'!E$22:E$24)+SUM('1.  LRAMVA Summary'!E$25:E$26)*(MONTH($E39)-1)/12)*$H39</f>
        <v>107.21718991666665</v>
      </c>
      <c r="L39" s="188">
        <f>(SUM('1.  LRAMVA Summary'!F$22:F$24)+SUM('1.  LRAMVA Summary'!F$25:F$26)*(MONTH($E39)-1)/12)*$H39</f>
        <v>0</v>
      </c>
      <c r="M39" s="188">
        <f>(SUM('1.  LRAMVA Summary'!G$22:G$24)+SUM('1.  LRAMVA Summary'!G$25:G$26)*(MONTH($E39)-1)/12)*$H39</f>
        <v>0</v>
      </c>
      <c r="N39" s="188">
        <f>(SUM('1.  LRAMVA Summary'!H$22:H$24)+SUM('1.  LRAMVA Summary'!H$25:H$26)*(MONTH($E39)-1)/12)*$H39</f>
        <v>0</v>
      </c>
      <c r="O39" s="188">
        <f>(SUM('1.  LRAMVA Summary'!I$22:I$24)+SUM('1.  LRAMVA Summary'!I$25:I$26)*(MONTH($E39)-1)/12)*$H39</f>
        <v>0</v>
      </c>
      <c r="P39" s="189"/>
      <c r="Q39" s="189">
        <f t="shared" si="8"/>
        <v>370.84286574999999</v>
      </c>
    </row>
    <row r="40" spans="2:17" s="3" customFormat="1" ht="12.75" x14ac:dyDescent="0.2">
      <c r="B40" s="181" t="s">
        <v>124</v>
      </c>
      <c r="C40" s="226"/>
      <c r="D40" s="194"/>
      <c r="E40" s="186">
        <v>41183</v>
      </c>
      <c r="F40" s="186" t="s">
        <v>369</v>
      </c>
      <c r="G40" s="187" t="s">
        <v>93</v>
      </c>
      <c r="H40" s="483">
        <f>C$23/12</f>
        <v>1.225E-3</v>
      </c>
      <c r="I40" s="188">
        <f>(SUM('1.  LRAMVA Summary'!C$22:C$24)+SUM('1.  LRAMVA Summary'!C$25:C$26)*(MONTH($E40)-1)/12)*$H40</f>
        <v>96.440624000000014</v>
      </c>
      <c r="J40" s="188">
        <f>(SUM('1.  LRAMVA Summary'!D$22:D$24)+SUM('1.  LRAMVA Summary'!D$25:D$26)*(MONTH($E40)-1)/12)*$H40</f>
        <v>183.131760875</v>
      </c>
      <c r="K40" s="188">
        <f>(SUM('1.  LRAMVA Summary'!E$22:E$24)+SUM('1.  LRAMVA Summary'!E$25:E$26)*(MONTH($E40)-1)/12)*$H40</f>
        <v>115.52752968749999</v>
      </c>
      <c r="L40" s="188">
        <f>(SUM('1.  LRAMVA Summary'!F$22:F$24)+SUM('1.  LRAMVA Summary'!F$25:F$26)*(MONTH($E40)-1)/12)*$H40</f>
        <v>0</v>
      </c>
      <c r="M40" s="188">
        <f>(SUM('1.  LRAMVA Summary'!G$22:G$24)+SUM('1.  LRAMVA Summary'!G$25:G$26)*(MONTH($E40)-1)/12)*$H40</f>
        <v>0</v>
      </c>
      <c r="N40" s="188">
        <f>(SUM('1.  LRAMVA Summary'!H$22:H$24)+SUM('1.  LRAMVA Summary'!H$25:H$26)*(MONTH($E40)-1)/12)*$H40</f>
        <v>0</v>
      </c>
      <c r="O40" s="188">
        <f>(SUM('1.  LRAMVA Summary'!I$22:I$24)+SUM('1.  LRAMVA Summary'!I$25:I$26)*(MONTH($E40)-1)/12)*$H40</f>
        <v>0</v>
      </c>
      <c r="P40" s="189"/>
      <c r="Q40" s="189">
        <f t="shared" si="8"/>
        <v>395.09991456249998</v>
      </c>
    </row>
    <row r="41" spans="2:17" s="3" customFormat="1" ht="12.75" x14ac:dyDescent="0.2">
      <c r="B41" s="181" t="s">
        <v>125</v>
      </c>
      <c r="C41" s="226"/>
      <c r="D41" s="194"/>
      <c r="E41" s="186">
        <v>41214</v>
      </c>
      <c r="F41" s="186" t="s">
        <v>369</v>
      </c>
      <c r="G41" s="187" t="s">
        <v>93</v>
      </c>
      <c r="H41" s="482">
        <f>C$23/12</f>
        <v>1.225E-3</v>
      </c>
      <c r="I41" s="188">
        <f>(SUM('1.  LRAMVA Summary'!C$22:C$24)+SUM('1.  LRAMVA Summary'!C$25:C$26)*(MONTH($E41)-1)/12)*$H41</f>
        <v>102.35101216666668</v>
      </c>
      <c r="J41" s="188">
        <f>(SUM('1.  LRAMVA Summary'!D$22:D$24)+SUM('1.  LRAMVA Summary'!D$25:D$26)*(MONTH($E41)-1)/12)*$H41</f>
        <v>193.16808174999997</v>
      </c>
      <c r="K41" s="188">
        <f>(SUM('1.  LRAMVA Summary'!E$22:E$24)+SUM('1.  LRAMVA Summary'!E$25:E$26)*(MONTH($E41)-1)/12)*$H41</f>
        <v>123.83786945833333</v>
      </c>
      <c r="L41" s="188">
        <f>(SUM('1.  LRAMVA Summary'!F$22:F$24)+SUM('1.  LRAMVA Summary'!F$25:F$26)*(MONTH($E41)-1)/12)*$H41</f>
        <v>0</v>
      </c>
      <c r="M41" s="188">
        <f>(SUM('1.  LRAMVA Summary'!G$22:G$24)+SUM('1.  LRAMVA Summary'!G$25:G$26)*(MONTH($E41)-1)/12)*$H41</f>
        <v>0</v>
      </c>
      <c r="N41" s="188">
        <f>(SUM('1.  LRAMVA Summary'!H$22:H$24)+SUM('1.  LRAMVA Summary'!H$25:H$26)*(MONTH($E41)-1)/12)*$H41</f>
        <v>0</v>
      </c>
      <c r="O41" s="188">
        <f>(SUM('1.  LRAMVA Summary'!I$22:I$24)+SUM('1.  LRAMVA Summary'!I$25:I$26)*(MONTH($E41)-1)/12)*$H41</f>
        <v>0</v>
      </c>
      <c r="P41" s="189"/>
      <c r="Q41" s="189">
        <f t="shared" si="8"/>
        <v>419.35696337499996</v>
      </c>
    </row>
    <row r="42" spans="2:17" s="3" customFormat="1" ht="12.75" x14ac:dyDescent="0.2">
      <c r="B42" s="181" t="s">
        <v>126</v>
      </c>
      <c r="C42" s="226"/>
      <c r="D42" s="194"/>
      <c r="E42" s="186">
        <v>41244</v>
      </c>
      <c r="F42" s="186" t="s">
        <v>369</v>
      </c>
      <c r="G42" s="187" t="s">
        <v>93</v>
      </c>
      <c r="H42" s="482">
        <f>C$23/12</f>
        <v>1.225E-3</v>
      </c>
      <c r="I42" s="188">
        <f>(SUM('1.  LRAMVA Summary'!C$22:C$24)+SUM('1.  LRAMVA Summary'!C$25:C$26)*(MONTH($E42)-1)/12)*$H42</f>
        <v>108.26140033333331</v>
      </c>
      <c r="J42" s="188">
        <f>(SUM('1.  LRAMVA Summary'!D$22:D$24)+SUM('1.  LRAMVA Summary'!D$25:D$26)*(MONTH($E42)-1)/12)*$H42</f>
        <v>203.20440262500003</v>
      </c>
      <c r="K42" s="188">
        <f>(SUM('1.  LRAMVA Summary'!E$22:E$24)+SUM('1.  LRAMVA Summary'!E$25:E$26)*(MONTH($E42)-1)/12)*$H42</f>
        <v>132.14820922916667</v>
      </c>
      <c r="L42" s="188">
        <f>(SUM('1.  LRAMVA Summary'!F$22:F$24)+SUM('1.  LRAMVA Summary'!F$25:F$26)*(MONTH($E42)-1)/12)*$H42</f>
        <v>0</v>
      </c>
      <c r="M42" s="188">
        <f>(SUM('1.  LRAMVA Summary'!G$22:G$24)+SUM('1.  LRAMVA Summary'!G$25:G$26)*(MONTH($E42)-1)/12)*$H42</f>
        <v>0</v>
      </c>
      <c r="N42" s="188">
        <f>(SUM('1.  LRAMVA Summary'!H$22:H$24)+SUM('1.  LRAMVA Summary'!H$25:H$26)*(MONTH($E42)-1)/12)*$H42</f>
        <v>0</v>
      </c>
      <c r="O42" s="188">
        <f>(SUM('1.  LRAMVA Summary'!I$22:I$24)+SUM('1.  LRAMVA Summary'!I$25:I$26)*(MONTH($E42)-1)/12)*$H42</f>
        <v>0</v>
      </c>
      <c r="P42" s="189"/>
      <c r="Q42" s="189">
        <f t="shared" si="8"/>
        <v>443.61401218750007</v>
      </c>
    </row>
    <row r="43" spans="2:17" s="3" customFormat="1" ht="13.5" thickBot="1" x14ac:dyDescent="0.25">
      <c r="B43" s="181" t="s">
        <v>127</v>
      </c>
      <c r="C43" s="226"/>
      <c r="D43" s="194"/>
      <c r="E43" s="198" t="s">
        <v>383</v>
      </c>
      <c r="F43" s="198"/>
      <c r="G43" s="199"/>
      <c r="H43" s="484"/>
      <c r="I43" s="200">
        <f>SUM(I30:I42)</f>
        <v>1146.91040275</v>
      </c>
      <c r="J43" s="200">
        <f t="shared" ref="J43:P43" si="9">SUM(J30:J42)</f>
        <v>2286.4824552500004</v>
      </c>
      <c r="K43" s="200">
        <f t="shared" si="9"/>
        <v>1261.3356804999999</v>
      </c>
      <c r="L43" s="200">
        <f t="shared" si="9"/>
        <v>0</v>
      </c>
      <c r="M43" s="200">
        <f t="shared" si="9"/>
        <v>0</v>
      </c>
      <c r="N43" s="200">
        <f t="shared" si="9"/>
        <v>0</v>
      </c>
      <c r="O43" s="200">
        <f t="shared" si="9"/>
        <v>0</v>
      </c>
      <c r="P43" s="200">
        <f t="shared" si="9"/>
        <v>0</v>
      </c>
      <c r="Q43" s="200">
        <f>SUM(Q30:Q42)</f>
        <v>4694.7285384999996</v>
      </c>
    </row>
    <row r="44" spans="2:17" s="3" customFormat="1" ht="13.5" thickTop="1" x14ac:dyDescent="0.2">
      <c r="B44" s="181" t="s">
        <v>128</v>
      </c>
      <c r="C44" s="226"/>
      <c r="D44" s="194"/>
      <c r="E44" s="229" t="s">
        <v>91</v>
      </c>
      <c r="F44" s="229"/>
      <c r="G44" s="230"/>
      <c r="H44" s="480"/>
      <c r="I44" s="231"/>
      <c r="J44" s="231"/>
      <c r="K44" s="231"/>
      <c r="L44" s="231"/>
      <c r="M44" s="231"/>
      <c r="N44" s="231"/>
      <c r="O44" s="231"/>
      <c r="P44" s="231"/>
      <c r="Q44" s="232"/>
    </row>
    <row r="45" spans="2:17" s="3" customFormat="1" ht="12.75" x14ac:dyDescent="0.2">
      <c r="B45" s="181" t="s">
        <v>129</v>
      </c>
      <c r="C45" s="226"/>
      <c r="D45" s="194"/>
      <c r="E45" s="195" t="s">
        <v>390</v>
      </c>
      <c r="F45" s="195"/>
      <c r="G45" s="196"/>
      <c r="H45" s="481"/>
      <c r="I45" s="197">
        <f t="shared" ref="I45:P45" si="10">I43+I44</f>
        <v>1146.91040275</v>
      </c>
      <c r="J45" s="197">
        <f t="shared" si="10"/>
        <v>2286.4824552500004</v>
      </c>
      <c r="K45" s="197">
        <f t="shared" si="10"/>
        <v>1261.3356804999999</v>
      </c>
      <c r="L45" s="197">
        <f t="shared" si="10"/>
        <v>0</v>
      </c>
      <c r="M45" s="197">
        <f t="shared" si="10"/>
        <v>0</v>
      </c>
      <c r="N45" s="197">
        <f t="shared" si="10"/>
        <v>0</v>
      </c>
      <c r="O45" s="197">
        <f t="shared" si="10"/>
        <v>0</v>
      </c>
      <c r="P45" s="197">
        <f t="shared" si="10"/>
        <v>0</v>
      </c>
      <c r="Q45" s="197">
        <f>Q43+Q44</f>
        <v>4694.7285384999996</v>
      </c>
    </row>
    <row r="46" spans="2:17" s="3" customFormat="1" ht="12.75" x14ac:dyDescent="0.2">
      <c r="B46" s="181" t="s">
        <v>130</v>
      </c>
      <c r="C46" s="226"/>
      <c r="D46" s="194"/>
      <c r="E46" s="186">
        <v>41275</v>
      </c>
      <c r="F46" s="186" t="s">
        <v>370</v>
      </c>
      <c r="G46" s="187" t="s">
        <v>89</v>
      </c>
      <c r="H46" s="483">
        <f>C$24/12</f>
        <v>1.225E-3</v>
      </c>
      <c r="I46" s="188">
        <f>(SUM('1.  LRAMVA Summary'!C$22:C$27)+SUM('1.  LRAMVA Summary'!C$28:C$29)*(MONTH($E46)-1)/12)*$H46</f>
        <v>114.17178849999999</v>
      </c>
      <c r="J46" s="188">
        <f>(SUM('1.  LRAMVA Summary'!D$22:D$27)+SUM('1.  LRAMVA Summary'!D$28:D$29)*(MONTH($E46)-1)/12)*$H46</f>
        <v>213.2407235</v>
      </c>
      <c r="K46" s="188">
        <f>(SUM('1.  LRAMVA Summary'!E$22:E$27)+SUM('1.  LRAMVA Summary'!E$28:E$29)*(MONTH($E46)-1)/12)*$H46</f>
        <v>140.458549</v>
      </c>
      <c r="L46" s="188">
        <f>(SUM('1.  LRAMVA Summary'!F$22:F$27)+SUM('1.  LRAMVA Summary'!F$28:F$29)*(MONTH($E46)-1)/12)*$H46</f>
        <v>0</v>
      </c>
      <c r="M46" s="188">
        <f>(SUM('1.  LRAMVA Summary'!G$22:G$27)+SUM('1.  LRAMVA Summary'!G$28:G$29)*(MONTH($E46)-1)/12)*$H46</f>
        <v>0</v>
      </c>
      <c r="N46" s="188">
        <f>(SUM('1.  LRAMVA Summary'!H$22:H$27)+SUM('1.  LRAMVA Summary'!H$28:H$29)*(MONTH($E46)-1)/12)*$H46</f>
        <v>0</v>
      </c>
      <c r="O46" s="188">
        <f>(SUM('1.  LRAMVA Summary'!I$22:I$27)+SUM('1.  LRAMVA Summary'!I$28:I$29)*(MONTH($E46)-1)/12)*$H46</f>
        <v>0</v>
      </c>
      <c r="P46" s="189"/>
      <c r="Q46" s="189">
        <f t="shared" ref="Q46:Q57" si="11">SUM(I46:P46)</f>
        <v>467.871061</v>
      </c>
    </row>
    <row r="47" spans="2:17" s="3" customFormat="1" ht="12.75" x14ac:dyDescent="0.2">
      <c r="B47" s="181" t="s">
        <v>131</v>
      </c>
      <c r="C47" s="226"/>
      <c r="D47" s="194"/>
      <c r="E47" s="186">
        <v>41306</v>
      </c>
      <c r="F47" s="186" t="s">
        <v>370</v>
      </c>
      <c r="G47" s="187" t="s">
        <v>89</v>
      </c>
      <c r="H47" s="482">
        <f t="shared" ref="H47:H48" si="12">C$24/12</f>
        <v>1.225E-3</v>
      </c>
      <c r="I47" s="188">
        <f>(SUM('1.  LRAMVA Summary'!C$22:C$27)+SUM('1.  LRAMVA Summary'!C$28:C$29)*(MONTH($E47)-1)/12)*$H47</f>
        <v>123.53709622916665</v>
      </c>
      <c r="J47" s="188">
        <f>(SUM('1.  LRAMVA Summary'!D$22:D$27)+SUM('1.  LRAMVA Summary'!D$28:D$29)*(MONTH($E47)-1)/12)*$H47</f>
        <v>219.19808429166667</v>
      </c>
      <c r="K47" s="188">
        <f>(SUM('1.  LRAMVA Summary'!E$22:E$27)+SUM('1.  LRAMVA Summary'!E$28:E$29)*(MONTH($E47)-1)/12)*$H47</f>
        <v>159.60966102083333</v>
      </c>
      <c r="L47" s="188">
        <f>(SUM('1.  LRAMVA Summary'!F$22:F$27)+SUM('1.  LRAMVA Summary'!F$28:F$29)*(MONTH($E47)-1)/12)*$H47</f>
        <v>0</v>
      </c>
      <c r="M47" s="188">
        <f>(SUM('1.  LRAMVA Summary'!G$22:G$27)+SUM('1.  LRAMVA Summary'!G$28:G$29)*(MONTH($E47)-1)/12)*$H47</f>
        <v>0</v>
      </c>
      <c r="N47" s="188">
        <f>(SUM('1.  LRAMVA Summary'!H$22:H$27)+SUM('1.  LRAMVA Summary'!H$28:H$29)*(MONTH($E47)-1)/12)*$H47</f>
        <v>0</v>
      </c>
      <c r="O47" s="188">
        <f>(SUM('1.  LRAMVA Summary'!I$22:I$27)+SUM('1.  LRAMVA Summary'!I$28:I$29)*(MONTH($E47)-1)/12)*$H47</f>
        <v>0</v>
      </c>
      <c r="P47" s="189"/>
      <c r="Q47" s="189">
        <f t="shared" si="11"/>
        <v>502.3448415416666</v>
      </c>
    </row>
    <row r="48" spans="2:17" s="3" customFormat="1" ht="12.75" x14ac:dyDescent="0.2">
      <c r="B48" s="181" t="s">
        <v>132</v>
      </c>
      <c r="C48" s="226"/>
      <c r="D48" s="194"/>
      <c r="E48" s="186">
        <v>41334</v>
      </c>
      <c r="F48" s="186" t="s">
        <v>370</v>
      </c>
      <c r="G48" s="187" t="s">
        <v>89</v>
      </c>
      <c r="H48" s="482">
        <f t="shared" si="12"/>
        <v>1.225E-3</v>
      </c>
      <c r="I48" s="188">
        <f>(SUM('1.  LRAMVA Summary'!C$22:C$27)+SUM('1.  LRAMVA Summary'!C$28:C$29)*(MONTH($E48)-1)/12)*$H48</f>
        <v>132.90240395833334</v>
      </c>
      <c r="J48" s="188">
        <f>(SUM('1.  LRAMVA Summary'!D$22:D$27)+SUM('1.  LRAMVA Summary'!D$28:D$29)*(MONTH($E48)-1)/12)*$H48</f>
        <v>225.15544508333335</v>
      </c>
      <c r="K48" s="188">
        <f>(SUM('1.  LRAMVA Summary'!E$22:E$27)+SUM('1.  LRAMVA Summary'!E$28:E$29)*(MONTH($E48)-1)/12)*$H48</f>
        <v>178.76077304166668</v>
      </c>
      <c r="L48" s="188">
        <f>(SUM('1.  LRAMVA Summary'!F$22:F$27)+SUM('1.  LRAMVA Summary'!F$28:F$29)*(MONTH($E48)-1)/12)*$H48</f>
        <v>0</v>
      </c>
      <c r="M48" s="188">
        <f>(SUM('1.  LRAMVA Summary'!G$22:G$27)+SUM('1.  LRAMVA Summary'!G$28:G$29)*(MONTH($E48)-1)/12)*$H48</f>
        <v>0</v>
      </c>
      <c r="N48" s="188">
        <f>(SUM('1.  LRAMVA Summary'!H$22:H$27)+SUM('1.  LRAMVA Summary'!H$28:H$29)*(MONTH($E48)-1)/12)*$H48</f>
        <v>0</v>
      </c>
      <c r="O48" s="188">
        <f>(SUM('1.  LRAMVA Summary'!I$22:I$27)+SUM('1.  LRAMVA Summary'!I$28:I$29)*(MONTH($E48)-1)/12)*$H48</f>
        <v>0</v>
      </c>
      <c r="P48" s="189"/>
      <c r="Q48" s="189">
        <f t="shared" si="11"/>
        <v>536.81862208333337</v>
      </c>
    </row>
    <row r="49" spans="1:21" s="3" customFormat="1" ht="12.75" x14ac:dyDescent="0.2">
      <c r="B49" s="181" t="s">
        <v>133</v>
      </c>
      <c r="C49" s="226"/>
      <c r="D49" s="194"/>
      <c r="E49" s="186">
        <v>41365</v>
      </c>
      <c r="F49" s="186" t="s">
        <v>370</v>
      </c>
      <c r="G49" s="187" t="s">
        <v>90</v>
      </c>
      <c r="H49" s="483">
        <f>C$25/12</f>
        <v>1.225E-3</v>
      </c>
      <c r="I49" s="188">
        <f>(SUM('1.  LRAMVA Summary'!C$22:C$27)+SUM('1.  LRAMVA Summary'!C$28:C$29)*(MONTH($E49)-1)/12)*$H49</f>
        <v>142.26771168749997</v>
      </c>
      <c r="J49" s="188">
        <f>(SUM('1.  LRAMVA Summary'!D$22:D$27)+SUM('1.  LRAMVA Summary'!D$28:D$29)*(MONTH($E49)-1)/12)*$H49</f>
        <v>231.11280587499996</v>
      </c>
      <c r="K49" s="188">
        <f>(SUM('1.  LRAMVA Summary'!E$22:E$27)+SUM('1.  LRAMVA Summary'!E$28:E$29)*(MONTH($E49)-1)/12)*$H49</f>
        <v>197.91188506250001</v>
      </c>
      <c r="L49" s="188">
        <f>(SUM('1.  LRAMVA Summary'!F$22:F$27)+SUM('1.  LRAMVA Summary'!F$28:F$29)*(MONTH($E49)-1)/12)*$H49</f>
        <v>0</v>
      </c>
      <c r="M49" s="188">
        <f>(SUM('1.  LRAMVA Summary'!G$22:G$27)+SUM('1.  LRAMVA Summary'!G$28:G$29)*(MONTH($E49)-1)/12)*$H49</f>
        <v>0</v>
      </c>
      <c r="N49" s="188">
        <f>(SUM('1.  LRAMVA Summary'!H$22:H$27)+SUM('1.  LRAMVA Summary'!H$28:H$29)*(MONTH($E49)-1)/12)*$H49</f>
        <v>0</v>
      </c>
      <c r="O49" s="188">
        <f>(SUM('1.  LRAMVA Summary'!I$22:I$27)+SUM('1.  LRAMVA Summary'!I$28:I$29)*(MONTH($E49)-1)/12)*$H49</f>
        <v>0</v>
      </c>
      <c r="P49" s="189"/>
      <c r="Q49" s="189">
        <f t="shared" si="11"/>
        <v>571.29240262499991</v>
      </c>
    </row>
    <row r="50" spans="1:21" s="3" customFormat="1" ht="12.75" x14ac:dyDescent="0.2">
      <c r="B50" s="181" t="s">
        <v>134</v>
      </c>
      <c r="C50" s="226"/>
      <c r="D50" s="194"/>
      <c r="E50" s="186">
        <v>41395</v>
      </c>
      <c r="F50" s="186" t="s">
        <v>370</v>
      </c>
      <c r="G50" s="187" t="s">
        <v>90</v>
      </c>
      <c r="H50" s="482">
        <f t="shared" ref="H50:H51" si="13">C$25/12</f>
        <v>1.225E-3</v>
      </c>
      <c r="I50" s="188">
        <f>(SUM('1.  LRAMVA Summary'!C$22:C$27)+SUM('1.  LRAMVA Summary'!C$28:C$29)*(MONTH($E50)-1)/12)*$H50</f>
        <v>151.63301941666666</v>
      </c>
      <c r="J50" s="188">
        <f>(SUM('1.  LRAMVA Summary'!D$22:D$27)+SUM('1.  LRAMVA Summary'!D$28:D$29)*(MONTH($E50)-1)/12)*$H50</f>
        <v>237.07016666666664</v>
      </c>
      <c r="K50" s="188">
        <f>(SUM('1.  LRAMVA Summary'!E$22:E$27)+SUM('1.  LRAMVA Summary'!E$28:E$29)*(MONTH($E50)-1)/12)*$H50</f>
        <v>217.06299708333336</v>
      </c>
      <c r="L50" s="188">
        <f>(SUM('1.  LRAMVA Summary'!F$22:F$27)+SUM('1.  LRAMVA Summary'!F$28:F$29)*(MONTH($E50)-1)/12)*$H50</f>
        <v>0</v>
      </c>
      <c r="M50" s="188">
        <f>(SUM('1.  LRAMVA Summary'!G$22:G$27)+SUM('1.  LRAMVA Summary'!G$28:G$29)*(MONTH($E50)-1)/12)*$H50</f>
        <v>0</v>
      </c>
      <c r="N50" s="188">
        <f>(SUM('1.  LRAMVA Summary'!H$22:H$27)+SUM('1.  LRAMVA Summary'!H$28:H$29)*(MONTH($E50)-1)/12)*$H50</f>
        <v>0</v>
      </c>
      <c r="O50" s="188">
        <f>(SUM('1.  LRAMVA Summary'!I$22:I$27)+SUM('1.  LRAMVA Summary'!I$28:I$29)*(MONTH($E50)-1)/12)*$H50</f>
        <v>0</v>
      </c>
      <c r="P50" s="189"/>
      <c r="Q50" s="189">
        <f t="shared" si="11"/>
        <v>605.76618316666668</v>
      </c>
    </row>
    <row r="51" spans="1:21" s="3" customFormat="1" ht="12.75" x14ac:dyDescent="0.2">
      <c r="B51" s="181" t="s">
        <v>135</v>
      </c>
      <c r="C51" s="226"/>
      <c r="D51" s="194"/>
      <c r="E51" s="186">
        <v>41426</v>
      </c>
      <c r="F51" s="186" t="s">
        <v>370</v>
      </c>
      <c r="G51" s="187" t="s">
        <v>90</v>
      </c>
      <c r="H51" s="482">
        <f t="shared" si="13"/>
        <v>1.225E-3</v>
      </c>
      <c r="I51" s="188">
        <f>(SUM('1.  LRAMVA Summary'!C$22:C$27)+SUM('1.  LRAMVA Summary'!C$28:C$29)*(MONTH($E51)-1)/12)*$H51</f>
        <v>160.99832714583331</v>
      </c>
      <c r="J51" s="188">
        <f>(SUM('1.  LRAMVA Summary'!D$22:D$27)+SUM('1.  LRAMVA Summary'!D$28:D$29)*(MONTH($E51)-1)/12)*$H51</f>
        <v>243.02752745833331</v>
      </c>
      <c r="K51" s="188">
        <f>(SUM('1.  LRAMVA Summary'!E$22:E$27)+SUM('1.  LRAMVA Summary'!E$28:E$29)*(MONTH($E51)-1)/12)*$H51</f>
        <v>236.21410910416668</v>
      </c>
      <c r="L51" s="188">
        <f>(SUM('1.  LRAMVA Summary'!F$22:F$27)+SUM('1.  LRAMVA Summary'!F$28:F$29)*(MONTH($E51)-1)/12)*$H51</f>
        <v>0</v>
      </c>
      <c r="M51" s="188">
        <f>(SUM('1.  LRAMVA Summary'!G$22:G$27)+SUM('1.  LRAMVA Summary'!G$28:G$29)*(MONTH($E51)-1)/12)*$H51</f>
        <v>0</v>
      </c>
      <c r="N51" s="188">
        <f>(SUM('1.  LRAMVA Summary'!H$22:H$27)+SUM('1.  LRAMVA Summary'!H$28:H$29)*(MONTH($E51)-1)/12)*$H51</f>
        <v>0</v>
      </c>
      <c r="O51" s="188">
        <f>(SUM('1.  LRAMVA Summary'!I$22:I$27)+SUM('1.  LRAMVA Summary'!I$28:I$29)*(MONTH($E51)-1)/12)*$H51</f>
        <v>0</v>
      </c>
      <c r="P51" s="189"/>
      <c r="Q51" s="189">
        <f t="shared" si="11"/>
        <v>640.23996370833333</v>
      </c>
    </row>
    <row r="52" spans="1:21" s="3" customFormat="1" ht="12.75" x14ac:dyDescent="0.2">
      <c r="B52" s="181" t="s">
        <v>136</v>
      </c>
      <c r="C52" s="226"/>
      <c r="D52" s="194"/>
      <c r="E52" s="186">
        <v>41456</v>
      </c>
      <c r="F52" s="186" t="s">
        <v>370</v>
      </c>
      <c r="G52" s="187" t="s">
        <v>92</v>
      </c>
      <c r="H52" s="483">
        <f>C$26/12</f>
        <v>1.225E-3</v>
      </c>
      <c r="I52" s="188">
        <f>(SUM('1.  LRAMVA Summary'!C$22:C$27)+SUM('1.  LRAMVA Summary'!C$28:C$29)*(MONTH($E52)-1)/12)*$H52</f>
        <v>170.36363487499997</v>
      </c>
      <c r="J52" s="188">
        <f>(SUM('1.  LRAMVA Summary'!D$22:D$27)+SUM('1.  LRAMVA Summary'!D$28:D$29)*(MONTH($E52)-1)/12)*$H52</f>
        <v>248.98488824999998</v>
      </c>
      <c r="K52" s="188">
        <f>(SUM('1.  LRAMVA Summary'!E$22:E$27)+SUM('1.  LRAMVA Summary'!E$28:E$29)*(MONTH($E52)-1)/12)*$H52</f>
        <v>255.36522112500003</v>
      </c>
      <c r="L52" s="188">
        <f>(SUM('1.  LRAMVA Summary'!F$22:F$27)+SUM('1.  LRAMVA Summary'!F$28:F$29)*(MONTH($E52)-1)/12)*$H52</f>
        <v>0</v>
      </c>
      <c r="M52" s="188">
        <f>(SUM('1.  LRAMVA Summary'!G$22:G$27)+SUM('1.  LRAMVA Summary'!G$28:G$29)*(MONTH($E52)-1)/12)*$H52</f>
        <v>0</v>
      </c>
      <c r="N52" s="188">
        <f>(SUM('1.  LRAMVA Summary'!H$22:H$27)+SUM('1.  LRAMVA Summary'!H$28:H$29)*(MONTH($E52)-1)/12)*$H52</f>
        <v>0</v>
      </c>
      <c r="O52" s="188">
        <f>(SUM('1.  LRAMVA Summary'!I$22:I$27)+SUM('1.  LRAMVA Summary'!I$28:I$29)*(MONTH($E52)-1)/12)*$H52</f>
        <v>0</v>
      </c>
      <c r="P52" s="189"/>
      <c r="Q52" s="189">
        <f t="shared" si="11"/>
        <v>674.71374424999999</v>
      </c>
    </row>
    <row r="53" spans="1:21" s="3" customFormat="1" ht="12.75" x14ac:dyDescent="0.2">
      <c r="B53" s="181" t="s">
        <v>138</v>
      </c>
      <c r="C53" s="226"/>
      <c r="D53" s="194"/>
      <c r="E53" s="186">
        <v>41487</v>
      </c>
      <c r="F53" s="186" t="s">
        <v>370</v>
      </c>
      <c r="G53" s="187" t="s">
        <v>92</v>
      </c>
      <c r="H53" s="482">
        <f t="shared" ref="H53:H54" si="14">C$26/12</f>
        <v>1.225E-3</v>
      </c>
      <c r="I53" s="188">
        <f>(SUM('1.  LRAMVA Summary'!C$22:C$27)+SUM('1.  LRAMVA Summary'!C$28:C$29)*(MONTH($E53)-1)/12)*$H53</f>
        <v>179.72894260416663</v>
      </c>
      <c r="J53" s="188">
        <f>(SUM('1.  LRAMVA Summary'!D$22:D$27)+SUM('1.  LRAMVA Summary'!D$28:D$29)*(MONTH($E53)-1)/12)*$H53</f>
        <v>254.94224904166666</v>
      </c>
      <c r="K53" s="188">
        <f>(SUM('1.  LRAMVA Summary'!E$22:E$27)+SUM('1.  LRAMVA Summary'!E$28:E$29)*(MONTH($E53)-1)/12)*$H53</f>
        <v>274.51633314583336</v>
      </c>
      <c r="L53" s="188">
        <f>(SUM('1.  LRAMVA Summary'!F$22:F$27)+SUM('1.  LRAMVA Summary'!F$28:F$29)*(MONTH($E53)-1)/12)*$H53</f>
        <v>0</v>
      </c>
      <c r="M53" s="188">
        <f>(SUM('1.  LRAMVA Summary'!G$22:G$27)+SUM('1.  LRAMVA Summary'!G$28:G$29)*(MONTH($E53)-1)/12)*$H53</f>
        <v>0</v>
      </c>
      <c r="N53" s="188">
        <f>(SUM('1.  LRAMVA Summary'!H$22:H$27)+SUM('1.  LRAMVA Summary'!H$28:H$29)*(MONTH($E53)-1)/12)*$H53</f>
        <v>0</v>
      </c>
      <c r="O53" s="188">
        <f>(SUM('1.  LRAMVA Summary'!I$22:I$27)+SUM('1.  LRAMVA Summary'!I$28:I$29)*(MONTH($E53)-1)/12)*$H53</f>
        <v>0</v>
      </c>
      <c r="P53" s="189"/>
      <c r="Q53" s="189">
        <f t="shared" si="11"/>
        <v>709.18752479166665</v>
      </c>
    </row>
    <row r="54" spans="1:21" s="3" customFormat="1" ht="12.75" x14ac:dyDescent="0.2">
      <c r="B54" s="181" t="s">
        <v>137</v>
      </c>
      <c r="C54" s="226"/>
      <c r="D54" s="194"/>
      <c r="E54" s="186">
        <v>41518</v>
      </c>
      <c r="F54" s="186" t="s">
        <v>370</v>
      </c>
      <c r="G54" s="187" t="s">
        <v>92</v>
      </c>
      <c r="H54" s="482">
        <f t="shared" si="14"/>
        <v>1.225E-3</v>
      </c>
      <c r="I54" s="188">
        <f>(SUM('1.  LRAMVA Summary'!C$22:C$27)+SUM('1.  LRAMVA Summary'!C$28:C$29)*(MONTH($E54)-1)/12)*$H54</f>
        <v>189.09425033333332</v>
      </c>
      <c r="J54" s="188">
        <f>(SUM('1.  LRAMVA Summary'!D$22:D$27)+SUM('1.  LRAMVA Summary'!D$28:D$29)*(MONTH($E54)-1)/12)*$H54</f>
        <v>260.89960983333333</v>
      </c>
      <c r="K54" s="188">
        <f>(SUM('1.  LRAMVA Summary'!E$22:E$27)+SUM('1.  LRAMVA Summary'!E$28:E$29)*(MONTH($E54)-1)/12)*$H54</f>
        <v>293.66744516666665</v>
      </c>
      <c r="L54" s="188">
        <f>(SUM('1.  LRAMVA Summary'!F$22:F$27)+SUM('1.  LRAMVA Summary'!F$28:F$29)*(MONTH($E54)-1)/12)*$H54</f>
        <v>0</v>
      </c>
      <c r="M54" s="188">
        <f>(SUM('1.  LRAMVA Summary'!G$22:G$27)+SUM('1.  LRAMVA Summary'!G$28:G$29)*(MONTH($E54)-1)/12)*$H54</f>
        <v>0</v>
      </c>
      <c r="N54" s="188">
        <f>(SUM('1.  LRAMVA Summary'!H$22:H$27)+SUM('1.  LRAMVA Summary'!H$28:H$29)*(MONTH($E54)-1)/12)*$H54</f>
        <v>0</v>
      </c>
      <c r="O54" s="188">
        <f>(SUM('1.  LRAMVA Summary'!I$22:I$27)+SUM('1.  LRAMVA Summary'!I$28:I$29)*(MONTH($E54)-1)/12)*$H54</f>
        <v>0</v>
      </c>
      <c r="P54" s="189"/>
      <c r="Q54" s="189">
        <f t="shared" si="11"/>
        <v>743.6613053333333</v>
      </c>
    </row>
    <row r="55" spans="1:21" s="3" customFormat="1" ht="12.75" x14ac:dyDescent="0.2">
      <c r="B55" s="223" t="s">
        <v>139</v>
      </c>
      <c r="C55" s="227"/>
      <c r="D55" s="194"/>
      <c r="E55" s="186">
        <v>41548</v>
      </c>
      <c r="F55" s="186" t="s">
        <v>370</v>
      </c>
      <c r="G55" s="187" t="s">
        <v>93</v>
      </c>
      <c r="H55" s="483">
        <f>C$27/12</f>
        <v>1.225E-3</v>
      </c>
      <c r="I55" s="188">
        <f>(SUM('1.  LRAMVA Summary'!C$22:C$27)+SUM('1.  LRAMVA Summary'!C$28:C$29)*(MONTH($E55)-1)/12)*$H55</f>
        <v>198.45955806249998</v>
      </c>
      <c r="J55" s="188">
        <f>(SUM('1.  LRAMVA Summary'!D$22:D$27)+SUM('1.  LRAMVA Summary'!D$28:D$29)*(MONTH($E55)-1)/12)*$H55</f>
        <v>266.85697062499997</v>
      </c>
      <c r="K55" s="188">
        <f>(SUM('1.  LRAMVA Summary'!E$22:E$27)+SUM('1.  LRAMVA Summary'!E$28:E$29)*(MONTH($E55)-1)/12)*$H55</f>
        <v>312.81855718750001</v>
      </c>
      <c r="L55" s="188">
        <f>(SUM('1.  LRAMVA Summary'!F$22:F$27)+SUM('1.  LRAMVA Summary'!F$28:F$29)*(MONTH($E55)-1)/12)*$H55</f>
        <v>0</v>
      </c>
      <c r="M55" s="188">
        <f>(SUM('1.  LRAMVA Summary'!G$22:G$27)+SUM('1.  LRAMVA Summary'!G$28:G$29)*(MONTH($E55)-1)/12)*$H55</f>
        <v>0</v>
      </c>
      <c r="N55" s="188">
        <f>(SUM('1.  LRAMVA Summary'!H$22:H$27)+SUM('1.  LRAMVA Summary'!H$28:H$29)*(MONTH($E55)-1)/12)*$H55</f>
        <v>0</v>
      </c>
      <c r="O55" s="188">
        <f>(SUM('1.  LRAMVA Summary'!I$22:I$27)+SUM('1.  LRAMVA Summary'!I$28:I$29)*(MONTH($E55)-1)/12)*$H55</f>
        <v>0</v>
      </c>
      <c r="P55" s="189"/>
      <c r="Q55" s="189">
        <f t="shared" si="11"/>
        <v>778.13508587499996</v>
      </c>
    </row>
    <row r="56" spans="1:21" s="3" customFormat="1" ht="12.75" x14ac:dyDescent="0.2">
      <c r="D56" s="194"/>
      <c r="E56" s="186">
        <v>41579</v>
      </c>
      <c r="F56" s="186" t="s">
        <v>370</v>
      </c>
      <c r="G56" s="187" t="s">
        <v>93</v>
      </c>
      <c r="H56" s="482">
        <f t="shared" ref="H56:H57" si="15">C$27/12</f>
        <v>1.225E-3</v>
      </c>
      <c r="I56" s="188">
        <f>(SUM('1.  LRAMVA Summary'!C$22:C$27)+SUM('1.  LRAMVA Summary'!C$28:C$29)*(MONTH($E56)-1)/12)*$H56</f>
        <v>207.82486579166664</v>
      </c>
      <c r="J56" s="188">
        <f>(SUM('1.  LRAMVA Summary'!D$22:D$27)+SUM('1.  LRAMVA Summary'!D$28:D$29)*(MONTH($E56)-1)/12)*$H56</f>
        <v>272.81433141666668</v>
      </c>
      <c r="K56" s="188">
        <f>(SUM('1.  LRAMVA Summary'!E$22:E$27)+SUM('1.  LRAMVA Summary'!E$28:E$29)*(MONTH($E56)-1)/12)*$H56</f>
        <v>331.9696692083333</v>
      </c>
      <c r="L56" s="188">
        <f>(SUM('1.  LRAMVA Summary'!F$22:F$27)+SUM('1.  LRAMVA Summary'!F$28:F$29)*(MONTH($E56)-1)/12)*$H56</f>
        <v>0</v>
      </c>
      <c r="M56" s="188">
        <f>(SUM('1.  LRAMVA Summary'!G$22:G$27)+SUM('1.  LRAMVA Summary'!G$28:G$29)*(MONTH($E56)-1)/12)*$H56</f>
        <v>0</v>
      </c>
      <c r="N56" s="188">
        <f>(SUM('1.  LRAMVA Summary'!H$22:H$27)+SUM('1.  LRAMVA Summary'!H$28:H$29)*(MONTH($E56)-1)/12)*$H56</f>
        <v>0</v>
      </c>
      <c r="O56" s="188">
        <f>(SUM('1.  LRAMVA Summary'!I$22:I$27)+SUM('1.  LRAMVA Summary'!I$28:I$29)*(MONTH($E56)-1)/12)*$H56</f>
        <v>0</v>
      </c>
      <c r="P56" s="189"/>
      <c r="Q56" s="189">
        <f t="shared" si="11"/>
        <v>812.60886641666661</v>
      </c>
    </row>
    <row r="57" spans="1:21" s="3" customFormat="1" ht="14.25" x14ac:dyDescent="0.2">
      <c r="B57" s="233" t="s">
        <v>373</v>
      </c>
      <c r="C57" s="4"/>
      <c r="D57" s="194"/>
      <c r="E57" s="186">
        <v>41609</v>
      </c>
      <c r="F57" s="186" t="s">
        <v>370</v>
      </c>
      <c r="G57" s="187" t="s">
        <v>93</v>
      </c>
      <c r="H57" s="482">
        <f t="shared" si="15"/>
        <v>1.225E-3</v>
      </c>
      <c r="I57" s="188">
        <f>(SUM('1.  LRAMVA Summary'!C$22:C$27)+SUM('1.  LRAMVA Summary'!C$28:C$29)*(MONTH($E57)-1)/12)*$H57</f>
        <v>217.19017352083333</v>
      </c>
      <c r="J57" s="188">
        <f>(SUM('1.  LRAMVA Summary'!D$22:D$27)+SUM('1.  LRAMVA Summary'!D$28:D$29)*(MONTH($E57)-1)/12)*$H57</f>
        <v>278.77169220833332</v>
      </c>
      <c r="K57" s="188">
        <f>(SUM('1.  LRAMVA Summary'!E$22:E$27)+SUM('1.  LRAMVA Summary'!E$28:E$29)*(MONTH($E57)-1)/12)*$H57</f>
        <v>351.12078122916665</v>
      </c>
      <c r="L57" s="188">
        <f>(SUM('1.  LRAMVA Summary'!F$22:F$27)+SUM('1.  LRAMVA Summary'!F$28:F$29)*(MONTH($E57)-1)/12)*$H57</f>
        <v>0</v>
      </c>
      <c r="M57" s="188">
        <f>(SUM('1.  LRAMVA Summary'!G$22:G$27)+SUM('1.  LRAMVA Summary'!G$28:G$29)*(MONTH($E57)-1)/12)*$H57</f>
        <v>0</v>
      </c>
      <c r="N57" s="188">
        <f>(SUM('1.  LRAMVA Summary'!H$22:H$27)+SUM('1.  LRAMVA Summary'!H$28:H$29)*(MONTH($E57)-1)/12)*$H57</f>
        <v>0</v>
      </c>
      <c r="O57" s="188">
        <f>(SUM('1.  LRAMVA Summary'!I$22:I$27)+SUM('1.  LRAMVA Summary'!I$28:I$29)*(MONTH($E57)-1)/12)*$H57</f>
        <v>0</v>
      </c>
      <c r="P57" s="189"/>
      <c r="Q57" s="189">
        <f t="shared" si="11"/>
        <v>847.08264695833327</v>
      </c>
    </row>
    <row r="58" spans="1:21" s="3" customFormat="1" ht="13.5" thickBot="1" x14ac:dyDescent="0.25">
      <c r="B58" s="4"/>
      <c r="C58" s="4"/>
      <c r="D58" s="194"/>
      <c r="E58" s="198" t="s">
        <v>384</v>
      </c>
      <c r="F58" s="198"/>
      <c r="G58" s="199"/>
      <c r="H58" s="479"/>
      <c r="I58" s="200">
        <f>SUM(I45:I57)</f>
        <v>3135.082174875</v>
      </c>
      <c r="J58" s="200">
        <f t="shared" ref="J58:P58" si="16">SUM(J45:J57)</f>
        <v>5238.5569495000009</v>
      </c>
      <c r="K58" s="200">
        <f t="shared" si="16"/>
        <v>4210.811661875</v>
      </c>
      <c r="L58" s="200">
        <f t="shared" si="16"/>
        <v>0</v>
      </c>
      <c r="M58" s="200">
        <f t="shared" si="16"/>
        <v>0</v>
      </c>
      <c r="N58" s="200">
        <f t="shared" si="16"/>
        <v>0</v>
      </c>
      <c r="O58" s="200">
        <f t="shared" si="16"/>
        <v>0</v>
      </c>
      <c r="P58" s="200">
        <f t="shared" si="16"/>
        <v>0</v>
      </c>
      <c r="Q58" s="200">
        <f>SUM(Q45:Q57)</f>
        <v>12584.45078625</v>
      </c>
    </row>
    <row r="59" spans="1:21" s="3" customFormat="1" ht="13.5" thickTop="1" x14ac:dyDescent="0.2">
      <c r="D59" s="194"/>
      <c r="E59" s="229" t="s">
        <v>91</v>
      </c>
      <c r="F59" s="229"/>
      <c r="G59" s="230"/>
      <c r="H59" s="480"/>
      <c r="I59" s="231">
        <v>-2519.0700000000002</v>
      </c>
      <c r="J59" s="231">
        <v>-4849.43</v>
      </c>
      <c r="K59" s="231">
        <v>-2949.28</v>
      </c>
      <c r="L59" s="231"/>
      <c r="M59" s="231"/>
      <c r="N59" s="231"/>
      <c r="O59" s="231"/>
      <c r="P59" s="231"/>
      <c r="Q59" s="232"/>
    </row>
    <row r="60" spans="1:21" s="3" customFormat="1" ht="12.75" x14ac:dyDescent="0.2">
      <c r="D60" s="194"/>
      <c r="E60" s="195" t="s">
        <v>391</v>
      </c>
      <c r="F60" s="195"/>
      <c r="G60" s="196"/>
      <c r="H60" s="481"/>
      <c r="I60" s="197">
        <f t="shared" ref="I60:Q60" si="17">I58+I59</f>
        <v>616.0121748749998</v>
      </c>
      <c r="J60" s="197">
        <f t="shared" si="17"/>
        <v>389.12694950000059</v>
      </c>
      <c r="K60" s="197">
        <f t="shared" si="17"/>
        <v>1261.5316618749998</v>
      </c>
      <c r="L60" s="197">
        <f t="shared" si="17"/>
        <v>0</v>
      </c>
      <c r="M60" s="197">
        <f t="shared" si="17"/>
        <v>0</v>
      </c>
      <c r="N60" s="197">
        <f t="shared" si="17"/>
        <v>0</v>
      </c>
      <c r="O60" s="197">
        <f t="shared" si="17"/>
        <v>0</v>
      </c>
      <c r="P60" s="197">
        <f t="shared" si="17"/>
        <v>0</v>
      </c>
      <c r="Q60" s="197">
        <f t="shared" si="17"/>
        <v>12584.45078625</v>
      </c>
    </row>
    <row r="61" spans="1:21" s="3" customFormat="1" ht="12.75" x14ac:dyDescent="0.2">
      <c r="D61" s="194"/>
      <c r="E61" s="186">
        <v>41640</v>
      </c>
      <c r="F61" s="186" t="s">
        <v>371</v>
      </c>
      <c r="G61" s="187" t="s">
        <v>89</v>
      </c>
      <c r="H61" s="483">
        <f>C$28/12</f>
        <v>1.225E-3</v>
      </c>
      <c r="I61" s="188">
        <f>(SUM('1.  LRAMVA Summary'!C$22:C$30)+SUM('1.  LRAMVA Summary'!C$31:C$32)*(MONTH($E61)-1)/12)*$H61</f>
        <v>112.38369275000001</v>
      </c>
      <c r="J61" s="188">
        <f>(SUM('1.  LRAMVA Summary'!D$22:D$30)+SUM('1.  LRAMVA Summary'!D$31:D$32)*(MONTH($E61)-1)/12)*$H61</f>
        <v>71.488329500000006</v>
      </c>
      <c r="K61" s="188">
        <f>(SUM('1.  LRAMVA Summary'!E$22:E$30)+SUM('1.  LRAMVA Summary'!E$31:E$32)*(MONTH($E61)-1)/12)*$H61</f>
        <v>229.81334425</v>
      </c>
      <c r="L61" s="188">
        <f>(SUM('1.  LRAMVA Summary'!F$22:F$30)+SUM('1.  LRAMVA Summary'!F$31:F$32)*(MONTH($E61)-1)/12)*$H61</f>
        <v>0</v>
      </c>
      <c r="M61" s="188">
        <f>(SUM('1.  LRAMVA Summary'!G$22:G$30)+SUM('1.  LRAMVA Summary'!G$31:G$32)*(MONTH($E61)-1)/12)*$H61</f>
        <v>0</v>
      </c>
      <c r="N61" s="188">
        <f>(SUM('1.  LRAMVA Summary'!H$22:H$30)+SUM('1.  LRAMVA Summary'!H$31:H$32)*(MONTH($E61)-1)/12)*$H61</f>
        <v>0</v>
      </c>
      <c r="O61" s="188">
        <f>(SUM('1.  LRAMVA Summary'!I$22:I$30)+SUM('1.  LRAMVA Summary'!I$31:I$32)*(MONTH($E61)-1)/12)*$H61</f>
        <v>0</v>
      </c>
      <c r="P61" s="189"/>
      <c r="Q61" s="189">
        <f t="shared" ref="Q61:Q72" si="18">SUM(I61:P61)</f>
        <v>413.68536649999999</v>
      </c>
    </row>
    <row r="62" spans="1:21" s="3" customFormat="1" ht="12.75" x14ac:dyDescent="0.2">
      <c r="A62" s="14"/>
      <c r="E62" s="186">
        <v>41671</v>
      </c>
      <c r="F62" s="186" t="s">
        <v>371</v>
      </c>
      <c r="G62" s="187" t="s">
        <v>89</v>
      </c>
      <c r="H62" s="482">
        <f t="shared" ref="H62:H63" si="19">C$28/12</f>
        <v>1.225E-3</v>
      </c>
      <c r="I62" s="188">
        <f>(SUM('1.  LRAMVA Summary'!C$22:C$30)+SUM('1.  LRAMVA Summary'!C$31:C$32)*(MONTH($E62)-1)/12)*$H62</f>
        <v>122.47094888000001</v>
      </c>
      <c r="J62" s="188">
        <f>(SUM('1.  LRAMVA Summary'!D$22:D$30)+SUM('1.  LRAMVA Summary'!D$31:D$32)*(MONTH($E62)-1)/12)*$H62</f>
        <v>75.505783762500002</v>
      </c>
      <c r="K62" s="188">
        <f>(SUM('1.  LRAMVA Summary'!E$22:E$30)+SUM('1.  LRAMVA Summary'!E$31:E$32)*(MONTH($E62)-1)/12)*$H62</f>
        <v>238.32289352083333</v>
      </c>
      <c r="L62" s="188">
        <f>(SUM('1.  LRAMVA Summary'!F$22:F$30)+SUM('1.  LRAMVA Summary'!F$31:F$32)*(MONTH($E62)-1)/12)*$H62</f>
        <v>0</v>
      </c>
      <c r="M62" s="188">
        <f>(SUM('1.  LRAMVA Summary'!G$22:G$30)+SUM('1.  LRAMVA Summary'!G$31:G$32)*(MONTH($E62)-1)/12)*$H62</f>
        <v>0</v>
      </c>
      <c r="N62" s="188">
        <f>(SUM('1.  LRAMVA Summary'!H$22:H$30)+SUM('1.  LRAMVA Summary'!H$31:H$32)*(MONTH($E62)-1)/12)*$H62</f>
        <v>0</v>
      </c>
      <c r="O62" s="188">
        <f>(SUM('1.  LRAMVA Summary'!I$22:I$30)+SUM('1.  LRAMVA Summary'!I$31:I$32)*(MONTH($E62)-1)/12)*$H62</f>
        <v>0</v>
      </c>
      <c r="P62" s="189"/>
      <c r="Q62" s="189">
        <f t="shared" si="18"/>
        <v>436.2996261633333</v>
      </c>
    </row>
    <row r="63" spans="1:21" x14ac:dyDescent="0.25">
      <c r="A63" s="2"/>
      <c r="C63" s="2"/>
      <c r="E63" s="186">
        <v>41699</v>
      </c>
      <c r="F63" s="186" t="s">
        <v>371</v>
      </c>
      <c r="G63" s="187" t="s">
        <v>89</v>
      </c>
      <c r="H63" s="482">
        <f t="shared" si="19"/>
        <v>1.225E-3</v>
      </c>
      <c r="I63" s="188">
        <f>(SUM('1.  LRAMVA Summary'!C$22:C$30)+SUM('1.  LRAMVA Summary'!C$31:C$32)*(MONTH($E63)-1)/12)*$H63</f>
        <v>132.55820500999999</v>
      </c>
      <c r="J63" s="188">
        <f>(SUM('1.  LRAMVA Summary'!D$22:D$30)+SUM('1.  LRAMVA Summary'!D$31:D$32)*(MONTH($E63)-1)/12)*$H63</f>
        <v>79.523238024999998</v>
      </c>
      <c r="K63" s="188">
        <f>(SUM('1.  LRAMVA Summary'!E$22:E$30)+SUM('1.  LRAMVA Summary'!E$31:E$32)*(MONTH($E63)-1)/12)*$H63</f>
        <v>246.83244279166667</v>
      </c>
      <c r="L63" s="188">
        <f>(SUM('1.  LRAMVA Summary'!F$22:F$30)+SUM('1.  LRAMVA Summary'!F$31:F$32)*(MONTH($E63)-1)/12)*$H63</f>
        <v>0</v>
      </c>
      <c r="M63" s="188">
        <f>(SUM('1.  LRAMVA Summary'!G$22:G$30)+SUM('1.  LRAMVA Summary'!G$31:G$32)*(MONTH($E63)-1)/12)*$H63</f>
        <v>0</v>
      </c>
      <c r="N63" s="188">
        <f>(SUM('1.  LRAMVA Summary'!H$22:H$30)+SUM('1.  LRAMVA Summary'!H$31:H$32)*(MONTH($E63)-1)/12)*$H63</f>
        <v>0</v>
      </c>
      <c r="O63" s="188">
        <f>(SUM('1.  LRAMVA Summary'!I$22:I$30)+SUM('1.  LRAMVA Summary'!I$31:I$32)*(MONTH($E63)-1)/12)*$H63</f>
        <v>0</v>
      </c>
      <c r="P63" s="189"/>
      <c r="Q63" s="189">
        <f t="shared" si="18"/>
        <v>458.91388582666667</v>
      </c>
      <c r="R63" s="2"/>
      <c r="S63" s="2"/>
      <c r="T63" s="2"/>
      <c r="U63" s="2"/>
    </row>
    <row r="64" spans="1:21" x14ac:dyDescent="0.25">
      <c r="A64" s="2"/>
      <c r="C64" s="2"/>
      <c r="E64" s="186">
        <v>41730</v>
      </c>
      <c r="F64" s="186" t="s">
        <v>371</v>
      </c>
      <c r="G64" s="187" t="s">
        <v>90</v>
      </c>
      <c r="H64" s="483">
        <f>C$29/12</f>
        <v>1.225E-3</v>
      </c>
      <c r="I64" s="188">
        <f>(SUM('1.  LRAMVA Summary'!C$22:C$30)+SUM('1.  LRAMVA Summary'!C$31:C$32)*(MONTH($E64)-1)/12)*$H64</f>
        <v>142.64546114000001</v>
      </c>
      <c r="J64" s="188">
        <f>(SUM('1.  LRAMVA Summary'!D$22:D$30)+SUM('1.  LRAMVA Summary'!D$31:D$32)*(MONTH($E64)-1)/12)*$H64</f>
        <v>83.540692287499994</v>
      </c>
      <c r="K64" s="188">
        <f>(SUM('1.  LRAMVA Summary'!E$22:E$30)+SUM('1.  LRAMVA Summary'!E$31:E$32)*(MONTH($E64)-1)/12)*$H64</f>
        <v>255.3419920625</v>
      </c>
      <c r="L64" s="188">
        <f>(SUM('1.  LRAMVA Summary'!F$22:F$30)+SUM('1.  LRAMVA Summary'!F$31:F$32)*(MONTH($E64)-1)/12)*$H64</f>
        <v>0</v>
      </c>
      <c r="M64" s="188">
        <f>(SUM('1.  LRAMVA Summary'!G$22:G$30)+SUM('1.  LRAMVA Summary'!G$31:G$32)*(MONTH($E64)-1)/12)*$H64</f>
        <v>0</v>
      </c>
      <c r="N64" s="188">
        <f>(SUM('1.  LRAMVA Summary'!H$22:H$30)+SUM('1.  LRAMVA Summary'!H$31:H$32)*(MONTH($E64)-1)/12)*$H64</f>
        <v>0</v>
      </c>
      <c r="O64" s="188">
        <f>(SUM('1.  LRAMVA Summary'!I$22:I$30)+SUM('1.  LRAMVA Summary'!I$31:I$32)*(MONTH($E64)-1)/12)*$H64</f>
        <v>0</v>
      </c>
      <c r="P64" s="189"/>
      <c r="Q64" s="189">
        <f t="shared" si="18"/>
        <v>481.52814549000004</v>
      </c>
      <c r="R64" s="2"/>
      <c r="S64" s="2"/>
      <c r="T64" s="2"/>
      <c r="U64" s="2"/>
    </row>
    <row r="65" spans="1:21" x14ac:dyDescent="0.25">
      <c r="A65" s="2"/>
      <c r="C65" s="2"/>
      <c r="E65" s="186">
        <v>41760</v>
      </c>
      <c r="F65" s="186" t="s">
        <v>371</v>
      </c>
      <c r="G65" s="187" t="s">
        <v>90</v>
      </c>
      <c r="H65" s="482">
        <f t="shared" ref="H65:H66" si="20">C$29/12</f>
        <v>1.225E-3</v>
      </c>
      <c r="I65" s="188">
        <f>(SUM('1.  LRAMVA Summary'!C$22:C$30)+SUM('1.  LRAMVA Summary'!C$31:C$32)*(MONTH($E65)-1)/12)*$H65</f>
        <v>152.73271726999999</v>
      </c>
      <c r="J65" s="188">
        <f>(SUM('1.  LRAMVA Summary'!D$22:D$30)+SUM('1.  LRAMVA Summary'!D$31:D$32)*(MONTH($E65)-1)/12)*$H65</f>
        <v>87.558146550000004</v>
      </c>
      <c r="K65" s="188">
        <f>(SUM('1.  LRAMVA Summary'!E$22:E$30)+SUM('1.  LRAMVA Summary'!E$31:E$32)*(MONTH($E65)-1)/12)*$H65</f>
        <v>263.85154133333339</v>
      </c>
      <c r="L65" s="188">
        <f>(SUM('1.  LRAMVA Summary'!F$22:F$30)+SUM('1.  LRAMVA Summary'!F$31:F$32)*(MONTH($E65)-1)/12)*$H65</f>
        <v>0</v>
      </c>
      <c r="M65" s="188">
        <f>(SUM('1.  LRAMVA Summary'!G$22:G$30)+SUM('1.  LRAMVA Summary'!G$31:G$32)*(MONTH($E65)-1)/12)*$H65</f>
        <v>0</v>
      </c>
      <c r="N65" s="188">
        <f>(SUM('1.  LRAMVA Summary'!H$22:H$30)+SUM('1.  LRAMVA Summary'!H$31:H$32)*(MONTH($E65)-1)/12)*$H65</f>
        <v>0</v>
      </c>
      <c r="O65" s="188">
        <f>(SUM('1.  LRAMVA Summary'!I$22:I$30)+SUM('1.  LRAMVA Summary'!I$31:I$32)*(MONTH($E65)-1)/12)*$H65</f>
        <v>0</v>
      </c>
      <c r="P65" s="189"/>
      <c r="Q65" s="189">
        <f t="shared" si="18"/>
        <v>504.14240515333336</v>
      </c>
      <c r="R65" s="2"/>
      <c r="S65" s="2"/>
      <c r="T65" s="2"/>
      <c r="U65" s="2"/>
    </row>
    <row r="66" spans="1:21" s="3" customFormat="1" ht="12.75" x14ac:dyDescent="0.2">
      <c r="B66" s="56"/>
      <c r="E66" s="186">
        <v>41791</v>
      </c>
      <c r="F66" s="186" t="s">
        <v>371</v>
      </c>
      <c r="G66" s="187" t="s">
        <v>90</v>
      </c>
      <c r="H66" s="482">
        <f t="shared" si="20"/>
        <v>1.225E-3</v>
      </c>
      <c r="I66" s="188">
        <f>(SUM('1.  LRAMVA Summary'!C$22:C$30)+SUM('1.  LRAMVA Summary'!C$31:C$32)*(MONTH($E66)-1)/12)*$H66</f>
        <v>162.81997340000004</v>
      </c>
      <c r="J66" s="188">
        <f>(SUM('1.  LRAMVA Summary'!D$22:D$30)+SUM('1.  LRAMVA Summary'!D$31:D$32)*(MONTH($E66)-1)/12)*$H66</f>
        <v>91.575600812500014</v>
      </c>
      <c r="K66" s="188">
        <f>(SUM('1.  LRAMVA Summary'!E$22:E$30)+SUM('1.  LRAMVA Summary'!E$31:E$32)*(MONTH($E66)-1)/12)*$H66</f>
        <v>272.36109060416669</v>
      </c>
      <c r="L66" s="188">
        <f>(SUM('1.  LRAMVA Summary'!F$22:F$30)+SUM('1.  LRAMVA Summary'!F$31:F$32)*(MONTH($E66)-1)/12)*$H66</f>
        <v>0</v>
      </c>
      <c r="M66" s="188">
        <f>(SUM('1.  LRAMVA Summary'!G$22:G$30)+SUM('1.  LRAMVA Summary'!G$31:G$32)*(MONTH($E66)-1)/12)*$H66</f>
        <v>0</v>
      </c>
      <c r="N66" s="188">
        <f>(SUM('1.  LRAMVA Summary'!H$22:H$30)+SUM('1.  LRAMVA Summary'!H$31:H$32)*(MONTH($E66)-1)/12)*$H66</f>
        <v>0</v>
      </c>
      <c r="O66" s="188">
        <f>(SUM('1.  LRAMVA Summary'!I$22:I$30)+SUM('1.  LRAMVA Summary'!I$31:I$32)*(MONTH($E66)-1)/12)*$H66</f>
        <v>0</v>
      </c>
      <c r="P66" s="189"/>
      <c r="Q66" s="189">
        <f t="shared" si="18"/>
        <v>526.75666481666667</v>
      </c>
    </row>
    <row r="67" spans="1:21" s="3" customFormat="1" ht="12.75" x14ac:dyDescent="0.2">
      <c r="B67" s="56"/>
      <c r="E67" s="186">
        <v>41821</v>
      </c>
      <c r="F67" s="186" t="s">
        <v>371</v>
      </c>
      <c r="G67" s="187" t="s">
        <v>92</v>
      </c>
      <c r="H67" s="483">
        <f>C$30/12</f>
        <v>1.225E-3</v>
      </c>
      <c r="I67" s="188">
        <f>(SUM('1.  LRAMVA Summary'!C$22:C$30)+SUM('1.  LRAMVA Summary'!C$31:C$32)*(MONTH($E67)-1)/12)*$H67</f>
        <v>172.90722953</v>
      </c>
      <c r="J67" s="188">
        <f>(SUM('1.  LRAMVA Summary'!D$22:D$30)+SUM('1.  LRAMVA Summary'!D$31:D$32)*(MONTH($E67)-1)/12)*$H67</f>
        <v>95.593055075000009</v>
      </c>
      <c r="K67" s="188">
        <f>(SUM('1.  LRAMVA Summary'!E$22:E$30)+SUM('1.  LRAMVA Summary'!E$31:E$32)*(MONTH($E67)-1)/12)*$H67</f>
        <v>280.87063987500005</v>
      </c>
      <c r="L67" s="188">
        <f>(SUM('1.  LRAMVA Summary'!F$22:F$30)+SUM('1.  LRAMVA Summary'!F$31:F$32)*(MONTH($E67)-1)/12)*$H67</f>
        <v>0</v>
      </c>
      <c r="M67" s="188">
        <f>(SUM('1.  LRAMVA Summary'!G$22:G$30)+SUM('1.  LRAMVA Summary'!G$31:G$32)*(MONTH($E67)-1)/12)*$H67</f>
        <v>0</v>
      </c>
      <c r="N67" s="188">
        <f>(SUM('1.  LRAMVA Summary'!H$22:H$30)+SUM('1.  LRAMVA Summary'!H$31:H$32)*(MONTH($E67)-1)/12)*$H67</f>
        <v>0</v>
      </c>
      <c r="O67" s="188">
        <f>(SUM('1.  LRAMVA Summary'!I$22:I$30)+SUM('1.  LRAMVA Summary'!I$31:I$32)*(MONTH($E67)-1)/12)*$H67</f>
        <v>0</v>
      </c>
      <c r="P67" s="189"/>
      <c r="Q67" s="189">
        <f t="shared" si="18"/>
        <v>549.37092447999999</v>
      </c>
    </row>
    <row r="68" spans="1:21" s="3" customFormat="1" ht="12.75" x14ac:dyDescent="0.2">
      <c r="B68" s="56"/>
      <c r="E68" s="186">
        <v>41852</v>
      </c>
      <c r="F68" s="186" t="s">
        <v>371</v>
      </c>
      <c r="G68" s="187" t="s">
        <v>92</v>
      </c>
      <c r="H68" s="482">
        <f t="shared" ref="H68:H69" si="21">C$30/12</f>
        <v>1.225E-3</v>
      </c>
      <c r="I68" s="188">
        <f>(SUM('1.  LRAMVA Summary'!C$22:C$30)+SUM('1.  LRAMVA Summary'!C$31:C$32)*(MONTH($E68)-1)/12)*$H68</f>
        <v>182.99448565999998</v>
      </c>
      <c r="J68" s="188">
        <f>(SUM('1.  LRAMVA Summary'!D$22:D$30)+SUM('1.  LRAMVA Summary'!D$31:D$32)*(MONTH($E68)-1)/12)*$H68</f>
        <v>99.610509337500005</v>
      </c>
      <c r="K68" s="188">
        <f>(SUM('1.  LRAMVA Summary'!E$22:E$30)+SUM('1.  LRAMVA Summary'!E$31:E$32)*(MONTH($E68)-1)/12)*$H68</f>
        <v>289.38018914583336</v>
      </c>
      <c r="L68" s="188">
        <f>(SUM('1.  LRAMVA Summary'!F$22:F$30)+SUM('1.  LRAMVA Summary'!F$31:F$32)*(MONTH($E68)-1)/12)*$H68</f>
        <v>0</v>
      </c>
      <c r="M68" s="188">
        <f>(SUM('1.  LRAMVA Summary'!G$22:G$30)+SUM('1.  LRAMVA Summary'!G$31:G$32)*(MONTH($E68)-1)/12)*$H68</f>
        <v>0</v>
      </c>
      <c r="N68" s="188">
        <f>(SUM('1.  LRAMVA Summary'!H$22:H$30)+SUM('1.  LRAMVA Summary'!H$31:H$32)*(MONTH($E68)-1)/12)*$H68</f>
        <v>0</v>
      </c>
      <c r="O68" s="188">
        <f>(SUM('1.  LRAMVA Summary'!I$22:I$30)+SUM('1.  LRAMVA Summary'!I$31:I$32)*(MONTH($E68)-1)/12)*$H68</f>
        <v>0</v>
      </c>
      <c r="P68" s="189"/>
      <c r="Q68" s="189">
        <f t="shared" si="18"/>
        <v>571.9851841433333</v>
      </c>
    </row>
    <row r="69" spans="1:21" s="3" customFormat="1" ht="12.75" x14ac:dyDescent="0.2">
      <c r="B69" s="56"/>
      <c r="E69" s="186">
        <v>41883</v>
      </c>
      <c r="F69" s="186" t="s">
        <v>371</v>
      </c>
      <c r="G69" s="187" t="s">
        <v>92</v>
      </c>
      <c r="H69" s="482">
        <f t="shared" si="21"/>
        <v>1.225E-3</v>
      </c>
      <c r="I69" s="188">
        <f>(SUM('1.  LRAMVA Summary'!C$22:C$30)+SUM('1.  LRAMVA Summary'!C$31:C$32)*(MONTH($E69)-1)/12)*$H69</f>
        <v>193.08174179</v>
      </c>
      <c r="J69" s="188">
        <f>(SUM('1.  LRAMVA Summary'!D$22:D$30)+SUM('1.  LRAMVA Summary'!D$31:D$32)*(MONTH($E69)-1)/12)*$H69</f>
        <v>103.6279636</v>
      </c>
      <c r="K69" s="188">
        <f>(SUM('1.  LRAMVA Summary'!E$22:E$30)+SUM('1.  LRAMVA Summary'!E$31:E$32)*(MONTH($E69)-1)/12)*$H69</f>
        <v>297.88973841666666</v>
      </c>
      <c r="L69" s="188">
        <f>(SUM('1.  LRAMVA Summary'!F$22:F$30)+SUM('1.  LRAMVA Summary'!F$31:F$32)*(MONTH($E69)-1)/12)*$H69</f>
        <v>0</v>
      </c>
      <c r="M69" s="188">
        <f>(SUM('1.  LRAMVA Summary'!G$22:G$30)+SUM('1.  LRAMVA Summary'!G$31:G$32)*(MONTH($E69)-1)/12)*$H69</f>
        <v>0</v>
      </c>
      <c r="N69" s="188">
        <f>(SUM('1.  LRAMVA Summary'!H$22:H$30)+SUM('1.  LRAMVA Summary'!H$31:H$32)*(MONTH($E69)-1)/12)*$H69</f>
        <v>0</v>
      </c>
      <c r="O69" s="188">
        <f>(SUM('1.  LRAMVA Summary'!I$22:I$30)+SUM('1.  LRAMVA Summary'!I$31:I$32)*(MONTH($E69)-1)/12)*$H69</f>
        <v>0</v>
      </c>
      <c r="P69" s="189"/>
      <c r="Q69" s="189">
        <f t="shared" si="18"/>
        <v>594.59944380666661</v>
      </c>
    </row>
    <row r="70" spans="1:21" s="3" customFormat="1" ht="12.75" x14ac:dyDescent="0.2">
      <c r="B70" s="56"/>
      <c r="E70" s="186">
        <v>41913</v>
      </c>
      <c r="F70" s="186" t="s">
        <v>371</v>
      </c>
      <c r="G70" s="187" t="s">
        <v>93</v>
      </c>
      <c r="H70" s="483">
        <f>C$31/12</f>
        <v>1.225E-3</v>
      </c>
      <c r="I70" s="188">
        <f>(SUM('1.  LRAMVA Summary'!C$22:C$30)+SUM('1.  LRAMVA Summary'!C$31:C$32)*(MONTH($E70)-1)/12)*$H70</f>
        <v>203.16899792000004</v>
      </c>
      <c r="J70" s="188">
        <f>(SUM('1.  LRAMVA Summary'!D$22:D$30)+SUM('1.  LRAMVA Summary'!D$31:D$32)*(MONTH($E70)-1)/12)*$H70</f>
        <v>107.64541786250001</v>
      </c>
      <c r="K70" s="188">
        <f>(SUM('1.  LRAMVA Summary'!E$22:E$30)+SUM('1.  LRAMVA Summary'!E$31:E$32)*(MONTH($E70)-1)/12)*$H70</f>
        <v>306.39928768750008</v>
      </c>
      <c r="L70" s="188">
        <f>(SUM('1.  LRAMVA Summary'!F$22:F$30)+SUM('1.  LRAMVA Summary'!F$31:F$32)*(MONTH($E70)-1)/12)*$H70</f>
        <v>0</v>
      </c>
      <c r="M70" s="188">
        <f>(SUM('1.  LRAMVA Summary'!G$22:G$30)+SUM('1.  LRAMVA Summary'!G$31:G$32)*(MONTH($E70)-1)/12)*$H70</f>
        <v>0</v>
      </c>
      <c r="N70" s="188">
        <f>(SUM('1.  LRAMVA Summary'!H$22:H$30)+SUM('1.  LRAMVA Summary'!H$31:H$32)*(MONTH($E70)-1)/12)*$H70</f>
        <v>0</v>
      </c>
      <c r="O70" s="188">
        <f>(SUM('1.  LRAMVA Summary'!I$22:I$30)+SUM('1.  LRAMVA Summary'!I$31:I$32)*(MONTH($E70)-1)/12)*$H70</f>
        <v>0</v>
      </c>
      <c r="P70" s="189"/>
      <c r="Q70" s="189">
        <f t="shared" si="18"/>
        <v>617.21370347000015</v>
      </c>
    </row>
    <row r="71" spans="1:21" s="3" customFormat="1" ht="12.75" x14ac:dyDescent="0.2">
      <c r="B71" s="56"/>
      <c r="E71" s="186">
        <v>41944</v>
      </c>
      <c r="F71" s="186" t="s">
        <v>371</v>
      </c>
      <c r="G71" s="187" t="s">
        <v>93</v>
      </c>
      <c r="H71" s="482">
        <f t="shared" ref="H71:H72" si="22">C$31/12</f>
        <v>1.225E-3</v>
      </c>
      <c r="I71" s="188">
        <f>(SUM('1.  LRAMVA Summary'!C$22:C$30)+SUM('1.  LRAMVA Summary'!C$31:C$32)*(MONTH($E71)-1)/12)*$H71</f>
        <v>213.25625405</v>
      </c>
      <c r="J71" s="188">
        <f>(SUM('1.  LRAMVA Summary'!D$22:D$30)+SUM('1.  LRAMVA Summary'!D$31:D$32)*(MONTH($E71)-1)/12)*$H71</f>
        <v>111.66287212500002</v>
      </c>
      <c r="K71" s="188">
        <f>(SUM('1.  LRAMVA Summary'!E$22:E$30)+SUM('1.  LRAMVA Summary'!E$31:E$32)*(MONTH($E71)-1)/12)*$H71</f>
        <v>314.90883695833332</v>
      </c>
      <c r="L71" s="188">
        <f>(SUM('1.  LRAMVA Summary'!F$22:F$30)+SUM('1.  LRAMVA Summary'!F$31:F$32)*(MONTH($E71)-1)/12)*$H71</f>
        <v>0</v>
      </c>
      <c r="M71" s="188">
        <f>(SUM('1.  LRAMVA Summary'!G$22:G$30)+SUM('1.  LRAMVA Summary'!G$31:G$32)*(MONTH($E71)-1)/12)*$H71</f>
        <v>0</v>
      </c>
      <c r="N71" s="188">
        <f>(SUM('1.  LRAMVA Summary'!H$22:H$30)+SUM('1.  LRAMVA Summary'!H$31:H$32)*(MONTH($E71)-1)/12)*$H71</f>
        <v>0</v>
      </c>
      <c r="O71" s="188">
        <f>(SUM('1.  LRAMVA Summary'!I$22:I$30)+SUM('1.  LRAMVA Summary'!I$31:I$32)*(MONTH($E71)-1)/12)*$H71</f>
        <v>0</v>
      </c>
      <c r="P71" s="189"/>
      <c r="Q71" s="189">
        <f t="shared" si="18"/>
        <v>639.82796313333336</v>
      </c>
    </row>
    <row r="72" spans="1:21" s="3" customFormat="1" ht="12.75" x14ac:dyDescent="0.2">
      <c r="B72" s="56"/>
      <c r="E72" s="186">
        <v>41974</v>
      </c>
      <c r="F72" s="186" t="s">
        <v>371</v>
      </c>
      <c r="G72" s="187" t="s">
        <v>93</v>
      </c>
      <c r="H72" s="482">
        <f t="shared" si="22"/>
        <v>1.225E-3</v>
      </c>
      <c r="I72" s="188">
        <f>(SUM('1.  LRAMVA Summary'!C$22:C$30)+SUM('1.  LRAMVA Summary'!C$31:C$32)*(MONTH($E72)-1)/12)*$H72</f>
        <v>223.34351017999998</v>
      </c>
      <c r="J72" s="188">
        <f>(SUM('1.  LRAMVA Summary'!D$22:D$30)+SUM('1.  LRAMVA Summary'!D$31:D$32)*(MONTH($E72)-1)/12)*$H72</f>
        <v>115.68032638750002</v>
      </c>
      <c r="K72" s="188">
        <f>(SUM('1.  LRAMVA Summary'!E$22:E$30)+SUM('1.  LRAMVA Summary'!E$31:E$32)*(MONTH($E72)-1)/12)*$H72</f>
        <v>323.41838622916674</v>
      </c>
      <c r="L72" s="188">
        <f>(SUM('1.  LRAMVA Summary'!F$22:F$30)+SUM('1.  LRAMVA Summary'!F$31:F$32)*(MONTH($E72)-1)/12)*$H72</f>
        <v>0</v>
      </c>
      <c r="M72" s="188">
        <f>(SUM('1.  LRAMVA Summary'!G$22:G$30)+SUM('1.  LRAMVA Summary'!G$31:G$32)*(MONTH($E72)-1)/12)*$H72</f>
        <v>0</v>
      </c>
      <c r="N72" s="188">
        <f>(SUM('1.  LRAMVA Summary'!H$22:H$30)+SUM('1.  LRAMVA Summary'!H$31:H$32)*(MONTH($E72)-1)/12)*$H72</f>
        <v>0</v>
      </c>
      <c r="O72" s="188">
        <f>(SUM('1.  LRAMVA Summary'!I$22:I$30)+SUM('1.  LRAMVA Summary'!I$31:I$32)*(MONTH($E72)-1)/12)*$H72</f>
        <v>0</v>
      </c>
      <c r="P72" s="189"/>
      <c r="Q72" s="189">
        <f t="shared" si="18"/>
        <v>662.44222279666678</v>
      </c>
    </row>
    <row r="73" spans="1:21" s="3" customFormat="1" ht="13.5" thickBot="1" x14ac:dyDescent="0.25">
      <c r="B73" s="56"/>
      <c r="E73" s="198" t="s">
        <v>397</v>
      </c>
      <c r="F73" s="198"/>
      <c r="G73" s="199"/>
      <c r="H73" s="479"/>
      <c r="I73" s="200">
        <f>SUM(I60:I72)</f>
        <v>2630.3753924549997</v>
      </c>
      <c r="J73" s="200">
        <f t="shared" ref="J73" si="23">SUM(J60:J72)</f>
        <v>1512.1388848250003</v>
      </c>
      <c r="K73" s="200">
        <f t="shared" ref="K73" si="24">SUM(K60:K72)</f>
        <v>4580.9220447500002</v>
      </c>
      <c r="L73" s="200">
        <f t="shared" ref="L73" si="25">SUM(L60:L72)</f>
        <v>0</v>
      </c>
      <c r="M73" s="200">
        <f t="shared" ref="M73" si="26">SUM(M60:M72)</f>
        <v>0</v>
      </c>
      <c r="N73" s="200">
        <f t="shared" ref="N73" si="27">SUM(N60:N72)</f>
        <v>0</v>
      </c>
      <c r="O73" s="200">
        <f t="shared" ref="O73" si="28">SUM(O60:O72)</f>
        <v>0</v>
      </c>
      <c r="P73" s="200">
        <f t="shared" ref="P73" si="29">SUM(P60:P72)</f>
        <v>0</v>
      </c>
      <c r="Q73" s="200">
        <f>SUM(Q60:Q72)</f>
        <v>19041.216322029995</v>
      </c>
    </row>
    <row r="74" spans="1:21" s="3" customFormat="1" ht="13.5" thickTop="1" x14ac:dyDescent="0.2">
      <c r="B74" s="56"/>
      <c r="E74" s="229" t="s">
        <v>91</v>
      </c>
      <c r="F74" s="229"/>
      <c r="G74" s="230"/>
      <c r="H74" s="480"/>
      <c r="I74" s="231"/>
      <c r="J74" s="231"/>
      <c r="K74" s="231"/>
      <c r="L74" s="231"/>
      <c r="M74" s="231"/>
      <c r="N74" s="231"/>
      <c r="O74" s="231"/>
      <c r="P74" s="231"/>
      <c r="Q74" s="232"/>
    </row>
    <row r="75" spans="1:21" s="3" customFormat="1" ht="12.75" x14ac:dyDescent="0.2">
      <c r="B75" s="56"/>
      <c r="E75" s="195" t="s">
        <v>392</v>
      </c>
      <c r="F75" s="195"/>
      <c r="G75" s="196"/>
      <c r="H75" s="481"/>
      <c r="I75" s="197">
        <f t="shared" ref="I75:Q75" si="30">I73+I74</f>
        <v>2630.3753924549997</v>
      </c>
      <c r="J75" s="197">
        <f t="shared" si="30"/>
        <v>1512.1388848250003</v>
      </c>
      <c r="K75" s="197">
        <f t="shared" si="30"/>
        <v>4580.9220447500002</v>
      </c>
      <c r="L75" s="197">
        <f t="shared" si="30"/>
        <v>0</v>
      </c>
      <c r="M75" s="197">
        <f t="shared" si="30"/>
        <v>0</v>
      </c>
      <c r="N75" s="197">
        <f t="shared" si="30"/>
        <v>0</v>
      </c>
      <c r="O75" s="197">
        <f t="shared" si="30"/>
        <v>0</v>
      </c>
      <c r="P75" s="197">
        <f t="shared" si="30"/>
        <v>0</v>
      </c>
      <c r="Q75" s="197">
        <f t="shared" si="30"/>
        <v>19041.216322029995</v>
      </c>
    </row>
    <row r="76" spans="1:21" s="3" customFormat="1" ht="12.75" x14ac:dyDescent="0.2">
      <c r="B76" s="56"/>
      <c r="E76" s="186">
        <v>42005</v>
      </c>
      <c r="F76" s="186" t="s">
        <v>372</v>
      </c>
      <c r="G76" s="187" t="s">
        <v>89</v>
      </c>
      <c r="H76" s="482">
        <f>C$32/12</f>
        <v>1.225E-3</v>
      </c>
      <c r="I76" s="188">
        <f>(SUM('1.  LRAMVA Summary'!C$22:C$33)+SUM('1.  LRAMVA Summary'!C$34:C$35)*(MONTH($E76)-1)/12)*$H76</f>
        <v>233.43076631</v>
      </c>
      <c r="J76" s="188">
        <f>(SUM('1.  LRAMVA Summary'!D$22:D$33)+SUM('1.  LRAMVA Summary'!D$34:D$35)*(MONTH($E76)-1)/12)*$H76</f>
        <v>119.69778065000001</v>
      </c>
      <c r="K76" s="188">
        <f>(SUM('1.  LRAMVA Summary'!E$22:E$33)+SUM('1.  LRAMVA Summary'!E$34:E$35)*(MONTH($E76)-1)/12)*$H76</f>
        <v>331.9279355000001</v>
      </c>
      <c r="L76" s="188">
        <f>(SUM('1.  LRAMVA Summary'!F$22:F$33)+SUM('1.  LRAMVA Summary'!F$34:F$35)*(MONTH($E76)-1)/12)*$H76</f>
        <v>0</v>
      </c>
      <c r="M76" s="188">
        <f>(SUM('1.  LRAMVA Summary'!G$22:G$33)+SUM('1.  LRAMVA Summary'!G$34:G$35)*(MONTH($E76)-1)/12)*$H76</f>
        <v>0</v>
      </c>
      <c r="N76" s="188">
        <f>(SUM('1.  LRAMVA Summary'!H$22:H$33)+SUM('1.  LRAMVA Summary'!H$34:H$35)*(MONTH($E76)-1)/12)*$H76</f>
        <v>0</v>
      </c>
      <c r="O76" s="188">
        <f>(SUM('1.  LRAMVA Summary'!I$22:I$33)+SUM('1.  LRAMVA Summary'!I$34:I$35)*(MONTH($E76)-1)/12)*$H76</f>
        <v>0</v>
      </c>
      <c r="P76" s="189"/>
      <c r="Q76" s="189">
        <f>SUM(I76:P76)</f>
        <v>685.0564824600001</v>
      </c>
    </row>
    <row r="77" spans="1:21" s="15" customFormat="1" ht="12.75" x14ac:dyDescent="0.2">
      <c r="B77" s="220"/>
      <c r="E77" s="186">
        <v>42036</v>
      </c>
      <c r="F77" s="186" t="s">
        <v>372</v>
      </c>
      <c r="G77" s="187" t="s">
        <v>89</v>
      </c>
      <c r="H77" s="482">
        <v>1.225E-3</v>
      </c>
      <c r="I77" s="188">
        <f>(SUM('1.  LRAMVA Summary'!C$22:C$33)+SUM('1.  LRAMVA Summary'!C$34:C$35)*(MONTH($E77)-1)/12)*$H77</f>
        <v>234.41113654583333</v>
      </c>
      <c r="J77" s="188">
        <f>(SUM('1.  LRAMVA Summary'!D$22:D$33)+SUM('1.  LRAMVA Summary'!D$34:D$35)*(MONTH($E77)-1)/12)*$H77</f>
        <v>118.85205720342502</v>
      </c>
      <c r="K77" s="188">
        <f>(SUM('1.  LRAMVA Summary'!E$22:E$33)+SUM('1.  LRAMVA Summary'!E$34:E$35)*(MONTH($E77)-1)/12)*$H77</f>
        <v>331.48706551415006</v>
      </c>
      <c r="L77" s="188">
        <f>(SUM('1.  LRAMVA Summary'!F$22:F$33)+SUM('1.  LRAMVA Summary'!F$34:F$35)*(MONTH($E77)-1)/12)*$H77</f>
        <v>0</v>
      </c>
      <c r="M77" s="188">
        <f>(SUM('1.  LRAMVA Summary'!G$22:G$33)+SUM('1.  LRAMVA Summary'!G$34:G$35)*(MONTH($E77)-1)/12)*$H77</f>
        <v>0</v>
      </c>
      <c r="N77" s="188">
        <f>(SUM('1.  LRAMVA Summary'!H$22:H$33)+SUM('1.  LRAMVA Summary'!H$34:H$35)*(MONTH($E77)-1)/12)*$H77</f>
        <v>0</v>
      </c>
      <c r="O77" s="188">
        <f>(SUM('1.  LRAMVA Summary'!I$22:I$33)+SUM('1.  LRAMVA Summary'!I$34:I$35)*(MONTH($E77)-1)/12)*$H77</f>
        <v>0</v>
      </c>
      <c r="P77" s="189"/>
      <c r="Q77" s="189">
        <f>SUM(I77:P77)</f>
        <v>684.75025926340845</v>
      </c>
    </row>
    <row r="78" spans="1:21" s="3" customFormat="1" ht="12.75" x14ac:dyDescent="0.2">
      <c r="B78" s="56"/>
      <c r="E78" s="186">
        <v>42064</v>
      </c>
      <c r="F78" s="186" t="s">
        <v>372</v>
      </c>
      <c r="G78" s="187" t="s">
        <v>89</v>
      </c>
      <c r="H78" s="482">
        <v>1.225E-3</v>
      </c>
      <c r="I78" s="188">
        <f>(SUM('1.  LRAMVA Summary'!C$22:C$33)+SUM('1.  LRAMVA Summary'!C$34:C$35)*(MONTH($E78)-1)/12)*$H78</f>
        <v>235.39150678166669</v>
      </c>
      <c r="J78" s="188">
        <f>(SUM('1.  LRAMVA Summary'!D$22:D$33)+SUM('1.  LRAMVA Summary'!D$34:D$35)*(MONTH($E78)-1)/12)*$H78</f>
        <v>118.00633375685003</v>
      </c>
      <c r="K78" s="188">
        <f>(SUM('1.  LRAMVA Summary'!E$22:E$33)+SUM('1.  LRAMVA Summary'!E$34:E$35)*(MONTH($E78)-1)/12)*$H78</f>
        <v>331.04619552830007</v>
      </c>
      <c r="L78" s="188">
        <f>(SUM('1.  LRAMVA Summary'!F$22:F$33)+SUM('1.  LRAMVA Summary'!F$34:F$35)*(MONTH($E78)-1)/12)*$H78</f>
        <v>0</v>
      </c>
      <c r="M78" s="188">
        <f>(SUM('1.  LRAMVA Summary'!G$22:G$33)+SUM('1.  LRAMVA Summary'!G$34:G$35)*(MONTH($E78)-1)/12)*$H78</f>
        <v>0</v>
      </c>
      <c r="N78" s="188">
        <f>(SUM('1.  LRAMVA Summary'!H$22:H$33)+SUM('1.  LRAMVA Summary'!H$34:H$35)*(MONTH($E78)-1)/12)*$H78</f>
        <v>0</v>
      </c>
      <c r="O78" s="188">
        <f>(SUM('1.  LRAMVA Summary'!I$22:I$33)+SUM('1.  LRAMVA Summary'!I$34:I$35)*(MONTH($E78)-1)/12)*$H78</f>
        <v>0</v>
      </c>
      <c r="P78" s="189"/>
      <c r="Q78" s="189">
        <f>SUM(I78:P78)</f>
        <v>684.44403606681681</v>
      </c>
    </row>
    <row r="79" spans="1:21" s="3" customFormat="1" ht="12.75" x14ac:dyDescent="0.2">
      <c r="B79" s="56"/>
      <c r="E79" s="186">
        <v>42095</v>
      </c>
      <c r="F79" s="186" t="s">
        <v>372</v>
      </c>
      <c r="G79" s="187" t="s">
        <v>90</v>
      </c>
      <c r="H79" s="482">
        <f>C$33/12</f>
        <v>9.1666666666666665E-4</v>
      </c>
      <c r="I79" s="188">
        <f>(SUM('1.  LRAMVA Summary'!C$22:C$33)+SUM('1.  LRAMVA Summary'!C$34:C$35)*(MONTH($E79)-1)/12)*$H79</f>
        <v>176.87691477499999</v>
      </c>
      <c r="J79" s="188">
        <f>(SUM('1.  LRAMVA Summary'!D$22:D$33)+SUM('1.  LRAMVA Summary'!D$34:D$35)*(MONTH($E79)-1)/12)*$H79</f>
        <v>87.67120499408334</v>
      </c>
      <c r="K79" s="188">
        <f>(SUM('1.  LRAMVA Summary'!E$22:E$33)+SUM('1.  LRAMVA Summary'!E$34:E$35)*(MONTH($E79)-1)/12)*$H79</f>
        <v>247.39174020183341</v>
      </c>
      <c r="L79" s="188">
        <f>(SUM('1.  LRAMVA Summary'!F$22:F$33)+SUM('1.  LRAMVA Summary'!F$34:F$35)*(MONTH($E79)-1)/12)*$H79</f>
        <v>0</v>
      </c>
      <c r="M79" s="188">
        <f>(SUM('1.  LRAMVA Summary'!G$22:G$33)+SUM('1.  LRAMVA Summary'!G$34:G$35)*(MONTH($E79)-1)/12)*$H79</f>
        <v>0</v>
      </c>
      <c r="N79" s="188">
        <f>(SUM('1.  LRAMVA Summary'!H$22:H$33)+SUM('1.  LRAMVA Summary'!H$34:H$35)*(MONTH($E79)-1)/12)*$H79</f>
        <v>0</v>
      </c>
      <c r="O79" s="188">
        <f>(SUM('1.  LRAMVA Summary'!I$22:I$33)+SUM('1.  LRAMVA Summary'!I$34:I$35)*(MONTH($E79)-1)/12)*$H79</f>
        <v>0</v>
      </c>
      <c r="P79" s="189"/>
      <c r="Q79" s="189">
        <f>SUM(I79:P79)</f>
        <v>511.9398599709167</v>
      </c>
    </row>
    <row r="80" spans="1:21" s="3" customFormat="1" ht="12.75" x14ac:dyDescent="0.2">
      <c r="B80" s="56"/>
      <c r="E80" s="186">
        <v>42125</v>
      </c>
      <c r="F80" s="186" t="s">
        <v>372</v>
      </c>
      <c r="G80" s="187" t="s">
        <v>90</v>
      </c>
      <c r="H80" s="482">
        <v>9.1666666666666665E-4</v>
      </c>
      <c r="I80" s="188">
        <f>(SUM('1.  LRAMVA Summary'!C$22:C$33)+SUM('1.  LRAMVA Summary'!C$34:C$35)*(MONTH($E80)-1)/12)*$H80</f>
        <v>177.61052515555556</v>
      </c>
      <c r="J80" s="188">
        <f>(SUM('1.  LRAMVA Summary'!D$22:D$33)+SUM('1.  LRAMVA Summary'!D$34:D$35)*(MONTH($E80)-1)/12)*$H80</f>
        <v>87.038350714333347</v>
      </c>
      <c r="K80" s="188">
        <f>(SUM('1.  LRAMVA Summary'!E$22:E$33)+SUM('1.  LRAMVA Summary'!E$34:E$35)*(MONTH($E80)-1)/12)*$H80</f>
        <v>247.06183749133339</v>
      </c>
      <c r="L80" s="188">
        <f>(SUM('1.  LRAMVA Summary'!F$22:F$33)+SUM('1.  LRAMVA Summary'!F$34:F$35)*(MONTH($E80)-1)/12)*$H80</f>
        <v>0</v>
      </c>
      <c r="M80" s="188">
        <f>(SUM('1.  LRAMVA Summary'!G$22:G$33)+SUM('1.  LRAMVA Summary'!G$34:G$35)*(MONTH($E80)-1)/12)*$H80</f>
        <v>0</v>
      </c>
      <c r="N80" s="188">
        <f>(SUM('1.  LRAMVA Summary'!H$22:H$33)+SUM('1.  LRAMVA Summary'!H$34:H$35)*(MONTH($E80)-1)/12)*$H80</f>
        <v>0</v>
      </c>
      <c r="O80" s="188">
        <f>(SUM('1.  LRAMVA Summary'!I$22:I$33)+SUM('1.  LRAMVA Summary'!I$34:I$35)*(MONTH($E80)-1)/12)*$H80</f>
        <v>0</v>
      </c>
      <c r="P80" s="189"/>
      <c r="Q80" s="189">
        <f t="shared" ref="Q80:Q87" si="31">SUM(I80:P80)</f>
        <v>511.7107133612223</v>
      </c>
    </row>
    <row r="81" spans="2:17" s="3" customFormat="1" ht="12.75" x14ac:dyDescent="0.2">
      <c r="B81" s="56"/>
      <c r="E81" s="186">
        <v>42156</v>
      </c>
      <c r="F81" s="186" t="s">
        <v>372</v>
      </c>
      <c r="G81" s="187" t="s">
        <v>90</v>
      </c>
      <c r="H81" s="482">
        <v>9.1666666666666665E-4</v>
      </c>
      <c r="I81" s="188">
        <f>(SUM('1.  LRAMVA Summary'!C$22:C$33)+SUM('1.  LRAMVA Summary'!C$34:C$35)*(MONTH($E81)-1)/12)*$H81</f>
        <v>178.34413553611111</v>
      </c>
      <c r="J81" s="188">
        <f>(SUM('1.  LRAMVA Summary'!D$22:D$33)+SUM('1.  LRAMVA Summary'!D$34:D$35)*(MONTH($E81)-1)/12)*$H81</f>
        <v>86.405496434583355</v>
      </c>
      <c r="K81" s="188">
        <f>(SUM('1.  LRAMVA Summary'!E$22:E$33)+SUM('1.  LRAMVA Summary'!E$34:E$35)*(MONTH($E81)-1)/12)*$H81</f>
        <v>246.7319347808334</v>
      </c>
      <c r="L81" s="188">
        <f>(SUM('1.  LRAMVA Summary'!F$22:F$33)+SUM('1.  LRAMVA Summary'!F$34:F$35)*(MONTH($E81)-1)/12)*$H81</f>
        <v>0</v>
      </c>
      <c r="M81" s="188">
        <f>(SUM('1.  LRAMVA Summary'!G$22:G$33)+SUM('1.  LRAMVA Summary'!G$34:G$35)*(MONTH($E81)-1)/12)*$H81</f>
        <v>0</v>
      </c>
      <c r="N81" s="188">
        <f>(SUM('1.  LRAMVA Summary'!H$22:H$33)+SUM('1.  LRAMVA Summary'!H$34:H$35)*(MONTH($E81)-1)/12)*$H81</f>
        <v>0</v>
      </c>
      <c r="O81" s="188">
        <f>(SUM('1.  LRAMVA Summary'!I$22:I$33)+SUM('1.  LRAMVA Summary'!I$34:I$35)*(MONTH($E81)-1)/12)*$H81</f>
        <v>0</v>
      </c>
      <c r="P81" s="189"/>
      <c r="Q81" s="189">
        <f t="shared" si="31"/>
        <v>511.48156675152785</v>
      </c>
    </row>
    <row r="82" spans="2:17" s="3" customFormat="1" ht="12.75" x14ac:dyDescent="0.2">
      <c r="B82" s="56"/>
      <c r="E82" s="186">
        <v>42186</v>
      </c>
      <c r="F82" s="186" t="s">
        <v>372</v>
      </c>
      <c r="G82" s="187" t="s">
        <v>92</v>
      </c>
      <c r="H82" s="482">
        <f>$C$34/12</f>
        <v>9.1666666666666665E-4</v>
      </c>
      <c r="I82" s="188">
        <f>(SUM('1.  LRAMVA Summary'!C$22:C$33)+SUM('1.  LRAMVA Summary'!C$34:C$35)*(MONTH($E82)-1)/12)*$H82</f>
        <v>179.07774591666669</v>
      </c>
      <c r="J82" s="188">
        <f>(SUM('1.  LRAMVA Summary'!D$22:D$33)+SUM('1.  LRAMVA Summary'!D$34:D$35)*(MONTH($E82)-1)/12)*$H82</f>
        <v>85.772642154833335</v>
      </c>
      <c r="K82" s="188">
        <f>(SUM('1.  LRAMVA Summary'!E$22:E$33)+SUM('1.  LRAMVA Summary'!E$34:E$35)*(MONTH($E82)-1)/12)*$H82</f>
        <v>246.40203207033341</v>
      </c>
      <c r="L82" s="188">
        <f>(SUM('1.  LRAMVA Summary'!F$22:F$33)+SUM('1.  LRAMVA Summary'!F$34:F$35)*(MONTH($E82)-1)/12)*$H82</f>
        <v>0</v>
      </c>
      <c r="M82" s="188">
        <f>(SUM('1.  LRAMVA Summary'!G$22:G$33)+SUM('1.  LRAMVA Summary'!G$34:G$35)*(MONTH($E82)-1)/12)*$H82</f>
        <v>0</v>
      </c>
      <c r="N82" s="188">
        <f>(SUM('1.  LRAMVA Summary'!H$22:H$33)+SUM('1.  LRAMVA Summary'!H$34:H$35)*(MONTH($E82)-1)/12)*$H82</f>
        <v>0</v>
      </c>
      <c r="O82" s="188">
        <f>(SUM('1.  LRAMVA Summary'!I$22:I$33)+SUM('1.  LRAMVA Summary'!I$34:I$35)*(MONTH($E82)-1)/12)*$H82</f>
        <v>0</v>
      </c>
      <c r="P82" s="189"/>
      <c r="Q82" s="189">
        <f t="shared" si="31"/>
        <v>511.2524201418334</v>
      </c>
    </row>
    <row r="83" spans="2:17" s="3" customFormat="1" ht="12.75" x14ac:dyDescent="0.2">
      <c r="B83" s="56"/>
      <c r="E83" s="186">
        <v>42217</v>
      </c>
      <c r="F83" s="186" t="s">
        <v>372</v>
      </c>
      <c r="G83" s="187" t="s">
        <v>92</v>
      </c>
      <c r="H83" s="482">
        <f t="shared" ref="H83:H84" si="32">$C$34/12</f>
        <v>9.1666666666666665E-4</v>
      </c>
      <c r="I83" s="188">
        <f>(SUM('1.  LRAMVA Summary'!C$22:C$33)+SUM('1.  LRAMVA Summary'!C$34:C$35)*(MONTH($E83)-1)/12)*$H83</f>
        <v>179.81135629722223</v>
      </c>
      <c r="J83" s="188">
        <f>(SUM('1.  LRAMVA Summary'!D$22:D$33)+SUM('1.  LRAMVA Summary'!D$34:D$35)*(MONTH($E83)-1)/12)*$H83</f>
        <v>85.139787875083343</v>
      </c>
      <c r="K83" s="188">
        <f>(SUM('1.  LRAMVA Summary'!E$22:E$33)+SUM('1.  LRAMVA Summary'!E$34:E$35)*(MONTH($E83)-1)/12)*$H83</f>
        <v>246.07212935983341</v>
      </c>
      <c r="L83" s="188">
        <f>(SUM('1.  LRAMVA Summary'!F$22:F$33)+SUM('1.  LRAMVA Summary'!F$34:F$35)*(MONTH($E83)-1)/12)*$H83</f>
        <v>0</v>
      </c>
      <c r="M83" s="188">
        <f>(SUM('1.  LRAMVA Summary'!G$22:G$33)+SUM('1.  LRAMVA Summary'!G$34:G$35)*(MONTH($E83)-1)/12)*$H83</f>
        <v>0</v>
      </c>
      <c r="N83" s="188">
        <f>(SUM('1.  LRAMVA Summary'!H$22:H$33)+SUM('1.  LRAMVA Summary'!H$34:H$35)*(MONTH($E83)-1)/12)*$H83</f>
        <v>0</v>
      </c>
      <c r="O83" s="188">
        <f>(SUM('1.  LRAMVA Summary'!I$22:I$33)+SUM('1.  LRAMVA Summary'!I$34:I$35)*(MONTH($E83)-1)/12)*$H83</f>
        <v>0</v>
      </c>
      <c r="P83" s="189"/>
      <c r="Q83" s="189">
        <f t="shared" si="31"/>
        <v>511.023273532139</v>
      </c>
    </row>
    <row r="84" spans="2:17" s="3" customFormat="1" ht="12.75" x14ac:dyDescent="0.2">
      <c r="B84" s="56"/>
      <c r="E84" s="186">
        <v>42248</v>
      </c>
      <c r="F84" s="186" t="s">
        <v>372</v>
      </c>
      <c r="G84" s="187" t="s">
        <v>92</v>
      </c>
      <c r="H84" s="482">
        <f t="shared" si="32"/>
        <v>9.1666666666666665E-4</v>
      </c>
      <c r="I84" s="188">
        <f>(SUM('1.  LRAMVA Summary'!C$22:C$33)+SUM('1.  LRAMVA Summary'!C$34:C$35)*(MONTH($E84)-1)/12)*$H84</f>
        <v>180.54496667777778</v>
      </c>
      <c r="J84" s="188">
        <f>(SUM('1.  LRAMVA Summary'!D$22:D$33)+SUM('1.  LRAMVA Summary'!D$34:D$35)*(MONTH($E84)-1)/12)*$H84</f>
        <v>84.506933595333351</v>
      </c>
      <c r="K84" s="188">
        <f>(SUM('1.  LRAMVA Summary'!E$22:E$33)+SUM('1.  LRAMVA Summary'!E$34:E$35)*(MONTH($E84)-1)/12)*$H84</f>
        <v>245.74222664933342</v>
      </c>
      <c r="L84" s="188">
        <f>(SUM('1.  LRAMVA Summary'!F$22:F$33)+SUM('1.  LRAMVA Summary'!F$34:F$35)*(MONTH($E84)-1)/12)*$H84</f>
        <v>0</v>
      </c>
      <c r="M84" s="188">
        <f>(SUM('1.  LRAMVA Summary'!G$22:G$33)+SUM('1.  LRAMVA Summary'!G$34:G$35)*(MONTH($E84)-1)/12)*$H84</f>
        <v>0</v>
      </c>
      <c r="N84" s="188">
        <f>(SUM('1.  LRAMVA Summary'!H$22:H$33)+SUM('1.  LRAMVA Summary'!H$34:H$35)*(MONTH($E84)-1)/12)*$H84</f>
        <v>0</v>
      </c>
      <c r="O84" s="188">
        <f>(SUM('1.  LRAMVA Summary'!I$22:I$33)+SUM('1.  LRAMVA Summary'!I$34:I$35)*(MONTH($E84)-1)/12)*$H84</f>
        <v>0</v>
      </c>
      <c r="P84" s="189"/>
      <c r="Q84" s="189">
        <f t="shared" si="31"/>
        <v>510.79412692244455</v>
      </c>
    </row>
    <row r="85" spans="2:17" s="3" customFormat="1" ht="12.75" x14ac:dyDescent="0.2">
      <c r="B85" s="56"/>
      <c r="E85" s="186">
        <v>42278</v>
      </c>
      <c r="F85" s="186" t="s">
        <v>372</v>
      </c>
      <c r="G85" s="187" t="s">
        <v>93</v>
      </c>
      <c r="H85" s="482">
        <f>$C$35/12</f>
        <v>9.1666666666666665E-4</v>
      </c>
      <c r="I85" s="188">
        <f>(SUM('1.  LRAMVA Summary'!C$22:C$33)+SUM('1.  LRAMVA Summary'!C$34:C$35)*(MONTH($E85)-1)/12)*$H85</f>
        <v>181.27857705833335</v>
      </c>
      <c r="J85" s="188">
        <f>(SUM('1.  LRAMVA Summary'!D$22:D$33)+SUM('1.  LRAMVA Summary'!D$34:D$35)*(MONTH($E85)-1)/12)*$H85</f>
        <v>83.874079315583359</v>
      </c>
      <c r="K85" s="188">
        <f>(SUM('1.  LRAMVA Summary'!E$22:E$33)+SUM('1.  LRAMVA Summary'!E$34:E$35)*(MONTH($E85)-1)/12)*$H85</f>
        <v>245.4123239388334</v>
      </c>
      <c r="L85" s="188">
        <f>(SUM('1.  LRAMVA Summary'!F$22:F$33)+SUM('1.  LRAMVA Summary'!F$34:F$35)*(MONTH($E85)-1)/12)*$H85</f>
        <v>0</v>
      </c>
      <c r="M85" s="188">
        <f>(SUM('1.  LRAMVA Summary'!G$22:G$33)+SUM('1.  LRAMVA Summary'!G$34:G$35)*(MONTH($E85)-1)/12)*$H85</f>
        <v>0</v>
      </c>
      <c r="N85" s="188">
        <f>(SUM('1.  LRAMVA Summary'!H$22:H$33)+SUM('1.  LRAMVA Summary'!H$34:H$35)*(MONTH($E85)-1)/12)*$H85</f>
        <v>0</v>
      </c>
      <c r="O85" s="188">
        <f>(SUM('1.  LRAMVA Summary'!I$22:I$33)+SUM('1.  LRAMVA Summary'!I$34:I$35)*(MONTH($E85)-1)/12)*$H85</f>
        <v>0</v>
      </c>
      <c r="P85" s="189"/>
      <c r="Q85" s="189">
        <f t="shared" si="31"/>
        <v>510.56498031275009</v>
      </c>
    </row>
    <row r="86" spans="2:17" s="3" customFormat="1" ht="12.75" x14ac:dyDescent="0.2">
      <c r="B86" s="56"/>
      <c r="E86" s="186">
        <v>42309</v>
      </c>
      <c r="F86" s="186" t="s">
        <v>372</v>
      </c>
      <c r="G86" s="187" t="s">
        <v>93</v>
      </c>
      <c r="H86" s="482">
        <f t="shared" ref="H86:H87" si="33">$C$35/12</f>
        <v>9.1666666666666665E-4</v>
      </c>
      <c r="I86" s="188">
        <f>(SUM('1.  LRAMVA Summary'!C$22:C$33)+SUM('1.  LRAMVA Summary'!C$34:C$35)*(MONTH($E86)-1)/12)*$H86</f>
        <v>182.0121874388889</v>
      </c>
      <c r="J86" s="188">
        <f>(SUM('1.  LRAMVA Summary'!D$22:D$33)+SUM('1.  LRAMVA Summary'!D$34:D$35)*(MONTH($E86)-1)/12)*$H86</f>
        <v>83.241225035833352</v>
      </c>
      <c r="K86" s="188">
        <f>(SUM('1.  LRAMVA Summary'!E$22:E$33)+SUM('1.  LRAMVA Summary'!E$34:E$35)*(MONTH($E86)-1)/12)*$H86</f>
        <v>245.0824212283334</v>
      </c>
      <c r="L86" s="188">
        <f>(SUM('1.  LRAMVA Summary'!F$22:F$33)+SUM('1.  LRAMVA Summary'!F$34:F$35)*(MONTH($E86)-1)/12)*$H86</f>
        <v>0</v>
      </c>
      <c r="M86" s="188">
        <f>(SUM('1.  LRAMVA Summary'!G$22:G$33)+SUM('1.  LRAMVA Summary'!G$34:G$35)*(MONTH($E86)-1)/12)*$H86</f>
        <v>0</v>
      </c>
      <c r="N86" s="188">
        <f>(SUM('1.  LRAMVA Summary'!H$22:H$33)+SUM('1.  LRAMVA Summary'!H$34:H$35)*(MONTH($E86)-1)/12)*$H86</f>
        <v>0</v>
      </c>
      <c r="O86" s="188">
        <f>(SUM('1.  LRAMVA Summary'!I$22:I$33)+SUM('1.  LRAMVA Summary'!I$34:I$35)*(MONTH($E86)-1)/12)*$H86</f>
        <v>0</v>
      </c>
      <c r="P86" s="189"/>
      <c r="Q86" s="189">
        <f t="shared" si="31"/>
        <v>510.33583370305564</v>
      </c>
    </row>
    <row r="87" spans="2:17" s="3" customFormat="1" ht="12.75" x14ac:dyDescent="0.2">
      <c r="B87" s="56"/>
      <c r="E87" s="186">
        <v>42339</v>
      </c>
      <c r="F87" s="186" t="s">
        <v>372</v>
      </c>
      <c r="G87" s="187" t="s">
        <v>93</v>
      </c>
      <c r="H87" s="482">
        <f t="shared" si="33"/>
        <v>9.1666666666666665E-4</v>
      </c>
      <c r="I87" s="188">
        <f>(SUM('1.  LRAMVA Summary'!C$22:C$33)+SUM('1.  LRAMVA Summary'!C$34:C$35)*(MONTH($E87)-1)/12)*$H87</f>
        <v>182.74579781944448</v>
      </c>
      <c r="J87" s="188">
        <f>(SUM('1.  LRAMVA Summary'!D$22:D$33)+SUM('1.  LRAMVA Summary'!D$34:D$35)*(MONTH($E87)-1)/12)*$H87</f>
        <v>82.608370756083346</v>
      </c>
      <c r="K87" s="188">
        <f>(SUM('1.  LRAMVA Summary'!E$22:E$33)+SUM('1.  LRAMVA Summary'!E$34:E$35)*(MONTH($E87)-1)/12)*$H87</f>
        <v>244.75251851783341</v>
      </c>
      <c r="L87" s="188">
        <f>(SUM('1.  LRAMVA Summary'!F$22:F$33)+SUM('1.  LRAMVA Summary'!F$34:F$35)*(MONTH($E87)-1)/12)*$H87</f>
        <v>0</v>
      </c>
      <c r="M87" s="188">
        <f>(SUM('1.  LRAMVA Summary'!G$22:G$33)+SUM('1.  LRAMVA Summary'!G$34:G$35)*(MONTH($E87)-1)/12)*$H87</f>
        <v>0</v>
      </c>
      <c r="N87" s="188">
        <f>(SUM('1.  LRAMVA Summary'!H$22:H$33)+SUM('1.  LRAMVA Summary'!H$34:H$35)*(MONTH($E87)-1)/12)*$H87</f>
        <v>0</v>
      </c>
      <c r="O87" s="188">
        <f>(SUM('1.  LRAMVA Summary'!I$22:I$33)+SUM('1.  LRAMVA Summary'!I$34:I$35)*(MONTH($E87)-1)/12)*$H87</f>
        <v>0</v>
      </c>
      <c r="P87" s="189"/>
      <c r="Q87" s="189">
        <f t="shared" si="31"/>
        <v>510.10668709336119</v>
      </c>
    </row>
    <row r="88" spans="2:17" s="3" customFormat="1" ht="13.5" thickBot="1" x14ac:dyDescent="0.25">
      <c r="B88" s="56"/>
      <c r="E88" s="198" t="s">
        <v>398</v>
      </c>
      <c r="F88" s="198"/>
      <c r="G88" s="199"/>
      <c r="H88" s="479"/>
      <c r="I88" s="200">
        <f>SUM(I75:I87)</f>
        <v>4951.911008767499</v>
      </c>
      <c r="J88" s="200">
        <f>SUM(J75:J87)</f>
        <v>2634.9531473110251</v>
      </c>
      <c r="K88" s="200">
        <f t="shared" ref="K88:P88" si="34">SUM(K75:K87)</f>
        <v>7790.0324055309511</v>
      </c>
      <c r="L88" s="200">
        <f t="shared" si="34"/>
        <v>0</v>
      </c>
      <c r="M88" s="200">
        <f t="shared" si="34"/>
        <v>0</v>
      </c>
      <c r="N88" s="200">
        <f t="shared" si="34"/>
        <v>0</v>
      </c>
      <c r="O88" s="200">
        <f t="shared" si="34"/>
        <v>0</v>
      </c>
      <c r="P88" s="200">
        <f t="shared" si="34"/>
        <v>0</v>
      </c>
      <c r="Q88" s="200">
        <f>SUM(Q75:Q87)</f>
        <v>25694.676561609471</v>
      </c>
    </row>
    <row r="89" spans="2:17" s="3" customFormat="1" ht="13.5" thickTop="1" x14ac:dyDescent="0.2">
      <c r="B89" s="56"/>
      <c r="E89" s="229" t="s">
        <v>91</v>
      </c>
      <c r="F89" s="229"/>
      <c r="G89" s="230"/>
      <c r="H89" s="480"/>
      <c r="I89" s="231">
        <v>-4912.54</v>
      </c>
      <c r="J89" s="231">
        <v>-2685.78</v>
      </c>
      <c r="K89" s="231">
        <v>-7827.62</v>
      </c>
      <c r="L89" s="231"/>
      <c r="M89" s="231"/>
      <c r="N89" s="231"/>
      <c r="O89" s="231"/>
      <c r="P89" s="231"/>
      <c r="Q89" s="232"/>
    </row>
    <row r="90" spans="2:17" s="3" customFormat="1" ht="12.75" hidden="1" x14ac:dyDescent="0.2">
      <c r="B90" s="56"/>
      <c r="E90" s="195" t="s">
        <v>393</v>
      </c>
      <c r="F90" s="195"/>
      <c r="G90" s="196"/>
      <c r="H90" s="481"/>
      <c r="I90" s="197">
        <f>I88+I89</f>
        <v>39.371008767499006</v>
      </c>
      <c r="J90" s="197">
        <f t="shared" ref="J90" si="35">J88+J89</f>
        <v>-50.826852688975123</v>
      </c>
      <c r="K90" s="197">
        <f t="shared" ref="K90" si="36">K88+K89</f>
        <v>-37.587594469048781</v>
      </c>
      <c r="L90" s="197">
        <f t="shared" ref="L90" si="37">L88+L89</f>
        <v>0</v>
      </c>
      <c r="M90" s="197">
        <f t="shared" ref="M90" si="38">M88+M89</f>
        <v>0</v>
      </c>
      <c r="N90" s="197">
        <f t="shared" ref="N90" si="39">N88+N89</f>
        <v>0</v>
      </c>
      <c r="O90" s="197">
        <f t="shared" ref="O90" si="40">O88+O89</f>
        <v>0</v>
      </c>
      <c r="P90" s="197">
        <f t="shared" ref="P90" si="41">P88+P89</f>
        <v>0</v>
      </c>
      <c r="Q90" s="197">
        <f t="shared" ref="Q90" si="42">Q88+Q89</f>
        <v>25694.676561609471</v>
      </c>
    </row>
    <row r="91" spans="2:17" s="3" customFormat="1" ht="12.75" hidden="1" x14ac:dyDescent="0.2">
      <c r="B91" s="56"/>
      <c r="E91" s="186">
        <v>42370</v>
      </c>
      <c r="F91" s="186" t="s">
        <v>377</v>
      </c>
      <c r="G91" s="187" t="s">
        <v>89</v>
      </c>
      <c r="H91" s="482">
        <f>$C$36/12</f>
        <v>9.1666666666666665E-4</v>
      </c>
      <c r="I91" s="188" t="e">
        <f>(SUM('1.  LRAMVA Summary'!C$22:C$36)+SUM('1.  LRAMVA Summary'!#REF!)*(MONTH($E91)-1)/12)*$H91</f>
        <v>#REF!</v>
      </c>
      <c r="J91" s="188" t="e">
        <f>(SUM('1.  LRAMVA Summary'!D$22:D$36)+SUM('1.  LRAMVA Summary'!#REF!)*(MONTH($E91)-1)/12)*$H91</f>
        <v>#REF!</v>
      </c>
      <c r="K91" s="188" t="e">
        <f>(SUM('1.  LRAMVA Summary'!E$22:E$36)+SUM('1.  LRAMVA Summary'!#REF!)*(MONTH($E91)-1)/12)*$H91</f>
        <v>#REF!</v>
      </c>
      <c r="L91" s="188" t="e">
        <f>(SUM('1.  LRAMVA Summary'!F$22:F$36)+SUM('1.  LRAMVA Summary'!#REF!)*(MONTH($E91)-1)/12)*$H91</f>
        <v>#REF!</v>
      </c>
      <c r="M91" s="188" t="e">
        <f>(SUM('1.  LRAMVA Summary'!G$22:G$36)+SUM('1.  LRAMVA Summary'!#REF!)*(MONTH($E91)-1)/12)*$H91</f>
        <v>#REF!</v>
      </c>
      <c r="N91" s="188" t="e">
        <f>(SUM('1.  LRAMVA Summary'!H$22:H$36)+SUM('1.  LRAMVA Summary'!#REF!)*(MONTH($E91)-1)/12)*$H91</f>
        <v>#REF!</v>
      </c>
      <c r="O91" s="188" t="e">
        <f>(SUM('1.  LRAMVA Summary'!I$22:I$36)+SUM('1.  LRAMVA Summary'!#REF!)*(MONTH($E91)-1)/12)*$H91</f>
        <v>#REF!</v>
      </c>
      <c r="P91" s="188"/>
      <c r="Q91" s="189" t="e">
        <f>SUM(I91:P91)</f>
        <v>#REF!</v>
      </c>
    </row>
    <row r="92" spans="2:17" s="3" customFormat="1" ht="12.75" hidden="1" x14ac:dyDescent="0.2">
      <c r="B92" s="56"/>
      <c r="E92" s="186">
        <v>42401</v>
      </c>
      <c r="F92" s="186" t="s">
        <v>377</v>
      </c>
      <c r="G92" s="187" t="s">
        <v>89</v>
      </c>
      <c r="H92" s="482">
        <f t="shared" ref="H92:H93" si="43">$C$36/12</f>
        <v>9.1666666666666665E-4</v>
      </c>
      <c r="I92" s="188" t="e">
        <f>(SUM('1.  LRAMVA Summary'!C$22:C$36)+SUM('1.  LRAMVA Summary'!#REF!)*(MONTH($E92)-1)/12)*$H92</f>
        <v>#REF!</v>
      </c>
      <c r="J92" s="188" t="e">
        <f>(SUM('1.  LRAMVA Summary'!D$22:D$36)+SUM('1.  LRAMVA Summary'!#REF!)*(MONTH($E92)-1)/12)*$H92</f>
        <v>#REF!</v>
      </c>
      <c r="K92" s="188" t="e">
        <f>(SUM('1.  LRAMVA Summary'!E$22:E$36)+SUM('1.  LRAMVA Summary'!#REF!)*(MONTH($E92)-1)/12)*$H92</f>
        <v>#REF!</v>
      </c>
      <c r="L92" s="188" t="e">
        <f>(SUM('1.  LRAMVA Summary'!F$22:F$36)+SUM('1.  LRAMVA Summary'!#REF!)*(MONTH($E92)-1)/12)*$H92</f>
        <v>#REF!</v>
      </c>
      <c r="M92" s="188" t="e">
        <f>(SUM('1.  LRAMVA Summary'!G$22:G$36)+SUM('1.  LRAMVA Summary'!#REF!)*(MONTH($E92)-1)/12)*$H92</f>
        <v>#REF!</v>
      </c>
      <c r="N92" s="188" t="e">
        <f>(SUM('1.  LRAMVA Summary'!H$22:H$36)+SUM('1.  LRAMVA Summary'!#REF!)*(MONTH($E92)-1)/12)*$H92</f>
        <v>#REF!</v>
      </c>
      <c r="O92" s="188" t="e">
        <f>(SUM('1.  LRAMVA Summary'!I$22:I$36)+SUM('1.  LRAMVA Summary'!#REF!)*(MONTH($E92)-1)/12)*$H92</f>
        <v>#REF!</v>
      </c>
      <c r="P92" s="188"/>
      <c r="Q92" s="189" t="e">
        <f t="shared" ref="Q92:Q102" si="44">SUM(I92:P92)</f>
        <v>#REF!</v>
      </c>
    </row>
    <row r="93" spans="2:17" s="3" customFormat="1" ht="14.25" hidden="1" customHeight="1" x14ac:dyDescent="0.2">
      <c r="B93" s="56"/>
      <c r="E93" s="186">
        <v>42430</v>
      </c>
      <c r="F93" s="186" t="s">
        <v>377</v>
      </c>
      <c r="G93" s="187" t="s">
        <v>89</v>
      </c>
      <c r="H93" s="482">
        <f t="shared" si="43"/>
        <v>9.1666666666666665E-4</v>
      </c>
      <c r="I93" s="188" t="e">
        <f>(SUM('1.  LRAMVA Summary'!C$22:C$36)+SUM('1.  LRAMVA Summary'!#REF!)*(MONTH($E93)-1)/12)*$H93</f>
        <v>#REF!</v>
      </c>
      <c r="J93" s="188" t="e">
        <f>(SUM('1.  LRAMVA Summary'!D$22:D$36)+SUM('1.  LRAMVA Summary'!#REF!)*(MONTH($E93)-1)/12)*$H93</f>
        <v>#REF!</v>
      </c>
      <c r="K93" s="188" t="e">
        <f>(SUM('1.  LRAMVA Summary'!E$22:E$36)+SUM('1.  LRAMVA Summary'!#REF!)*(MONTH($E93)-1)/12)*$H93</f>
        <v>#REF!</v>
      </c>
      <c r="L93" s="188" t="e">
        <f>(SUM('1.  LRAMVA Summary'!F$22:F$36)+SUM('1.  LRAMVA Summary'!#REF!)*(MONTH($E93)-1)/12)*$H93</f>
        <v>#REF!</v>
      </c>
      <c r="M93" s="188" t="e">
        <f>(SUM('1.  LRAMVA Summary'!G$22:G$36)+SUM('1.  LRAMVA Summary'!#REF!)*(MONTH($E93)-1)/12)*$H93</f>
        <v>#REF!</v>
      </c>
      <c r="N93" s="188" t="e">
        <f>(SUM('1.  LRAMVA Summary'!H$22:H$36)+SUM('1.  LRAMVA Summary'!#REF!)*(MONTH($E93)-1)/12)*$H93</f>
        <v>#REF!</v>
      </c>
      <c r="O93" s="188" t="e">
        <f>(SUM('1.  LRAMVA Summary'!I$22:I$36)+SUM('1.  LRAMVA Summary'!#REF!)*(MONTH($E93)-1)/12)*$H93</f>
        <v>#REF!</v>
      </c>
      <c r="P93" s="188"/>
      <c r="Q93" s="189" t="e">
        <f t="shared" si="44"/>
        <v>#REF!</v>
      </c>
    </row>
    <row r="94" spans="2:17" s="16" customFormat="1" ht="12.75" hidden="1" x14ac:dyDescent="0.2">
      <c r="B94" s="221"/>
      <c r="D94" s="3"/>
      <c r="E94" s="186">
        <v>42461</v>
      </c>
      <c r="F94" s="186" t="s">
        <v>377</v>
      </c>
      <c r="G94" s="187" t="s">
        <v>90</v>
      </c>
      <c r="H94" s="482">
        <f>$C$37/12</f>
        <v>9.1666666666666665E-4</v>
      </c>
      <c r="I94" s="188" t="e">
        <f>(SUM('1.  LRAMVA Summary'!C$22:C$36)+SUM('1.  LRAMVA Summary'!#REF!)*(MONTH($E94)-1)/12)*$H94</f>
        <v>#REF!</v>
      </c>
      <c r="J94" s="188" t="e">
        <f>(SUM('1.  LRAMVA Summary'!D$22:D$36)+SUM('1.  LRAMVA Summary'!#REF!)*(MONTH($E94)-1)/12)*$H94</f>
        <v>#REF!</v>
      </c>
      <c r="K94" s="188" t="e">
        <f>(SUM('1.  LRAMVA Summary'!E$22:E$36)+SUM('1.  LRAMVA Summary'!#REF!)*(MONTH($E94)-1)/12)*$H94</f>
        <v>#REF!</v>
      </c>
      <c r="L94" s="188" t="e">
        <f>(SUM('1.  LRAMVA Summary'!F$22:F$36)+SUM('1.  LRAMVA Summary'!#REF!)*(MONTH($E94)-1)/12)*$H94</f>
        <v>#REF!</v>
      </c>
      <c r="M94" s="188" t="e">
        <f>(SUM('1.  LRAMVA Summary'!G$22:G$36)+SUM('1.  LRAMVA Summary'!#REF!)*(MONTH($E94)-1)/12)*$H94</f>
        <v>#REF!</v>
      </c>
      <c r="N94" s="188" t="e">
        <f>(SUM('1.  LRAMVA Summary'!H$22:H$36)+SUM('1.  LRAMVA Summary'!#REF!)*(MONTH($E94)-1)/12)*$H94</f>
        <v>#REF!</v>
      </c>
      <c r="O94" s="188" t="e">
        <f>(SUM('1.  LRAMVA Summary'!I$22:I$36)+SUM('1.  LRAMVA Summary'!#REF!)*(MONTH($E94)-1)/12)*$H94</f>
        <v>#REF!</v>
      </c>
      <c r="P94" s="188"/>
      <c r="Q94" s="189" t="e">
        <f t="shared" si="44"/>
        <v>#REF!</v>
      </c>
    </row>
    <row r="95" spans="2:17" s="3" customFormat="1" ht="12.75" hidden="1" x14ac:dyDescent="0.2">
      <c r="B95" s="56"/>
      <c r="E95" s="186">
        <v>42491</v>
      </c>
      <c r="F95" s="186" t="s">
        <v>377</v>
      </c>
      <c r="G95" s="187" t="s">
        <v>90</v>
      </c>
      <c r="H95" s="482">
        <f t="shared" ref="H95:H96" si="45">$C$37/12</f>
        <v>9.1666666666666665E-4</v>
      </c>
      <c r="I95" s="188" t="e">
        <f>(SUM('1.  LRAMVA Summary'!C$22:C$36)+SUM('1.  LRAMVA Summary'!#REF!)*(MONTH($E95)-1)/12)*$H95</f>
        <v>#REF!</v>
      </c>
      <c r="J95" s="188" t="e">
        <f>(SUM('1.  LRAMVA Summary'!D$22:D$36)+SUM('1.  LRAMVA Summary'!#REF!)*(MONTH($E95)-1)/12)*$H95</f>
        <v>#REF!</v>
      </c>
      <c r="K95" s="188" t="e">
        <f>(SUM('1.  LRAMVA Summary'!E$22:E$36)+SUM('1.  LRAMVA Summary'!#REF!)*(MONTH($E95)-1)/12)*$H95</f>
        <v>#REF!</v>
      </c>
      <c r="L95" s="188" t="e">
        <f>(SUM('1.  LRAMVA Summary'!F$22:F$36)+SUM('1.  LRAMVA Summary'!#REF!)*(MONTH($E95)-1)/12)*$H95</f>
        <v>#REF!</v>
      </c>
      <c r="M95" s="188" t="e">
        <f>(SUM('1.  LRAMVA Summary'!G$22:G$36)+SUM('1.  LRAMVA Summary'!#REF!)*(MONTH($E95)-1)/12)*$H95</f>
        <v>#REF!</v>
      </c>
      <c r="N95" s="188" t="e">
        <f>(SUM('1.  LRAMVA Summary'!H$22:H$36)+SUM('1.  LRAMVA Summary'!#REF!)*(MONTH($E95)-1)/12)*$H95</f>
        <v>#REF!</v>
      </c>
      <c r="O95" s="188" t="e">
        <f>(SUM('1.  LRAMVA Summary'!I$22:I$36)+SUM('1.  LRAMVA Summary'!#REF!)*(MONTH($E95)-1)/12)*$H95</f>
        <v>#REF!</v>
      </c>
      <c r="P95" s="188"/>
      <c r="Q95" s="189" t="e">
        <f t="shared" si="44"/>
        <v>#REF!</v>
      </c>
    </row>
    <row r="96" spans="2:17" s="15" customFormat="1" ht="12.75" hidden="1" x14ac:dyDescent="0.2">
      <c r="B96" s="220"/>
      <c r="D96" s="3"/>
      <c r="E96" s="186">
        <v>42522</v>
      </c>
      <c r="F96" s="186" t="s">
        <v>377</v>
      </c>
      <c r="G96" s="187" t="s">
        <v>90</v>
      </c>
      <c r="H96" s="482">
        <f t="shared" si="45"/>
        <v>9.1666666666666665E-4</v>
      </c>
      <c r="I96" s="188" t="e">
        <f>(SUM('1.  LRAMVA Summary'!C$22:C$36)+SUM('1.  LRAMVA Summary'!#REF!)*(MONTH($E96)-1)/12)*$H96</f>
        <v>#REF!</v>
      </c>
      <c r="J96" s="188" t="e">
        <f>(SUM('1.  LRAMVA Summary'!D$22:D$36)+SUM('1.  LRAMVA Summary'!#REF!)*(MONTH($E96)-1)/12)*$H96</f>
        <v>#REF!</v>
      </c>
      <c r="K96" s="188" t="e">
        <f>(SUM('1.  LRAMVA Summary'!E$22:E$36)+SUM('1.  LRAMVA Summary'!#REF!)*(MONTH($E96)-1)/12)*$H96</f>
        <v>#REF!</v>
      </c>
      <c r="L96" s="188" t="e">
        <f>(SUM('1.  LRAMVA Summary'!F$22:F$36)+SUM('1.  LRAMVA Summary'!#REF!)*(MONTH($E96)-1)/12)*$H96</f>
        <v>#REF!</v>
      </c>
      <c r="M96" s="188" t="e">
        <f>(SUM('1.  LRAMVA Summary'!G$22:G$36)+SUM('1.  LRAMVA Summary'!#REF!)*(MONTH($E96)-1)/12)*$H96</f>
        <v>#REF!</v>
      </c>
      <c r="N96" s="188" t="e">
        <f>(SUM('1.  LRAMVA Summary'!H$22:H$36)+SUM('1.  LRAMVA Summary'!#REF!)*(MONTH($E96)-1)/12)*$H96</f>
        <v>#REF!</v>
      </c>
      <c r="O96" s="188" t="e">
        <f>(SUM('1.  LRAMVA Summary'!I$22:I$36)+SUM('1.  LRAMVA Summary'!#REF!)*(MONTH($E96)-1)/12)*$H96</f>
        <v>#REF!</v>
      </c>
      <c r="P96" s="188"/>
      <c r="Q96" s="189" t="e">
        <f t="shared" si="44"/>
        <v>#REF!</v>
      </c>
    </row>
    <row r="97" spans="2:17" s="3" customFormat="1" ht="12.75" hidden="1" x14ac:dyDescent="0.2">
      <c r="B97" s="56"/>
      <c r="E97" s="186">
        <v>42552</v>
      </c>
      <c r="F97" s="186" t="s">
        <v>377</v>
      </c>
      <c r="G97" s="187" t="s">
        <v>92</v>
      </c>
      <c r="H97" s="482">
        <f>$C$38/12</f>
        <v>9.1666666666666665E-4</v>
      </c>
      <c r="I97" s="188" t="e">
        <f>(SUM('1.  LRAMVA Summary'!C$22:C$36)+SUM('1.  LRAMVA Summary'!#REF!)*(MONTH($E97)-1)/12)*$H97</f>
        <v>#REF!</v>
      </c>
      <c r="J97" s="188" t="e">
        <f>(SUM('1.  LRAMVA Summary'!D$22:D$36)+SUM('1.  LRAMVA Summary'!#REF!)*(MONTH($E97)-1)/12)*$H97</f>
        <v>#REF!</v>
      </c>
      <c r="K97" s="188" t="e">
        <f>(SUM('1.  LRAMVA Summary'!E$22:E$36)+SUM('1.  LRAMVA Summary'!#REF!)*(MONTH($E97)-1)/12)*$H97</f>
        <v>#REF!</v>
      </c>
      <c r="L97" s="188" t="e">
        <f>(SUM('1.  LRAMVA Summary'!F$22:F$36)+SUM('1.  LRAMVA Summary'!#REF!)*(MONTH($E97)-1)/12)*$H97</f>
        <v>#REF!</v>
      </c>
      <c r="M97" s="188" t="e">
        <f>(SUM('1.  LRAMVA Summary'!G$22:G$36)+SUM('1.  LRAMVA Summary'!#REF!)*(MONTH($E97)-1)/12)*$H97</f>
        <v>#REF!</v>
      </c>
      <c r="N97" s="188" t="e">
        <f>(SUM('1.  LRAMVA Summary'!H$22:H$36)+SUM('1.  LRAMVA Summary'!#REF!)*(MONTH($E97)-1)/12)*$H97</f>
        <v>#REF!</v>
      </c>
      <c r="O97" s="188" t="e">
        <f>(SUM('1.  LRAMVA Summary'!I$22:I$36)+SUM('1.  LRAMVA Summary'!#REF!)*(MONTH($E97)-1)/12)*$H97</f>
        <v>#REF!</v>
      </c>
      <c r="P97" s="188"/>
      <c r="Q97" s="189" t="e">
        <f t="shared" si="44"/>
        <v>#REF!</v>
      </c>
    </row>
    <row r="98" spans="2:17" s="3" customFormat="1" ht="12.75" hidden="1" x14ac:dyDescent="0.2">
      <c r="B98" s="56"/>
      <c r="E98" s="186">
        <v>42583</v>
      </c>
      <c r="F98" s="186" t="s">
        <v>377</v>
      </c>
      <c r="G98" s="187" t="s">
        <v>92</v>
      </c>
      <c r="H98" s="482">
        <f t="shared" ref="H98:H99" si="46">$C$38/12</f>
        <v>9.1666666666666665E-4</v>
      </c>
      <c r="I98" s="188" t="e">
        <f>(SUM('1.  LRAMVA Summary'!C$22:C$36)+SUM('1.  LRAMVA Summary'!#REF!)*(MONTH($E98)-1)/12)*$H98</f>
        <v>#REF!</v>
      </c>
      <c r="J98" s="188" t="e">
        <f>(SUM('1.  LRAMVA Summary'!D$22:D$36)+SUM('1.  LRAMVA Summary'!#REF!)*(MONTH($E98)-1)/12)*$H98</f>
        <v>#REF!</v>
      </c>
      <c r="K98" s="188" t="e">
        <f>(SUM('1.  LRAMVA Summary'!E$22:E$36)+SUM('1.  LRAMVA Summary'!#REF!)*(MONTH($E98)-1)/12)*$H98</f>
        <v>#REF!</v>
      </c>
      <c r="L98" s="188" t="e">
        <f>(SUM('1.  LRAMVA Summary'!F$22:F$36)+SUM('1.  LRAMVA Summary'!#REF!)*(MONTH($E98)-1)/12)*$H98</f>
        <v>#REF!</v>
      </c>
      <c r="M98" s="188" t="e">
        <f>(SUM('1.  LRAMVA Summary'!G$22:G$36)+SUM('1.  LRAMVA Summary'!#REF!)*(MONTH($E98)-1)/12)*$H98</f>
        <v>#REF!</v>
      </c>
      <c r="N98" s="188" t="e">
        <f>(SUM('1.  LRAMVA Summary'!H$22:H$36)+SUM('1.  LRAMVA Summary'!#REF!)*(MONTH($E98)-1)/12)*$H98</f>
        <v>#REF!</v>
      </c>
      <c r="O98" s="188" t="e">
        <f>(SUM('1.  LRAMVA Summary'!I$22:I$36)+SUM('1.  LRAMVA Summary'!#REF!)*(MONTH($E98)-1)/12)*$H98</f>
        <v>#REF!</v>
      </c>
      <c r="P98" s="188"/>
      <c r="Q98" s="189" t="e">
        <f t="shared" si="44"/>
        <v>#REF!</v>
      </c>
    </row>
    <row r="99" spans="2:17" s="3" customFormat="1" ht="12.75" hidden="1" x14ac:dyDescent="0.2">
      <c r="B99" s="56"/>
      <c r="E99" s="186">
        <v>42614</v>
      </c>
      <c r="F99" s="186" t="s">
        <v>377</v>
      </c>
      <c r="G99" s="187" t="s">
        <v>92</v>
      </c>
      <c r="H99" s="482">
        <f t="shared" si="46"/>
        <v>9.1666666666666665E-4</v>
      </c>
      <c r="I99" s="188" t="e">
        <f>(SUM('1.  LRAMVA Summary'!C$22:C$36)+SUM('1.  LRAMVA Summary'!#REF!)*(MONTH($E99)-1)/12)*$H99</f>
        <v>#REF!</v>
      </c>
      <c r="J99" s="188" t="e">
        <f>(SUM('1.  LRAMVA Summary'!D$22:D$36)+SUM('1.  LRAMVA Summary'!#REF!)*(MONTH($E99)-1)/12)*$H99</f>
        <v>#REF!</v>
      </c>
      <c r="K99" s="188" t="e">
        <f>(SUM('1.  LRAMVA Summary'!E$22:E$36)+SUM('1.  LRAMVA Summary'!#REF!)*(MONTH($E99)-1)/12)*$H99</f>
        <v>#REF!</v>
      </c>
      <c r="L99" s="188" t="e">
        <f>(SUM('1.  LRAMVA Summary'!F$22:F$36)+SUM('1.  LRAMVA Summary'!#REF!)*(MONTH($E99)-1)/12)*$H99</f>
        <v>#REF!</v>
      </c>
      <c r="M99" s="188" t="e">
        <f>(SUM('1.  LRAMVA Summary'!G$22:G$36)+SUM('1.  LRAMVA Summary'!#REF!)*(MONTH($E99)-1)/12)*$H99</f>
        <v>#REF!</v>
      </c>
      <c r="N99" s="188" t="e">
        <f>(SUM('1.  LRAMVA Summary'!H$22:H$36)+SUM('1.  LRAMVA Summary'!#REF!)*(MONTH($E99)-1)/12)*$H99</f>
        <v>#REF!</v>
      </c>
      <c r="O99" s="188" t="e">
        <f>(SUM('1.  LRAMVA Summary'!I$22:I$36)+SUM('1.  LRAMVA Summary'!#REF!)*(MONTH($E99)-1)/12)*$H99</f>
        <v>#REF!</v>
      </c>
      <c r="P99" s="188"/>
      <c r="Q99" s="189" t="e">
        <f t="shared" si="44"/>
        <v>#REF!</v>
      </c>
    </row>
    <row r="100" spans="2:17" s="3" customFormat="1" ht="12.75" hidden="1" x14ac:dyDescent="0.2">
      <c r="B100" s="56"/>
      <c r="E100" s="186">
        <v>42644</v>
      </c>
      <c r="F100" s="186" t="s">
        <v>377</v>
      </c>
      <c r="G100" s="187" t="s">
        <v>93</v>
      </c>
      <c r="H100" s="478">
        <f>$C$39/12</f>
        <v>9.1666666666666665E-4</v>
      </c>
      <c r="I100" s="188" t="e">
        <f>(SUM('1.  LRAMVA Summary'!C$22:C$36)+SUM('1.  LRAMVA Summary'!#REF!)*(MONTH($E100)-1)/12)*$H100</f>
        <v>#REF!</v>
      </c>
      <c r="J100" s="188" t="e">
        <f>(SUM('1.  LRAMVA Summary'!D$22:D$36)+SUM('1.  LRAMVA Summary'!#REF!)*(MONTH($E100)-1)/12)*$H100</f>
        <v>#REF!</v>
      </c>
      <c r="K100" s="188" t="e">
        <f>(SUM('1.  LRAMVA Summary'!E$22:E$36)+SUM('1.  LRAMVA Summary'!#REF!)*(MONTH($E100)-1)/12)*$H100</f>
        <v>#REF!</v>
      </c>
      <c r="L100" s="188" t="e">
        <f>(SUM('1.  LRAMVA Summary'!F$22:F$36)+SUM('1.  LRAMVA Summary'!#REF!)*(MONTH($E100)-1)/12)*$H100</f>
        <v>#REF!</v>
      </c>
      <c r="M100" s="188" t="e">
        <f>(SUM('1.  LRAMVA Summary'!G$22:G$36)+SUM('1.  LRAMVA Summary'!#REF!)*(MONTH($E100)-1)/12)*$H100</f>
        <v>#REF!</v>
      </c>
      <c r="N100" s="188" t="e">
        <f>(SUM('1.  LRAMVA Summary'!H$22:H$36)+SUM('1.  LRAMVA Summary'!#REF!)*(MONTH($E100)-1)/12)*$H100</f>
        <v>#REF!</v>
      </c>
      <c r="O100" s="188" t="e">
        <f>(SUM('1.  LRAMVA Summary'!I$22:I$36)+SUM('1.  LRAMVA Summary'!#REF!)*(MONTH($E100)-1)/12)*$H100</f>
        <v>#REF!</v>
      </c>
      <c r="P100" s="188"/>
      <c r="Q100" s="189" t="e">
        <f t="shared" si="44"/>
        <v>#REF!</v>
      </c>
    </row>
    <row r="101" spans="2:17" s="3" customFormat="1" ht="12.75" hidden="1" x14ac:dyDescent="0.2">
      <c r="B101" s="56"/>
      <c r="E101" s="186">
        <v>42675</v>
      </c>
      <c r="F101" s="186" t="s">
        <v>377</v>
      </c>
      <c r="G101" s="187" t="s">
        <v>93</v>
      </c>
      <c r="H101" s="478">
        <f t="shared" ref="H101:H102" si="47">$C$39/12</f>
        <v>9.1666666666666665E-4</v>
      </c>
      <c r="I101" s="188" t="e">
        <f>(SUM('1.  LRAMVA Summary'!C$22:C$36)+SUM('1.  LRAMVA Summary'!#REF!)*(MONTH($E101)-1)/12)*$H101</f>
        <v>#REF!</v>
      </c>
      <c r="J101" s="188" t="e">
        <f>(SUM('1.  LRAMVA Summary'!D$22:D$36)+SUM('1.  LRAMVA Summary'!#REF!)*(MONTH($E101)-1)/12)*$H101</f>
        <v>#REF!</v>
      </c>
      <c r="K101" s="188" t="e">
        <f>(SUM('1.  LRAMVA Summary'!E$22:E$36)+SUM('1.  LRAMVA Summary'!#REF!)*(MONTH($E101)-1)/12)*$H101</f>
        <v>#REF!</v>
      </c>
      <c r="L101" s="188" t="e">
        <f>(SUM('1.  LRAMVA Summary'!F$22:F$36)+SUM('1.  LRAMVA Summary'!#REF!)*(MONTH($E101)-1)/12)*$H101</f>
        <v>#REF!</v>
      </c>
      <c r="M101" s="188" t="e">
        <f>(SUM('1.  LRAMVA Summary'!G$22:G$36)+SUM('1.  LRAMVA Summary'!#REF!)*(MONTH($E101)-1)/12)*$H101</f>
        <v>#REF!</v>
      </c>
      <c r="N101" s="188" t="e">
        <f>(SUM('1.  LRAMVA Summary'!H$22:H$36)+SUM('1.  LRAMVA Summary'!#REF!)*(MONTH($E101)-1)/12)*$H101</f>
        <v>#REF!</v>
      </c>
      <c r="O101" s="188" t="e">
        <f>(SUM('1.  LRAMVA Summary'!I$22:I$36)+SUM('1.  LRAMVA Summary'!#REF!)*(MONTH($E101)-1)/12)*$H101</f>
        <v>#REF!</v>
      </c>
      <c r="P101" s="188"/>
      <c r="Q101" s="189" t="e">
        <f t="shared" si="44"/>
        <v>#REF!</v>
      </c>
    </row>
    <row r="102" spans="2:17" s="3" customFormat="1" ht="12.75" hidden="1" x14ac:dyDescent="0.2">
      <c r="B102" s="56"/>
      <c r="E102" s="186">
        <v>42705</v>
      </c>
      <c r="F102" s="186" t="s">
        <v>377</v>
      </c>
      <c r="G102" s="187" t="s">
        <v>93</v>
      </c>
      <c r="H102" s="478">
        <f t="shared" si="47"/>
        <v>9.1666666666666665E-4</v>
      </c>
      <c r="I102" s="188" t="e">
        <f>(SUM('1.  LRAMVA Summary'!C$22:C$36)+SUM('1.  LRAMVA Summary'!#REF!)*(MONTH($E102)-1)/12)*$H102</f>
        <v>#REF!</v>
      </c>
      <c r="J102" s="188" t="e">
        <f>(SUM('1.  LRAMVA Summary'!D$22:D$36)+SUM('1.  LRAMVA Summary'!#REF!)*(MONTH($E102)-1)/12)*$H102</f>
        <v>#REF!</v>
      </c>
      <c r="K102" s="188" t="e">
        <f>(SUM('1.  LRAMVA Summary'!E$22:E$36)+SUM('1.  LRAMVA Summary'!#REF!)*(MONTH($E102)-1)/12)*$H102</f>
        <v>#REF!</v>
      </c>
      <c r="L102" s="188" t="e">
        <f>(SUM('1.  LRAMVA Summary'!F$22:F$36)+SUM('1.  LRAMVA Summary'!#REF!)*(MONTH($E102)-1)/12)*$H102</f>
        <v>#REF!</v>
      </c>
      <c r="M102" s="188" t="e">
        <f>(SUM('1.  LRAMVA Summary'!G$22:G$36)+SUM('1.  LRAMVA Summary'!#REF!)*(MONTH($E102)-1)/12)*$H102</f>
        <v>#REF!</v>
      </c>
      <c r="N102" s="188" t="e">
        <f>(SUM('1.  LRAMVA Summary'!H$22:H$36)+SUM('1.  LRAMVA Summary'!#REF!)*(MONTH($E102)-1)/12)*$H102</f>
        <v>#REF!</v>
      </c>
      <c r="O102" s="188" t="e">
        <f>(SUM('1.  LRAMVA Summary'!I$22:I$36)+SUM('1.  LRAMVA Summary'!#REF!)*(MONTH($E102)-1)/12)*$H102</f>
        <v>#REF!</v>
      </c>
      <c r="P102" s="188"/>
      <c r="Q102" s="189" t="e">
        <f t="shared" si="44"/>
        <v>#REF!</v>
      </c>
    </row>
    <row r="103" spans="2:17" s="3" customFormat="1" ht="13.5" hidden="1" thickBot="1" x14ac:dyDescent="0.25">
      <c r="B103" s="56"/>
      <c r="E103" s="198" t="s">
        <v>399</v>
      </c>
      <c r="F103" s="198"/>
      <c r="G103" s="199"/>
      <c r="H103" s="479"/>
      <c r="I103" s="200" t="e">
        <f>SUM(I90:I102)</f>
        <v>#REF!</v>
      </c>
      <c r="J103" s="200" t="e">
        <f>SUM(J90:J102)</f>
        <v>#REF!</v>
      </c>
      <c r="K103" s="200" t="e">
        <f t="shared" ref="K103:P103" si="48">SUM(K90:K102)</f>
        <v>#REF!</v>
      </c>
      <c r="L103" s="200" t="e">
        <f t="shared" si="48"/>
        <v>#REF!</v>
      </c>
      <c r="M103" s="200" t="e">
        <f t="shared" si="48"/>
        <v>#REF!</v>
      </c>
      <c r="N103" s="200" t="e">
        <f t="shared" si="48"/>
        <v>#REF!</v>
      </c>
      <c r="O103" s="200" t="e">
        <f t="shared" si="48"/>
        <v>#REF!</v>
      </c>
      <c r="P103" s="200">
        <f t="shared" si="48"/>
        <v>0</v>
      </c>
      <c r="Q103" s="200" t="e">
        <f>SUM(Q90:Q102)</f>
        <v>#REF!</v>
      </c>
    </row>
    <row r="104" spans="2:17" s="3" customFormat="1" ht="13.5" hidden="1" thickTop="1" x14ac:dyDescent="0.2">
      <c r="B104" s="56"/>
      <c r="E104" s="229" t="s">
        <v>91</v>
      </c>
      <c r="F104" s="229"/>
      <c r="G104" s="230"/>
      <c r="H104" s="480"/>
      <c r="I104" s="231"/>
      <c r="J104" s="231"/>
      <c r="K104" s="231"/>
      <c r="L104" s="231"/>
      <c r="M104" s="231"/>
      <c r="N104" s="231"/>
      <c r="O104" s="231"/>
      <c r="P104" s="231"/>
      <c r="Q104" s="232"/>
    </row>
    <row r="105" spans="2:17" s="3" customFormat="1" ht="12.75" hidden="1" x14ac:dyDescent="0.2">
      <c r="B105" s="56"/>
      <c r="E105" s="195" t="s">
        <v>394</v>
      </c>
      <c r="F105" s="195"/>
      <c r="G105" s="196"/>
      <c r="H105" s="481"/>
      <c r="I105" s="197" t="e">
        <f>I103+I104</f>
        <v>#REF!</v>
      </c>
      <c r="J105" s="197" t="e">
        <f t="shared" ref="J105" si="49">J103+J104</f>
        <v>#REF!</v>
      </c>
      <c r="K105" s="197" t="e">
        <f t="shared" ref="K105" si="50">K103+K104</f>
        <v>#REF!</v>
      </c>
      <c r="L105" s="197" t="e">
        <f t="shared" ref="L105" si="51">L103+L104</f>
        <v>#REF!</v>
      </c>
      <c r="M105" s="197" t="e">
        <f t="shared" ref="M105" si="52">M103+M104</f>
        <v>#REF!</v>
      </c>
      <c r="N105" s="197" t="e">
        <f t="shared" ref="N105" si="53">N103+N104</f>
        <v>#REF!</v>
      </c>
      <c r="O105" s="197" t="e">
        <f t="shared" ref="O105" si="54">O103+O104</f>
        <v>#REF!</v>
      </c>
      <c r="P105" s="197">
        <f t="shared" ref="P105" si="55">P103+P104</f>
        <v>0</v>
      </c>
      <c r="Q105" s="197" t="e">
        <f t="shared" ref="Q105" si="56">Q103+Q104</f>
        <v>#REF!</v>
      </c>
    </row>
    <row r="106" spans="2:17" s="3" customFormat="1" ht="12.75" hidden="1" x14ac:dyDescent="0.2">
      <c r="B106" s="56"/>
      <c r="E106" s="186">
        <v>42736</v>
      </c>
      <c r="F106" s="186" t="s">
        <v>378</v>
      </c>
      <c r="G106" s="187" t="s">
        <v>89</v>
      </c>
      <c r="H106" s="485">
        <f>$C$40/12</f>
        <v>0</v>
      </c>
      <c r="I106" s="188" t="e">
        <f>(SUM('1.  LRAMVA Summary'!C$22:C$36)+SUM('1.  LRAMVA Summary'!#REF!)*(MONTH($E106)-1)/12)*$H106</f>
        <v>#REF!</v>
      </c>
      <c r="J106" s="188" t="e">
        <f>(SUM('1.  LRAMVA Summary'!D$22:D$36)+SUM('1.  LRAMVA Summary'!#REF!)*(MONTH($E106)-1)/12)*$H106</f>
        <v>#REF!</v>
      </c>
      <c r="K106" s="188" t="e">
        <f>(SUM('1.  LRAMVA Summary'!E$22:E$36)+SUM('1.  LRAMVA Summary'!#REF!)*(MONTH($E106)-1)/12)*$H106</f>
        <v>#REF!</v>
      </c>
      <c r="L106" s="188" t="e">
        <f>(SUM('1.  LRAMVA Summary'!F$22:F$36)+SUM('1.  LRAMVA Summary'!#REF!)*(MONTH($E106)-1)/12)*$H106</f>
        <v>#REF!</v>
      </c>
      <c r="M106" s="188" t="e">
        <f>(SUM('1.  LRAMVA Summary'!G$22:G$36)+SUM('1.  LRAMVA Summary'!#REF!)*(MONTH($E106)-1)/12)*$H106</f>
        <v>#REF!</v>
      </c>
      <c r="N106" s="188" t="e">
        <f>(SUM('1.  LRAMVA Summary'!H$22:H$36)+SUM('1.  LRAMVA Summary'!#REF!)*(MONTH($E106)-1)/12)*$H106</f>
        <v>#REF!</v>
      </c>
      <c r="O106" s="188" t="e">
        <f>(SUM('1.  LRAMVA Summary'!I$22:I$36)+SUM('1.  LRAMVA Summary'!#REF!)*(MONTH($E106)-1)/12)*$H106</f>
        <v>#REF!</v>
      </c>
      <c r="P106" s="188"/>
      <c r="Q106" s="189" t="e">
        <f>SUM(I106:P106)</f>
        <v>#REF!</v>
      </c>
    </row>
    <row r="107" spans="2:17" s="3" customFormat="1" ht="12.75" hidden="1" x14ac:dyDescent="0.2">
      <c r="B107" s="56"/>
      <c r="E107" s="186">
        <v>42767</v>
      </c>
      <c r="F107" s="186" t="s">
        <v>378</v>
      </c>
      <c r="G107" s="187" t="s">
        <v>89</v>
      </c>
      <c r="H107" s="485">
        <f t="shared" ref="H107:H108" si="57">$C$40/12</f>
        <v>0</v>
      </c>
      <c r="I107" s="188" t="e">
        <f>(SUM('1.  LRAMVA Summary'!C$22:C$36)+SUM('1.  LRAMVA Summary'!#REF!)*(MONTH($E107)-1)/12)*$H107</f>
        <v>#REF!</v>
      </c>
      <c r="J107" s="188" t="e">
        <f>(SUM('1.  LRAMVA Summary'!D$22:D$36)+SUM('1.  LRAMVA Summary'!#REF!)*(MONTH($E107)-1)/12)*$H107</f>
        <v>#REF!</v>
      </c>
      <c r="K107" s="188" t="e">
        <f>(SUM('1.  LRAMVA Summary'!E$22:E$36)+SUM('1.  LRAMVA Summary'!#REF!)*(MONTH($E107)-1)/12)*$H107</f>
        <v>#REF!</v>
      </c>
      <c r="L107" s="188" t="e">
        <f>(SUM('1.  LRAMVA Summary'!F$22:F$36)+SUM('1.  LRAMVA Summary'!#REF!)*(MONTH($E107)-1)/12)*$H107</f>
        <v>#REF!</v>
      </c>
      <c r="M107" s="188" t="e">
        <f>(SUM('1.  LRAMVA Summary'!G$22:G$36)+SUM('1.  LRAMVA Summary'!#REF!)*(MONTH($E107)-1)/12)*$H107</f>
        <v>#REF!</v>
      </c>
      <c r="N107" s="188" t="e">
        <f>(SUM('1.  LRAMVA Summary'!H$22:H$36)+SUM('1.  LRAMVA Summary'!#REF!)*(MONTH($E107)-1)/12)*$H107</f>
        <v>#REF!</v>
      </c>
      <c r="O107" s="188" t="e">
        <f>(SUM('1.  LRAMVA Summary'!I$22:I$36)+SUM('1.  LRAMVA Summary'!#REF!)*(MONTH($E107)-1)/12)*$H107</f>
        <v>#REF!</v>
      </c>
      <c r="P107" s="188"/>
      <c r="Q107" s="189" t="e">
        <f t="shared" ref="Q107:Q117" si="58">SUM(I107:P107)</f>
        <v>#REF!</v>
      </c>
    </row>
    <row r="108" spans="2:17" s="3" customFormat="1" ht="12.75" hidden="1" x14ac:dyDescent="0.2">
      <c r="B108" s="56"/>
      <c r="E108" s="186">
        <v>42795</v>
      </c>
      <c r="F108" s="186" t="s">
        <v>378</v>
      </c>
      <c r="G108" s="187" t="s">
        <v>89</v>
      </c>
      <c r="H108" s="485">
        <f t="shared" si="57"/>
        <v>0</v>
      </c>
      <c r="I108" s="188" t="e">
        <f>(SUM('1.  LRAMVA Summary'!C$22:C$36)+SUM('1.  LRAMVA Summary'!#REF!)*(MONTH($E108)-1)/12)*$H108</f>
        <v>#REF!</v>
      </c>
      <c r="J108" s="188" t="e">
        <f>(SUM('1.  LRAMVA Summary'!D$22:D$36)+SUM('1.  LRAMVA Summary'!#REF!)*(MONTH($E108)-1)/12)*$H108</f>
        <v>#REF!</v>
      </c>
      <c r="K108" s="188" t="e">
        <f>(SUM('1.  LRAMVA Summary'!E$22:E$36)+SUM('1.  LRAMVA Summary'!#REF!)*(MONTH($E108)-1)/12)*$H108</f>
        <v>#REF!</v>
      </c>
      <c r="L108" s="188" t="e">
        <f>(SUM('1.  LRAMVA Summary'!F$22:F$36)+SUM('1.  LRAMVA Summary'!#REF!)*(MONTH($E108)-1)/12)*$H108</f>
        <v>#REF!</v>
      </c>
      <c r="M108" s="188" t="e">
        <f>(SUM('1.  LRAMVA Summary'!G$22:G$36)+SUM('1.  LRAMVA Summary'!#REF!)*(MONTH($E108)-1)/12)*$H108</f>
        <v>#REF!</v>
      </c>
      <c r="N108" s="188" t="e">
        <f>(SUM('1.  LRAMVA Summary'!H$22:H$36)+SUM('1.  LRAMVA Summary'!#REF!)*(MONTH($E108)-1)/12)*$H108</f>
        <v>#REF!</v>
      </c>
      <c r="O108" s="188" t="e">
        <f>(SUM('1.  LRAMVA Summary'!I$22:I$36)+SUM('1.  LRAMVA Summary'!#REF!)*(MONTH($E108)-1)/12)*$H108</f>
        <v>#REF!</v>
      </c>
      <c r="P108" s="188"/>
      <c r="Q108" s="189" t="e">
        <f t="shared" si="58"/>
        <v>#REF!</v>
      </c>
    </row>
    <row r="109" spans="2:17" s="16" customFormat="1" ht="12.75" hidden="1" x14ac:dyDescent="0.2">
      <c r="B109" s="221"/>
      <c r="E109" s="186">
        <v>42826</v>
      </c>
      <c r="F109" s="186" t="s">
        <v>378</v>
      </c>
      <c r="G109" s="187" t="s">
        <v>90</v>
      </c>
      <c r="H109" s="485">
        <f>$C$41/12</f>
        <v>0</v>
      </c>
      <c r="I109" s="188" t="e">
        <f>(SUM('1.  LRAMVA Summary'!C$22:C$36)+SUM('1.  LRAMVA Summary'!#REF!)*(MONTH($E109)-1)/12)*$H109</f>
        <v>#REF!</v>
      </c>
      <c r="J109" s="188" t="e">
        <f>(SUM('1.  LRAMVA Summary'!D$22:D$36)+SUM('1.  LRAMVA Summary'!#REF!)*(MONTH($E109)-1)/12)*$H109</f>
        <v>#REF!</v>
      </c>
      <c r="K109" s="188" t="e">
        <f>(SUM('1.  LRAMVA Summary'!E$22:E$36)+SUM('1.  LRAMVA Summary'!#REF!)*(MONTH($E109)-1)/12)*$H109</f>
        <v>#REF!</v>
      </c>
      <c r="L109" s="188" t="e">
        <f>(SUM('1.  LRAMVA Summary'!F$22:F$36)+SUM('1.  LRAMVA Summary'!#REF!)*(MONTH($E109)-1)/12)*$H109</f>
        <v>#REF!</v>
      </c>
      <c r="M109" s="188" t="e">
        <f>(SUM('1.  LRAMVA Summary'!G$22:G$36)+SUM('1.  LRAMVA Summary'!#REF!)*(MONTH($E109)-1)/12)*$H109</f>
        <v>#REF!</v>
      </c>
      <c r="N109" s="188" t="e">
        <f>(SUM('1.  LRAMVA Summary'!H$22:H$36)+SUM('1.  LRAMVA Summary'!#REF!)*(MONTH($E109)-1)/12)*$H109</f>
        <v>#REF!</v>
      </c>
      <c r="O109" s="188" t="e">
        <f>(SUM('1.  LRAMVA Summary'!I$22:I$36)+SUM('1.  LRAMVA Summary'!#REF!)*(MONTH($E109)-1)/12)*$H109</f>
        <v>#REF!</v>
      </c>
      <c r="P109" s="188"/>
      <c r="Q109" s="189" t="e">
        <f t="shared" si="58"/>
        <v>#REF!</v>
      </c>
    </row>
    <row r="110" spans="2:17" s="3" customFormat="1" ht="12.75" hidden="1" x14ac:dyDescent="0.2">
      <c r="B110" s="56"/>
      <c r="E110" s="186">
        <v>42856</v>
      </c>
      <c r="F110" s="186" t="s">
        <v>378</v>
      </c>
      <c r="G110" s="187" t="s">
        <v>90</v>
      </c>
      <c r="H110" s="485">
        <f t="shared" ref="H110:H111" si="59">$C$41/12</f>
        <v>0</v>
      </c>
      <c r="I110" s="188" t="e">
        <f>(SUM('1.  LRAMVA Summary'!C$22:C$36)+SUM('1.  LRAMVA Summary'!#REF!)*(MONTH($E110)-1)/12)*$H110</f>
        <v>#REF!</v>
      </c>
      <c r="J110" s="188" t="e">
        <f>(SUM('1.  LRAMVA Summary'!D$22:D$36)+SUM('1.  LRAMVA Summary'!#REF!)*(MONTH($E110)-1)/12)*$H110</f>
        <v>#REF!</v>
      </c>
      <c r="K110" s="188" t="e">
        <f>(SUM('1.  LRAMVA Summary'!E$22:E$36)+SUM('1.  LRAMVA Summary'!#REF!)*(MONTH($E110)-1)/12)*$H110</f>
        <v>#REF!</v>
      </c>
      <c r="L110" s="188" t="e">
        <f>(SUM('1.  LRAMVA Summary'!F$22:F$36)+SUM('1.  LRAMVA Summary'!#REF!)*(MONTH($E110)-1)/12)*$H110</f>
        <v>#REF!</v>
      </c>
      <c r="M110" s="188" t="e">
        <f>(SUM('1.  LRAMVA Summary'!G$22:G$36)+SUM('1.  LRAMVA Summary'!#REF!)*(MONTH($E110)-1)/12)*$H110</f>
        <v>#REF!</v>
      </c>
      <c r="N110" s="188" t="e">
        <f>(SUM('1.  LRAMVA Summary'!H$22:H$36)+SUM('1.  LRAMVA Summary'!#REF!)*(MONTH($E110)-1)/12)*$H110</f>
        <v>#REF!</v>
      </c>
      <c r="O110" s="188" t="e">
        <f>(SUM('1.  LRAMVA Summary'!I$22:I$36)+SUM('1.  LRAMVA Summary'!#REF!)*(MONTH($E110)-1)/12)*$H110</f>
        <v>#REF!</v>
      </c>
      <c r="P110" s="188"/>
      <c r="Q110" s="189" t="e">
        <f t="shared" si="58"/>
        <v>#REF!</v>
      </c>
    </row>
    <row r="111" spans="2:17" s="15" customFormat="1" ht="12.75" hidden="1" x14ac:dyDescent="0.2">
      <c r="B111" s="220"/>
      <c r="E111" s="186">
        <v>42887</v>
      </c>
      <c r="F111" s="186" t="s">
        <v>378</v>
      </c>
      <c r="G111" s="187" t="s">
        <v>90</v>
      </c>
      <c r="H111" s="485">
        <f t="shared" si="59"/>
        <v>0</v>
      </c>
      <c r="I111" s="188" t="e">
        <f>(SUM('1.  LRAMVA Summary'!C$22:C$36)+SUM('1.  LRAMVA Summary'!#REF!)*(MONTH($E111)-1)/12)*$H111</f>
        <v>#REF!</v>
      </c>
      <c r="J111" s="188" t="e">
        <f>(SUM('1.  LRAMVA Summary'!D$22:D$36)+SUM('1.  LRAMVA Summary'!#REF!)*(MONTH($E111)-1)/12)*$H111</f>
        <v>#REF!</v>
      </c>
      <c r="K111" s="188" t="e">
        <f>(SUM('1.  LRAMVA Summary'!E$22:E$36)+SUM('1.  LRAMVA Summary'!#REF!)*(MONTH($E111)-1)/12)*$H111</f>
        <v>#REF!</v>
      </c>
      <c r="L111" s="188" t="e">
        <f>(SUM('1.  LRAMVA Summary'!F$22:F$36)+SUM('1.  LRAMVA Summary'!#REF!)*(MONTH($E111)-1)/12)*$H111</f>
        <v>#REF!</v>
      </c>
      <c r="M111" s="188" t="e">
        <f>(SUM('1.  LRAMVA Summary'!G$22:G$36)+SUM('1.  LRAMVA Summary'!#REF!)*(MONTH($E111)-1)/12)*$H111</f>
        <v>#REF!</v>
      </c>
      <c r="N111" s="188" t="e">
        <f>(SUM('1.  LRAMVA Summary'!H$22:H$36)+SUM('1.  LRAMVA Summary'!#REF!)*(MONTH($E111)-1)/12)*$H111</f>
        <v>#REF!</v>
      </c>
      <c r="O111" s="188" t="e">
        <f>(SUM('1.  LRAMVA Summary'!I$22:I$36)+SUM('1.  LRAMVA Summary'!#REF!)*(MONTH($E111)-1)/12)*$H111</f>
        <v>#REF!</v>
      </c>
      <c r="P111" s="188"/>
      <c r="Q111" s="189" t="e">
        <f t="shared" si="58"/>
        <v>#REF!</v>
      </c>
    </row>
    <row r="112" spans="2:17" s="3" customFormat="1" ht="12.75" hidden="1" x14ac:dyDescent="0.2">
      <c r="B112" s="56"/>
      <c r="E112" s="186">
        <v>42917</v>
      </c>
      <c r="F112" s="186" t="s">
        <v>378</v>
      </c>
      <c r="G112" s="187" t="s">
        <v>92</v>
      </c>
      <c r="H112" s="485">
        <f>$C$42/12</f>
        <v>0</v>
      </c>
      <c r="I112" s="188" t="e">
        <f>(SUM('1.  LRAMVA Summary'!C$22:C$36)+SUM('1.  LRAMVA Summary'!#REF!)*(MONTH($E112)-1)/12)*$H112</f>
        <v>#REF!</v>
      </c>
      <c r="J112" s="188" t="e">
        <f>(SUM('1.  LRAMVA Summary'!D$22:D$36)+SUM('1.  LRAMVA Summary'!#REF!)*(MONTH($E112)-1)/12)*$H112</f>
        <v>#REF!</v>
      </c>
      <c r="K112" s="188" t="e">
        <f>(SUM('1.  LRAMVA Summary'!E$22:E$36)+SUM('1.  LRAMVA Summary'!#REF!)*(MONTH($E112)-1)/12)*$H112</f>
        <v>#REF!</v>
      </c>
      <c r="L112" s="188" t="e">
        <f>(SUM('1.  LRAMVA Summary'!F$22:F$36)+SUM('1.  LRAMVA Summary'!#REF!)*(MONTH($E112)-1)/12)*$H112</f>
        <v>#REF!</v>
      </c>
      <c r="M112" s="188" t="e">
        <f>(SUM('1.  LRAMVA Summary'!G$22:G$36)+SUM('1.  LRAMVA Summary'!#REF!)*(MONTH($E112)-1)/12)*$H112</f>
        <v>#REF!</v>
      </c>
      <c r="N112" s="188" t="e">
        <f>(SUM('1.  LRAMVA Summary'!H$22:H$36)+SUM('1.  LRAMVA Summary'!#REF!)*(MONTH($E112)-1)/12)*$H112</f>
        <v>#REF!</v>
      </c>
      <c r="O112" s="188" t="e">
        <f>(SUM('1.  LRAMVA Summary'!I$22:I$36)+SUM('1.  LRAMVA Summary'!#REF!)*(MONTH($E112)-1)/12)*$H112</f>
        <v>#REF!</v>
      </c>
      <c r="P112" s="188"/>
      <c r="Q112" s="189" t="e">
        <f t="shared" si="58"/>
        <v>#REF!</v>
      </c>
    </row>
    <row r="113" spans="2:17" s="3" customFormat="1" ht="12.75" hidden="1" x14ac:dyDescent="0.2">
      <c r="B113" s="56"/>
      <c r="E113" s="186">
        <v>42948</v>
      </c>
      <c r="F113" s="186" t="s">
        <v>378</v>
      </c>
      <c r="G113" s="187" t="s">
        <v>92</v>
      </c>
      <c r="H113" s="485">
        <f t="shared" ref="H113:H114" si="60">$C$42/12</f>
        <v>0</v>
      </c>
      <c r="I113" s="188" t="e">
        <f>(SUM('1.  LRAMVA Summary'!C$22:C$36)+SUM('1.  LRAMVA Summary'!#REF!)*(MONTH($E113)-1)/12)*$H113</f>
        <v>#REF!</v>
      </c>
      <c r="J113" s="188" t="e">
        <f>(SUM('1.  LRAMVA Summary'!D$22:D$36)+SUM('1.  LRAMVA Summary'!#REF!)*(MONTH($E113)-1)/12)*$H113</f>
        <v>#REF!</v>
      </c>
      <c r="K113" s="188" t="e">
        <f>(SUM('1.  LRAMVA Summary'!E$22:E$36)+SUM('1.  LRAMVA Summary'!#REF!)*(MONTH($E113)-1)/12)*$H113</f>
        <v>#REF!</v>
      </c>
      <c r="L113" s="188" t="e">
        <f>(SUM('1.  LRAMVA Summary'!F$22:F$36)+SUM('1.  LRAMVA Summary'!#REF!)*(MONTH($E113)-1)/12)*$H113</f>
        <v>#REF!</v>
      </c>
      <c r="M113" s="188" t="e">
        <f>(SUM('1.  LRAMVA Summary'!G$22:G$36)+SUM('1.  LRAMVA Summary'!#REF!)*(MONTH($E113)-1)/12)*$H113</f>
        <v>#REF!</v>
      </c>
      <c r="N113" s="188" t="e">
        <f>(SUM('1.  LRAMVA Summary'!H$22:H$36)+SUM('1.  LRAMVA Summary'!#REF!)*(MONTH($E113)-1)/12)*$H113</f>
        <v>#REF!</v>
      </c>
      <c r="O113" s="188" t="e">
        <f>(SUM('1.  LRAMVA Summary'!I$22:I$36)+SUM('1.  LRAMVA Summary'!#REF!)*(MONTH($E113)-1)/12)*$H113</f>
        <v>#REF!</v>
      </c>
      <c r="P113" s="188"/>
      <c r="Q113" s="189" t="e">
        <f t="shared" si="58"/>
        <v>#REF!</v>
      </c>
    </row>
    <row r="114" spans="2:17" s="3" customFormat="1" ht="12.75" hidden="1" x14ac:dyDescent="0.2">
      <c r="B114" s="56"/>
      <c r="E114" s="186">
        <v>42979</v>
      </c>
      <c r="F114" s="186" t="s">
        <v>378</v>
      </c>
      <c r="G114" s="187" t="s">
        <v>92</v>
      </c>
      <c r="H114" s="485">
        <f t="shared" si="60"/>
        <v>0</v>
      </c>
      <c r="I114" s="188" t="e">
        <f>(SUM('1.  LRAMVA Summary'!C$22:C$36)+SUM('1.  LRAMVA Summary'!#REF!)*(MONTH($E114)-1)/12)*$H114</f>
        <v>#REF!</v>
      </c>
      <c r="J114" s="188" t="e">
        <f>(SUM('1.  LRAMVA Summary'!D$22:D$36)+SUM('1.  LRAMVA Summary'!#REF!)*(MONTH($E114)-1)/12)*$H114</f>
        <v>#REF!</v>
      </c>
      <c r="K114" s="188" t="e">
        <f>(SUM('1.  LRAMVA Summary'!E$22:E$36)+SUM('1.  LRAMVA Summary'!#REF!)*(MONTH($E114)-1)/12)*$H114</f>
        <v>#REF!</v>
      </c>
      <c r="L114" s="188" t="e">
        <f>(SUM('1.  LRAMVA Summary'!F$22:F$36)+SUM('1.  LRAMVA Summary'!#REF!)*(MONTH($E114)-1)/12)*$H114</f>
        <v>#REF!</v>
      </c>
      <c r="M114" s="188" t="e">
        <f>(SUM('1.  LRAMVA Summary'!G$22:G$36)+SUM('1.  LRAMVA Summary'!#REF!)*(MONTH($E114)-1)/12)*$H114</f>
        <v>#REF!</v>
      </c>
      <c r="N114" s="188" t="e">
        <f>(SUM('1.  LRAMVA Summary'!H$22:H$36)+SUM('1.  LRAMVA Summary'!#REF!)*(MONTH($E114)-1)/12)*$H114</f>
        <v>#REF!</v>
      </c>
      <c r="O114" s="188" t="e">
        <f>(SUM('1.  LRAMVA Summary'!I$22:I$36)+SUM('1.  LRAMVA Summary'!#REF!)*(MONTH($E114)-1)/12)*$H114</f>
        <v>#REF!</v>
      </c>
      <c r="P114" s="188"/>
      <c r="Q114" s="189" t="e">
        <f t="shared" si="58"/>
        <v>#REF!</v>
      </c>
    </row>
    <row r="115" spans="2:17" s="3" customFormat="1" ht="12.75" hidden="1" x14ac:dyDescent="0.2">
      <c r="B115" s="56"/>
      <c r="E115" s="186">
        <v>43009</v>
      </c>
      <c r="F115" s="186" t="s">
        <v>378</v>
      </c>
      <c r="G115" s="187" t="s">
        <v>93</v>
      </c>
      <c r="H115" s="485">
        <f>$C$43/12</f>
        <v>0</v>
      </c>
      <c r="I115" s="188" t="e">
        <f>(SUM('1.  LRAMVA Summary'!C$22:C$36)+SUM('1.  LRAMVA Summary'!#REF!)*(MONTH($E115)-1)/12)*$H115</f>
        <v>#REF!</v>
      </c>
      <c r="J115" s="188" t="e">
        <f>(SUM('1.  LRAMVA Summary'!D$22:D$36)+SUM('1.  LRAMVA Summary'!#REF!)*(MONTH($E115)-1)/12)*$H115</f>
        <v>#REF!</v>
      </c>
      <c r="K115" s="188" t="e">
        <f>(SUM('1.  LRAMVA Summary'!E$22:E$36)+SUM('1.  LRAMVA Summary'!#REF!)*(MONTH($E115)-1)/12)*$H115</f>
        <v>#REF!</v>
      </c>
      <c r="L115" s="188" t="e">
        <f>(SUM('1.  LRAMVA Summary'!F$22:F$36)+SUM('1.  LRAMVA Summary'!#REF!)*(MONTH($E115)-1)/12)*$H115</f>
        <v>#REF!</v>
      </c>
      <c r="M115" s="188" t="e">
        <f>(SUM('1.  LRAMVA Summary'!G$22:G$36)+SUM('1.  LRAMVA Summary'!#REF!)*(MONTH($E115)-1)/12)*$H115</f>
        <v>#REF!</v>
      </c>
      <c r="N115" s="188" t="e">
        <f>(SUM('1.  LRAMVA Summary'!H$22:H$36)+SUM('1.  LRAMVA Summary'!#REF!)*(MONTH($E115)-1)/12)*$H115</f>
        <v>#REF!</v>
      </c>
      <c r="O115" s="188" t="e">
        <f>(SUM('1.  LRAMVA Summary'!I$22:I$36)+SUM('1.  LRAMVA Summary'!#REF!)*(MONTH($E115)-1)/12)*$H115</f>
        <v>#REF!</v>
      </c>
      <c r="P115" s="188"/>
      <c r="Q115" s="189" t="e">
        <f t="shared" si="58"/>
        <v>#REF!</v>
      </c>
    </row>
    <row r="116" spans="2:17" s="3" customFormat="1" ht="12.75" hidden="1" x14ac:dyDescent="0.2">
      <c r="B116" s="56"/>
      <c r="E116" s="186">
        <v>43040</v>
      </c>
      <c r="F116" s="186" t="s">
        <v>378</v>
      </c>
      <c r="G116" s="187" t="s">
        <v>93</v>
      </c>
      <c r="H116" s="485">
        <f t="shared" ref="H116:H117" si="61">$C$43/12</f>
        <v>0</v>
      </c>
      <c r="I116" s="188" t="e">
        <f>(SUM('1.  LRAMVA Summary'!C$22:C$36)+SUM('1.  LRAMVA Summary'!#REF!)*(MONTH($E116)-1)/12)*$H116</f>
        <v>#REF!</v>
      </c>
      <c r="J116" s="188" t="e">
        <f>(SUM('1.  LRAMVA Summary'!D$22:D$36)+SUM('1.  LRAMVA Summary'!#REF!)*(MONTH($E116)-1)/12)*$H116</f>
        <v>#REF!</v>
      </c>
      <c r="K116" s="188" t="e">
        <f>(SUM('1.  LRAMVA Summary'!E$22:E$36)+SUM('1.  LRAMVA Summary'!#REF!)*(MONTH($E116)-1)/12)*$H116</f>
        <v>#REF!</v>
      </c>
      <c r="L116" s="188" t="e">
        <f>(SUM('1.  LRAMVA Summary'!F$22:F$36)+SUM('1.  LRAMVA Summary'!#REF!)*(MONTH($E116)-1)/12)*$H116</f>
        <v>#REF!</v>
      </c>
      <c r="M116" s="188" t="e">
        <f>(SUM('1.  LRAMVA Summary'!G$22:G$36)+SUM('1.  LRAMVA Summary'!#REF!)*(MONTH($E116)-1)/12)*$H116</f>
        <v>#REF!</v>
      </c>
      <c r="N116" s="188" t="e">
        <f>(SUM('1.  LRAMVA Summary'!H$22:H$36)+SUM('1.  LRAMVA Summary'!#REF!)*(MONTH($E116)-1)/12)*$H116</f>
        <v>#REF!</v>
      </c>
      <c r="O116" s="188" t="e">
        <f>(SUM('1.  LRAMVA Summary'!I$22:I$36)+SUM('1.  LRAMVA Summary'!#REF!)*(MONTH($E116)-1)/12)*$H116</f>
        <v>#REF!</v>
      </c>
      <c r="P116" s="188"/>
      <c r="Q116" s="189" t="e">
        <f t="shared" si="58"/>
        <v>#REF!</v>
      </c>
    </row>
    <row r="117" spans="2:17" s="3" customFormat="1" ht="12.75" hidden="1" x14ac:dyDescent="0.2">
      <c r="B117" s="56"/>
      <c r="E117" s="186">
        <v>43070</v>
      </c>
      <c r="F117" s="186" t="s">
        <v>378</v>
      </c>
      <c r="G117" s="187" t="s">
        <v>93</v>
      </c>
      <c r="H117" s="485">
        <f t="shared" si="61"/>
        <v>0</v>
      </c>
      <c r="I117" s="188" t="e">
        <f>(SUM('1.  LRAMVA Summary'!C$22:C$36)+SUM('1.  LRAMVA Summary'!#REF!)*(MONTH($E117)-1)/12)*$H117</f>
        <v>#REF!</v>
      </c>
      <c r="J117" s="188" t="e">
        <f>(SUM('1.  LRAMVA Summary'!D$22:D$36)+SUM('1.  LRAMVA Summary'!#REF!)*(MONTH($E117)-1)/12)*$H117</f>
        <v>#REF!</v>
      </c>
      <c r="K117" s="188" t="e">
        <f>(SUM('1.  LRAMVA Summary'!E$22:E$36)+SUM('1.  LRAMVA Summary'!#REF!)*(MONTH($E117)-1)/12)*$H117</f>
        <v>#REF!</v>
      </c>
      <c r="L117" s="188" t="e">
        <f>(SUM('1.  LRAMVA Summary'!F$22:F$36)+SUM('1.  LRAMVA Summary'!#REF!)*(MONTH($E117)-1)/12)*$H117</f>
        <v>#REF!</v>
      </c>
      <c r="M117" s="188" t="e">
        <f>(SUM('1.  LRAMVA Summary'!G$22:G$36)+SUM('1.  LRAMVA Summary'!#REF!)*(MONTH($E117)-1)/12)*$H117</f>
        <v>#REF!</v>
      </c>
      <c r="N117" s="188" t="e">
        <f>(SUM('1.  LRAMVA Summary'!H$22:H$36)+SUM('1.  LRAMVA Summary'!#REF!)*(MONTH($E117)-1)/12)*$H117</f>
        <v>#REF!</v>
      </c>
      <c r="O117" s="188" t="e">
        <f>(SUM('1.  LRAMVA Summary'!I$22:I$36)+SUM('1.  LRAMVA Summary'!#REF!)*(MONTH($E117)-1)/12)*$H117</f>
        <v>#REF!</v>
      </c>
      <c r="P117" s="188"/>
      <c r="Q117" s="189" t="e">
        <f t="shared" si="58"/>
        <v>#REF!</v>
      </c>
    </row>
    <row r="118" spans="2:17" s="3" customFormat="1" ht="13.5" hidden="1" thickBot="1" x14ac:dyDescent="0.25">
      <c r="B118" s="56"/>
      <c r="E118" s="198" t="s">
        <v>385</v>
      </c>
      <c r="F118" s="198"/>
      <c r="G118" s="199"/>
      <c r="H118" s="479"/>
      <c r="I118" s="200" t="e">
        <f>SUM(I105:I117)</f>
        <v>#REF!</v>
      </c>
      <c r="J118" s="200" t="e">
        <f>SUM(J105:J117)</f>
        <v>#REF!</v>
      </c>
      <c r="K118" s="200" t="e">
        <f t="shared" ref="K118:P118" si="62">SUM(K105:K117)</f>
        <v>#REF!</v>
      </c>
      <c r="L118" s="200" t="e">
        <f t="shared" si="62"/>
        <v>#REF!</v>
      </c>
      <c r="M118" s="200" t="e">
        <f t="shared" si="62"/>
        <v>#REF!</v>
      </c>
      <c r="N118" s="200" t="e">
        <f t="shared" si="62"/>
        <v>#REF!</v>
      </c>
      <c r="O118" s="200" t="e">
        <f t="shared" si="62"/>
        <v>#REF!</v>
      </c>
      <c r="P118" s="200">
        <f t="shared" si="62"/>
        <v>0</v>
      </c>
      <c r="Q118" s="200" t="e">
        <f>SUM(Q105:Q117)</f>
        <v>#REF!</v>
      </c>
    </row>
    <row r="119" spans="2:17" s="3" customFormat="1" ht="13.5" hidden="1" thickTop="1" x14ac:dyDescent="0.2">
      <c r="B119" s="56"/>
      <c r="E119" s="229" t="s">
        <v>91</v>
      </c>
      <c r="F119" s="229"/>
      <c r="G119" s="230"/>
      <c r="H119" s="480"/>
      <c r="I119" s="231"/>
      <c r="J119" s="231"/>
      <c r="K119" s="231"/>
      <c r="L119" s="231"/>
      <c r="M119" s="231"/>
      <c r="N119" s="231"/>
      <c r="O119" s="231"/>
      <c r="P119" s="231"/>
      <c r="Q119" s="232"/>
    </row>
    <row r="120" spans="2:17" s="3" customFormat="1" ht="12.75" hidden="1" x14ac:dyDescent="0.2">
      <c r="B120" s="56"/>
      <c r="E120" s="195" t="s">
        <v>395</v>
      </c>
      <c r="F120" s="195"/>
      <c r="G120" s="196"/>
      <c r="H120" s="481"/>
      <c r="I120" s="197" t="e">
        <f>I118+I119</f>
        <v>#REF!</v>
      </c>
      <c r="J120" s="197" t="e">
        <f t="shared" ref="J120" si="63">J118+J119</f>
        <v>#REF!</v>
      </c>
      <c r="K120" s="197" t="e">
        <f t="shared" ref="K120" si="64">K118+K119</f>
        <v>#REF!</v>
      </c>
      <c r="L120" s="197" t="e">
        <f t="shared" ref="L120" si="65">L118+L119</f>
        <v>#REF!</v>
      </c>
      <c r="M120" s="197" t="e">
        <f t="shared" ref="M120" si="66">M118+M119</f>
        <v>#REF!</v>
      </c>
      <c r="N120" s="197" t="e">
        <f t="shared" ref="N120" si="67">N118+N119</f>
        <v>#REF!</v>
      </c>
      <c r="O120" s="197" t="e">
        <f t="shared" ref="O120" si="68">O118+O119</f>
        <v>#REF!</v>
      </c>
      <c r="P120" s="197">
        <f t="shared" ref="P120" si="69">P118+P119</f>
        <v>0</v>
      </c>
      <c r="Q120" s="197" t="e">
        <f t="shared" ref="Q120" si="70">Q118+Q119</f>
        <v>#REF!</v>
      </c>
    </row>
    <row r="121" spans="2:17" s="3" customFormat="1" ht="12.75" hidden="1" x14ac:dyDescent="0.2">
      <c r="B121" s="56"/>
      <c r="E121" s="186">
        <v>43101</v>
      </c>
      <c r="F121" s="186" t="s">
        <v>379</v>
      </c>
      <c r="G121" s="187" t="s">
        <v>89</v>
      </c>
      <c r="H121" s="485">
        <f>$C$44/12</f>
        <v>0</v>
      </c>
      <c r="I121" s="188" t="e">
        <f>(SUM('1.  LRAMVA Summary'!C$22:C$36)+SUM('1.  LRAMVA Summary'!#REF!)*(MONTH($E121)-1)/12)*$H121</f>
        <v>#REF!</v>
      </c>
      <c r="J121" s="188" t="e">
        <f>(SUM('1.  LRAMVA Summary'!D$22:D$36)+SUM('1.  LRAMVA Summary'!#REF!)*(MONTH($E121)-1)/12)*$H121</f>
        <v>#REF!</v>
      </c>
      <c r="K121" s="188" t="e">
        <f>(SUM('1.  LRAMVA Summary'!E$22:E$36)+SUM('1.  LRAMVA Summary'!#REF!)*(MONTH($E121)-1)/12)*$H121</f>
        <v>#REF!</v>
      </c>
      <c r="L121" s="188" t="e">
        <f>(SUM('1.  LRAMVA Summary'!F$22:F$36)+SUM('1.  LRAMVA Summary'!#REF!)*(MONTH($E121)-1)/12)*$H121</f>
        <v>#REF!</v>
      </c>
      <c r="M121" s="188" t="e">
        <f>(SUM('1.  LRAMVA Summary'!G$22:G$36)+SUM('1.  LRAMVA Summary'!#REF!)*(MONTH($E121)-1)/12)*$H121</f>
        <v>#REF!</v>
      </c>
      <c r="N121" s="188" t="e">
        <f>(SUM('1.  LRAMVA Summary'!H$22:H$36)+SUM('1.  LRAMVA Summary'!#REF!)*(MONTH($E121)-1)/12)*$H121</f>
        <v>#REF!</v>
      </c>
      <c r="O121" s="188" t="e">
        <f>(SUM('1.  LRAMVA Summary'!I$22:I$36)+SUM('1.  LRAMVA Summary'!#REF!)*(MONTH($E121)-1)/12)*$H121</f>
        <v>#REF!</v>
      </c>
      <c r="P121" s="188"/>
      <c r="Q121" s="189" t="e">
        <f>SUM(I121:P121)</f>
        <v>#REF!</v>
      </c>
    </row>
    <row r="122" spans="2:17" s="3" customFormat="1" ht="12.75" hidden="1" x14ac:dyDescent="0.2">
      <c r="B122" s="56"/>
      <c r="E122" s="186">
        <v>43132</v>
      </c>
      <c r="F122" s="186" t="s">
        <v>379</v>
      </c>
      <c r="G122" s="187" t="s">
        <v>89</v>
      </c>
      <c r="H122" s="485">
        <f t="shared" ref="H122:H123" si="71">$C$44/12</f>
        <v>0</v>
      </c>
      <c r="I122" s="188" t="e">
        <f>(SUM('1.  LRAMVA Summary'!C$22:C$36)+SUM('1.  LRAMVA Summary'!#REF!)*(MONTH($E122)-1)/12)*$H122</f>
        <v>#REF!</v>
      </c>
      <c r="J122" s="188" t="e">
        <f>(SUM('1.  LRAMVA Summary'!D$22:D$36)+SUM('1.  LRAMVA Summary'!#REF!)*(MONTH($E122)-1)/12)*$H122</f>
        <v>#REF!</v>
      </c>
      <c r="K122" s="188" t="e">
        <f>(SUM('1.  LRAMVA Summary'!E$22:E$36)+SUM('1.  LRAMVA Summary'!#REF!)*(MONTH($E122)-1)/12)*$H122</f>
        <v>#REF!</v>
      </c>
      <c r="L122" s="188" t="e">
        <f>(SUM('1.  LRAMVA Summary'!F$22:F$36)+SUM('1.  LRAMVA Summary'!#REF!)*(MONTH($E122)-1)/12)*$H122</f>
        <v>#REF!</v>
      </c>
      <c r="M122" s="188" t="e">
        <f>(SUM('1.  LRAMVA Summary'!G$22:G$36)+SUM('1.  LRAMVA Summary'!#REF!)*(MONTH($E122)-1)/12)*$H122</f>
        <v>#REF!</v>
      </c>
      <c r="N122" s="188" t="e">
        <f>(SUM('1.  LRAMVA Summary'!H$22:H$36)+SUM('1.  LRAMVA Summary'!#REF!)*(MONTH($E122)-1)/12)*$H122</f>
        <v>#REF!</v>
      </c>
      <c r="O122" s="188" t="e">
        <f>(SUM('1.  LRAMVA Summary'!I$22:I$36)+SUM('1.  LRAMVA Summary'!#REF!)*(MONTH($E122)-1)/12)*$H122</f>
        <v>#REF!</v>
      </c>
      <c r="P122" s="188"/>
      <c r="Q122" s="189" t="e">
        <f t="shared" ref="Q122:Q132" si="72">SUM(I122:P122)</f>
        <v>#REF!</v>
      </c>
    </row>
    <row r="123" spans="2:17" s="3" customFormat="1" ht="12.75" hidden="1" x14ac:dyDescent="0.2">
      <c r="B123" s="56"/>
      <c r="E123" s="186">
        <v>43160</v>
      </c>
      <c r="F123" s="186" t="s">
        <v>379</v>
      </c>
      <c r="G123" s="187" t="s">
        <v>89</v>
      </c>
      <c r="H123" s="485">
        <f t="shared" si="71"/>
        <v>0</v>
      </c>
      <c r="I123" s="188" t="e">
        <f>(SUM('1.  LRAMVA Summary'!C$22:C$36)+SUM('1.  LRAMVA Summary'!#REF!)*(MONTH($E123)-1)/12)*$H123</f>
        <v>#REF!</v>
      </c>
      <c r="J123" s="188" t="e">
        <f>(SUM('1.  LRAMVA Summary'!D$22:D$36)+SUM('1.  LRAMVA Summary'!#REF!)*(MONTH($E123)-1)/12)*$H123</f>
        <v>#REF!</v>
      </c>
      <c r="K123" s="188" t="e">
        <f>(SUM('1.  LRAMVA Summary'!E$22:E$36)+SUM('1.  LRAMVA Summary'!#REF!)*(MONTH($E123)-1)/12)*$H123</f>
        <v>#REF!</v>
      </c>
      <c r="L123" s="188" t="e">
        <f>(SUM('1.  LRAMVA Summary'!F$22:F$36)+SUM('1.  LRAMVA Summary'!#REF!)*(MONTH($E123)-1)/12)*$H123</f>
        <v>#REF!</v>
      </c>
      <c r="M123" s="188" t="e">
        <f>(SUM('1.  LRAMVA Summary'!G$22:G$36)+SUM('1.  LRAMVA Summary'!#REF!)*(MONTH($E123)-1)/12)*$H123</f>
        <v>#REF!</v>
      </c>
      <c r="N123" s="188" t="e">
        <f>(SUM('1.  LRAMVA Summary'!H$22:H$36)+SUM('1.  LRAMVA Summary'!#REF!)*(MONTH($E123)-1)/12)*$H123</f>
        <v>#REF!</v>
      </c>
      <c r="O123" s="188" t="e">
        <f>(SUM('1.  LRAMVA Summary'!I$22:I$36)+SUM('1.  LRAMVA Summary'!#REF!)*(MONTH($E123)-1)/12)*$H123</f>
        <v>#REF!</v>
      </c>
      <c r="P123" s="188"/>
      <c r="Q123" s="189" t="e">
        <f t="shared" si="72"/>
        <v>#REF!</v>
      </c>
    </row>
    <row r="124" spans="2:17" s="16" customFormat="1" ht="12.75" hidden="1" x14ac:dyDescent="0.2">
      <c r="B124" s="221"/>
      <c r="E124" s="186">
        <v>43191</v>
      </c>
      <c r="F124" s="186" t="s">
        <v>379</v>
      </c>
      <c r="G124" s="187" t="s">
        <v>90</v>
      </c>
      <c r="H124" s="485">
        <f>$C$45/12</f>
        <v>0</v>
      </c>
      <c r="I124" s="188" t="e">
        <f>(SUM('1.  LRAMVA Summary'!C$22:C$36)+SUM('1.  LRAMVA Summary'!#REF!)*(MONTH($E124)-1)/12)*$H124</f>
        <v>#REF!</v>
      </c>
      <c r="J124" s="188" t="e">
        <f>(SUM('1.  LRAMVA Summary'!D$22:D$36)+SUM('1.  LRAMVA Summary'!#REF!)*(MONTH($E124)-1)/12)*$H124</f>
        <v>#REF!</v>
      </c>
      <c r="K124" s="188" t="e">
        <f>(SUM('1.  LRAMVA Summary'!E$22:E$36)+SUM('1.  LRAMVA Summary'!#REF!)*(MONTH($E124)-1)/12)*$H124</f>
        <v>#REF!</v>
      </c>
      <c r="L124" s="188" t="e">
        <f>(SUM('1.  LRAMVA Summary'!F$22:F$36)+SUM('1.  LRAMVA Summary'!#REF!)*(MONTH($E124)-1)/12)*$H124</f>
        <v>#REF!</v>
      </c>
      <c r="M124" s="188" t="e">
        <f>(SUM('1.  LRAMVA Summary'!G$22:G$36)+SUM('1.  LRAMVA Summary'!#REF!)*(MONTH($E124)-1)/12)*$H124</f>
        <v>#REF!</v>
      </c>
      <c r="N124" s="188" t="e">
        <f>(SUM('1.  LRAMVA Summary'!H$22:H$36)+SUM('1.  LRAMVA Summary'!#REF!)*(MONTH($E124)-1)/12)*$H124</f>
        <v>#REF!</v>
      </c>
      <c r="O124" s="188" t="e">
        <f>(SUM('1.  LRAMVA Summary'!I$22:I$36)+SUM('1.  LRAMVA Summary'!#REF!)*(MONTH($E124)-1)/12)*$H124</f>
        <v>#REF!</v>
      </c>
      <c r="P124" s="188"/>
      <c r="Q124" s="189" t="e">
        <f t="shared" si="72"/>
        <v>#REF!</v>
      </c>
    </row>
    <row r="125" spans="2:17" s="3" customFormat="1" ht="12.75" hidden="1" x14ac:dyDescent="0.2">
      <c r="B125" s="56"/>
      <c r="E125" s="186">
        <v>43221</v>
      </c>
      <c r="F125" s="186" t="s">
        <v>379</v>
      </c>
      <c r="G125" s="187" t="s">
        <v>90</v>
      </c>
      <c r="H125" s="485">
        <f t="shared" ref="H125:H126" si="73">$C$45/12</f>
        <v>0</v>
      </c>
      <c r="I125" s="188" t="e">
        <f>(SUM('1.  LRAMVA Summary'!C$22:C$36)+SUM('1.  LRAMVA Summary'!#REF!)*(MONTH($E125)-1)/12)*$H125</f>
        <v>#REF!</v>
      </c>
      <c r="J125" s="188" t="e">
        <f>(SUM('1.  LRAMVA Summary'!D$22:D$36)+SUM('1.  LRAMVA Summary'!#REF!)*(MONTH($E125)-1)/12)*$H125</f>
        <v>#REF!</v>
      </c>
      <c r="K125" s="188" t="e">
        <f>(SUM('1.  LRAMVA Summary'!E$22:E$36)+SUM('1.  LRAMVA Summary'!#REF!)*(MONTH($E125)-1)/12)*$H125</f>
        <v>#REF!</v>
      </c>
      <c r="L125" s="188" t="e">
        <f>(SUM('1.  LRAMVA Summary'!F$22:F$36)+SUM('1.  LRAMVA Summary'!#REF!)*(MONTH($E125)-1)/12)*$H125</f>
        <v>#REF!</v>
      </c>
      <c r="M125" s="188" t="e">
        <f>(SUM('1.  LRAMVA Summary'!G$22:G$36)+SUM('1.  LRAMVA Summary'!#REF!)*(MONTH($E125)-1)/12)*$H125</f>
        <v>#REF!</v>
      </c>
      <c r="N125" s="188" t="e">
        <f>(SUM('1.  LRAMVA Summary'!H$22:H$36)+SUM('1.  LRAMVA Summary'!#REF!)*(MONTH($E125)-1)/12)*$H125</f>
        <v>#REF!</v>
      </c>
      <c r="O125" s="188" t="e">
        <f>(SUM('1.  LRAMVA Summary'!I$22:I$36)+SUM('1.  LRAMVA Summary'!#REF!)*(MONTH($E125)-1)/12)*$H125</f>
        <v>#REF!</v>
      </c>
      <c r="P125" s="188"/>
      <c r="Q125" s="189" t="e">
        <f t="shared" si="72"/>
        <v>#REF!</v>
      </c>
    </row>
    <row r="126" spans="2:17" s="15" customFormat="1" ht="12.75" hidden="1" x14ac:dyDescent="0.2">
      <c r="B126" s="220"/>
      <c r="E126" s="186">
        <v>43252</v>
      </c>
      <c r="F126" s="186" t="s">
        <v>379</v>
      </c>
      <c r="G126" s="187" t="s">
        <v>90</v>
      </c>
      <c r="H126" s="485">
        <f t="shared" si="73"/>
        <v>0</v>
      </c>
      <c r="I126" s="188" t="e">
        <f>(SUM('1.  LRAMVA Summary'!C$22:C$36)+SUM('1.  LRAMVA Summary'!#REF!)*(MONTH($E126)-1)/12)*$H126</f>
        <v>#REF!</v>
      </c>
      <c r="J126" s="188" t="e">
        <f>(SUM('1.  LRAMVA Summary'!D$22:D$36)+SUM('1.  LRAMVA Summary'!#REF!)*(MONTH($E126)-1)/12)*$H126</f>
        <v>#REF!</v>
      </c>
      <c r="K126" s="188" t="e">
        <f>(SUM('1.  LRAMVA Summary'!E$22:E$36)+SUM('1.  LRAMVA Summary'!#REF!)*(MONTH($E126)-1)/12)*$H126</f>
        <v>#REF!</v>
      </c>
      <c r="L126" s="188" t="e">
        <f>(SUM('1.  LRAMVA Summary'!F$22:F$36)+SUM('1.  LRAMVA Summary'!#REF!)*(MONTH($E126)-1)/12)*$H126</f>
        <v>#REF!</v>
      </c>
      <c r="M126" s="188" t="e">
        <f>(SUM('1.  LRAMVA Summary'!G$22:G$36)+SUM('1.  LRAMVA Summary'!#REF!)*(MONTH($E126)-1)/12)*$H126</f>
        <v>#REF!</v>
      </c>
      <c r="N126" s="188" t="e">
        <f>(SUM('1.  LRAMVA Summary'!H$22:H$36)+SUM('1.  LRAMVA Summary'!#REF!)*(MONTH($E126)-1)/12)*$H126</f>
        <v>#REF!</v>
      </c>
      <c r="O126" s="188" t="e">
        <f>(SUM('1.  LRAMVA Summary'!I$22:I$36)+SUM('1.  LRAMVA Summary'!#REF!)*(MONTH($E126)-1)/12)*$H126</f>
        <v>#REF!</v>
      </c>
      <c r="P126" s="188"/>
      <c r="Q126" s="189" t="e">
        <f t="shared" si="72"/>
        <v>#REF!</v>
      </c>
    </row>
    <row r="127" spans="2:17" s="3" customFormat="1" ht="12.75" hidden="1" x14ac:dyDescent="0.2">
      <c r="B127" s="56"/>
      <c r="E127" s="186">
        <v>43282</v>
      </c>
      <c r="F127" s="186" t="s">
        <v>379</v>
      </c>
      <c r="G127" s="187" t="s">
        <v>92</v>
      </c>
      <c r="H127" s="485">
        <f>$C$46/12</f>
        <v>0</v>
      </c>
      <c r="I127" s="188" t="e">
        <f>(SUM('1.  LRAMVA Summary'!C$22:C$36)+SUM('1.  LRAMVA Summary'!#REF!)*(MONTH($E127)-1)/12)*$H127</f>
        <v>#REF!</v>
      </c>
      <c r="J127" s="188" t="e">
        <f>(SUM('1.  LRAMVA Summary'!D$22:D$36)+SUM('1.  LRAMVA Summary'!#REF!)*(MONTH($E127)-1)/12)*$H127</f>
        <v>#REF!</v>
      </c>
      <c r="K127" s="188" t="e">
        <f>(SUM('1.  LRAMVA Summary'!E$22:E$36)+SUM('1.  LRAMVA Summary'!#REF!)*(MONTH($E127)-1)/12)*$H127</f>
        <v>#REF!</v>
      </c>
      <c r="L127" s="188" t="e">
        <f>(SUM('1.  LRAMVA Summary'!F$22:F$36)+SUM('1.  LRAMVA Summary'!#REF!)*(MONTH($E127)-1)/12)*$H127</f>
        <v>#REF!</v>
      </c>
      <c r="M127" s="188" t="e">
        <f>(SUM('1.  LRAMVA Summary'!G$22:G$36)+SUM('1.  LRAMVA Summary'!#REF!)*(MONTH($E127)-1)/12)*$H127</f>
        <v>#REF!</v>
      </c>
      <c r="N127" s="188" t="e">
        <f>(SUM('1.  LRAMVA Summary'!H$22:H$36)+SUM('1.  LRAMVA Summary'!#REF!)*(MONTH($E127)-1)/12)*$H127</f>
        <v>#REF!</v>
      </c>
      <c r="O127" s="188" t="e">
        <f>(SUM('1.  LRAMVA Summary'!I$22:I$36)+SUM('1.  LRAMVA Summary'!#REF!)*(MONTH($E127)-1)/12)*$H127</f>
        <v>#REF!</v>
      </c>
      <c r="P127" s="188"/>
      <c r="Q127" s="189" t="e">
        <f t="shared" si="72"/>
        <v>#REF!</v>
      </c>
    </row>
    <row r="128" spans="2:17" s="3" customFormat="1" ht="12.75" hidden="1" x14ac:dyDescent="0.2">
      <c r="B128" s="56"/>
      <c r="E128" s="186">
        <v>43313</v>
      </c>
      <c r="F128" s="186" t="s">
        <v>379</v>
      </c>
      <c r="G128" s="187" t="s">
        <v>92</v>
      </c>
      <c r="H128" s="485">
        <f t="shared" ref="H128:H129" si="74">$C$46/12</f>
        <v>0</v>
      </c>
      <c r="I128" s="188" t="e">
        <f>(SUM('1.  LRAMVA Summary'!C$22:C$36)+SUM('1.  LRAMVA Summary'!#REF!)*(MONTH($E128)-1)/12)*$H128</f>
        <v>#REF!</v>
      </c>
      <c r="J128" s="188" t="e">
        <f>(SUM('1.  LRAMVA Summary'!D$22:D$36)+SUM('1.  LRAMVA Summary'!#REF!)*(MONTH($E128)-1)/12)*$H128</f>
        <v>#REF!</v>
      </c>
      <c r="K128" s="188" t="e">
        <f>(SUM('1.  LRAMVA Summary'!E$22:E$36)+SUM('1.  LRAMVA Summary'!#REF!)*(MONTH($E128)-1)/12)*$H128</f>
        <v>#REF!</v>
      </c>
      <c r="L128" s="188" t="e">
        <f>(SUM('1.  LRAMVA Summary'!F$22:F$36)+SUM('1.  LRAMVA Summary'!#REF!)*(MONTH($E128)-1)/12)*$H128</f>
        <v>#REF!</v>
      </c>
      <c r="M128" s="188" t="e">
        <f>(SUM('1.  LRAMVA Summary'!G$22:G$36)+SUM('1.  LRAMVA Summary'!#REF!)*(MONTH($E128)-1)/12)*$H128</f>
        <v>#REF!</v>
      </c>
      <c r="N128" s="188" t="e">
        <f>(SUM('1.  LRAMVA Summary'!H$22:H$36)+SUM('1.  LRAMVA Summary'!#REF!)*(MONTH($E128)-1)/12)*$H128</f>
        <v>#REF!</v>
      </c>
      <c r="O128" s="188" t="e">
        <f>(SUM('1.  LRAMVA Summary'!I$22:I$36)+SUM('1.  LRAMVA Summary'!#REF!)*(MONTH($E128)-1)/12)*$H128</f>
        <v>#REF!</v>
      </c>
      <c r="P128" s="188"/>
      <c r="Q128" s="189" t="e">
        <f t="shared" si="72"/>
        <v>#REF!</v>
      </c>
    </row>
    <row r="129" spans="2:17" s="3" customFormat="1" ht="12.75" hidden="1" x14ac:dyDescent="0.2">
      <c r="B129" s="56"/>
      <c r="E129" s="186">
        <v>43344</v>
      </c>
      <c r="F129" s="186" t="s">
        <v>379</v>
      </c>
      <c r="G129" s="187" t="s">
        <v>92</v>
      </c>
      <c r="H129" s="485">
        <f t="shared" si="74"/>
        <v>0</v>
      </c>
      <c r="I129" s="188" t="e">
        <f>(SUM('1.  LRAMVA Summary'!C$22:C$36)+SUM('1.  LRAMVA Summary'!#REF!)*(MONTH($E129)-1)/12)*$H129</f>
        <v>#REF!</v>
      </c>
      <c r="J129" s="188" t="e">
        <f>(SUM('1.  LRAMVA Summary'!D$22:D$36)+SUM('1.  LRAMVA Summary'!#REF!)*(MONTH($E129)-1)/12)*$H129</f>
        <v>#REF!</v>
      </c>
      <c r="K129" s="188" t="e">
        <f>(SUM('1.  LRAMVA Summary'!E$22:E$36)+SUM('1.  LRAMVA Summary'!#REF!)*(MONTH($E129)-1)/12)*$H129</f>
        <v>#REF!</v>
      </c>
      <c r="L129" s="188" t="e">
        <f>(SUM('1.  LRAMVA Summary'!F$22:F$36)+SUM('1.  LRAMVA Summary'!#REF!)*(MONTH($E129)-1)/12)*$H129</f>
        <v>#REF!</v>
      </c>
      <c r="M129" s="188" t="e">
        <f>(SUM('1.  LRAMVA Summary'!G$22:G$36)+SUM('1.  LRAMVA Summary'!#REF!)*(MONTH($E129)-1)/12)*$H129</f>
        <v>#REF!</v>
      </c>
      <c r="N129" s="188" t="e">
        <f>(SUM('1.  LRAMVA Summary'!H$22:H$36)+SUM('1.  LRAMVA Summary'!#REF!)*(MONTH($E129)-1)/12)*$H129</f>
        <v>#REF!</v>
      </c>
      <c r="O129" s="188" t="e">
        <f>(SUM('1.  LRAMVA Summary'!I$22:I$36)+SUM('1.  LRAMVA Summary'!#REF!)*(MONTH($E129)-1)/12)*$H129</f>
        <v>#REF!</v>
      </c>
      <c r="P129" s="188"/>
      <c r="Q129" s="189" t="e">
        <f t="shared" si="72"/>
        <v>#REF!</v>
      </c>
    </row>
    <row r="130" spans="2:17" s="3" customFormat="1" ht="12.75" hidden="1" x14ac:dyDescent="0.2">
      <c r="B130" s="56"/>
      <c r="E130" s="186">
        <v>43374</v>
      </c>
      <c r="F130" s="186" t="s">
        <v>379</v>
      </c>
      <c r="G130" s="187" t="s">
        <v>93</v>
      </c>
      <c r="H130" s="485">
        <f>C47/12</f>
        <v>0</v>
      </c>
      <c r="I130" s="188" t="e">
        <f>(SUM('1.  LRAMVA Summary'!C$22:C$36)+SUM('1.  LRAMVA Summary'!#REF!)*(MONTH($E130)-1)/12)*$H130</f>
        <v>#REF!</v>
      </c>
      <c r="J130" s="188" t="e">
        <f>(SUM('1.  LRAMVA Summary'!D$22:D$36)+SUM('1.  LRAMVA Summary'!#REF!)*(MONTH($E130)-1)/12)*$H130</f>
        <v>#REF!</v>
      </c>
      <c r="K130" s="188" t="e">
        <f>(SUM('1.  LRAMVA Summary'!E$22:E$36)+SUM('1.  LRAMVA Summary'!#REF!)*(MONTH($E130)-1)/12)*$H130</f>
        <v>#REF!</v>
      </c>
      <c r="L130" s="188" t="e">
        <f>(SUM('1.  LRAMVA Summary'!F$22:F$36)+SUM('1.  LRAMVA Summary'!#REF!)*(MONTH($E130)-1)/12)*$H130</f>
        <v>#REF!</v>
      </c>
      <c r="M130" s="188" t="e">
        <f>(SUM('1.  LRAMVA Summary'!G$22:G$36)+SUM('1.  LRAMVA Summary'!#REF!)*(MONTH($E130)-1)/12)*$H130</f>
        <v>#REF!</v>
      </c>
      <c r="N130" s="188" t="e">
        <f>(SUM('1.  LRAMVA Summary'!H$22:H$36)+SUM('1.  LRAMVA Summary'!#REF!)*(MONTH($E130)-1)/12)*$H130</f>
        <v>#REF!</v>
      </c>
      <c r="O130" s="188" t="e">
        <f>(SUM('1.  LRAMVA Summary'!I$22:I$36)+SUM('1.  LRAMVA Summary'!#REF!)*(MONTH($E130)-1)/12)*$H130</f>
        <v>#REF!</v>
      </c>
      <c r="P130" s="188"/>
      <c r="Q130" s="189" t="e">
        <f t="shared" si="72"/>
        <v>#REF!</v>
      </c>
    </row>
    <row r="131" spans="2:17" s="3" customFormat="1" ht="12.75" hidden="1" x14ac:dyDescent="0.2">
      <c r="B131" s="56"/>
      <c r="E131" s="186">
        <v>43405</v>
      </c>
      <c r="F131" s="186" t="s">
        <v>379</v>
      </c>
      <c r="G131" s="187" t="s">
        <v>93</v>
      </c>
      <c r="H131" s="485">
        <f t="shared" ref="H131:H132" si="75">C48/12</f>
        <v>0</v>
      </c>
      <c r="I131" s="188" t="e">
        <f>(SUM('1.  LRAMVA Summary'!C$22:C$36)+SUM('1.  LRAMVA Summary'!#REF!)*(MONTH($E131)-1)/12)*$H131</f>
        <v>#REF!</v>
      </c>
      <c r="J131" s="188" t="e">
        <f>(SUM('1.  LRAMVA Summary'!D$22:D$36)+SUM('1.  LRAMVA Summary'!#REF!)*(MONTH($E131)-1)/12)*$H131</f>
        <v>#REF!</v>
      </c>
      <c r="K131" s="188" t="e">
        <f>(SUM('1.  LRAMVA Summary'!E$22:E$36)+SUM('1.  LRAMVA Summary'!#REF!)*(MONTH($E131)-1)/12)*$H131</f>
        <v>#REF!</v>
      </c>
      <c r="L131" s="188" t="e">
        <f>(SUM('1.  LRAMVA Summary'!F$22:F$36)+SUM('1.  LRAMVA Summary'!#REF!)*(MONTH($E131)-1)/12)*$H131</f>
        <v>#REF!</v>
      </c>
      <c r="M131" s="188" t="e">
        <f>(SUM('1.  LRAMVA Summary'!G$22:G$36)+SUM('1.  LRAMVA Summary'!#REF!)*(MONTH($E131)-1)/12)*$H131</f>
        <v>#REF!</v>
      </c>
      <c r="N131" s="188" t="e">
        <f>(SUM('1.  LRAMVA Summary'!H$22:H$36)+SUM('1.  LRAMVA Summary'!#REF!)*(MONTH($E131)-1)/12)*$H131</f>
        <v>#REF!</v>
      </c>
      <c r="O131" s="188" t="e">
        <f>(SUM('1.  LRAMVA Summary'!I$22:I$36)+SUM('1.  LRAMVA Summary'!#REF!)*(MONTH($E131)-1)/12)*$H131</f>
        <v>#REF!</v>
      </c>
      <c r="P131" s="188"/>
      <c r="Q131" s="189" t="e">
        <f t="shared" si="72"/>
        <v>#REF!</v>
      </c>
    </row>
    <row r="132" spans="2:17" s="3" customFormat="1" ht="12.75" hidden="1" x14ac:dyDescent="0.2">
      <c r="B132" s="56"/>
      <c r="E132" s="186">
        <v>43435</v>
      </c>
      <c r="F132" s="186" t="s">
        <v>379</v>
      </c>
      <c r="G132" s="187" t="s">
        <v>93</v>
      </c>
      <c r="H132" s="485">
        <f t="shared" si="75"/>
        <v>0</v>
      </c>
      <c r="I132" s="188" t="e">
        <f>(SUM('1.  LRAMVA Summary'!C$22:C$36)+SUM('1.  LRAMVA Summary'!#REF!)*(MONTH($E132)-1)/12)*$H132</f>
        <v>#REF!</v>
      </c>
      <c r="J132" s="188" t="e">
        <f>(SUM('1.  LRAMVA Summary'!D$22:D$36)+SUM('1.  LRAMVA Summary'!#REF!)*(MONTH($E132)-1)/12)*$H132</f>
        <v>#REF!</v>
      </c>
      <c r="K132" s="188" t="e">
        <f>(SUM('1.  LRAMVA Summary'!E$22:E$36)+SUM('1.  LRAMVA Summary'!#REF!)*(MONTH($E132)-1)/12)*$H132</f>
        <v>#REF!</v>
      </c>
      <c r="L132" s="188" t="e">
        <f>(SUM('1.  LRAMVA Summary'!F$22:F$36)+SUM('1.  LRAMVA Summary'!#REF!)*(MONTH($E132)-1)/12)*$H132</f>
        <v>#REF!</v>
      </c>
      <c r="M132" s="188" t="e">
        <f>(SUM('1.  LRAMVA Summary'!G$22:G$36)+SUM('1.  LRAMVA Summary'!#REF!)*(MONTH($E132)-1)/12)*$H132</f>
        <v>#REF!</v>
      </c>
      <c r="N132" s="188" t="e">
        <f>(SUM('1.  LRAMVA Summary'!H$22:H$36)+SUM('1.  LRAMVA Summary'!#REF!)*(MONTH($E132)-1)/12)*$H132</f>
        <v>#REF!</v>
      </c>
      <c r="O132" s="188" t="e">
        <f>(SUM('1.  LRAMVA Summary'!I$22:I$36)+SUM('1.  LRAMVA Summary'!#REF!)*(MONTH($E132)-1)/12)*$H132</f>
        <v>#REF!</v>
      </c>
      <c r="P132" s="188"/>
      <c r="Q132" s="189" t="e">
        <f t="shared" si="72"/>
        <v>#REF!</v>
      </c>
    </row>
    <row r="133" spans="2:17" s="3" customFormat="1" ht="13.5" hidden="1" thickBot="1" x14ac:dyDescent="0.25">
      <c r="B133" s="56"/>
      <c r="E133" s="198" t="s">
        <v>386</v>
      </c>
      <c r="F133" s="198"/>
      <c r="G133" s="199"/>
      <c r="H133" s="479"/>
      <c r="I133" s="200" t="e">
        <f>SUM(I120:I132)</f>
        <v>#REF!</v>
      </c>
      <c r="J133" s="200" t="e">
        <f>SUM(J120:J132)</f>
        <v>#REF!</v>
      </c>
      <c r="K133" s="200" t="e">
        <f t="shared" ref="K133:P133" si="76">SUM(K120:K132)</f>
        <v>#REF!</v>
      </c>
      <c r="L133" s="200" t="e">
        <f t="shared" si="76"/>
        <v>#REF!</v>
      </c>
      <c r="M133" s="200" t="e">
        <f t="shared" si="76"/>
        <v>#REF!</v>
      </c>
      <c r="N133" s="200" t="e">
        <f t="shared" si="76"/>
        <v>#REF!</v>
      </c>
      <c r="O133" s="200" t="e">
        <f t="shared" si="76"/>
        <v>#REF!</v>
      </c>
      <c r="P133" s="200">
        <f t="shared" si="76"/>
        <v>0</v>
      </c>
      <c r="Q133" s="200" t="e">
        <f>SUM(Q120:Q132)</f>
        <v>#REF!</v>
      </c>
    </row>
    <row r="134" spans="2:17" s="3" customFormat="1" ht="13.5" hidden="1" thickTop="1" x14ac:dyDescent="0.2">
      <c r="B134" s="56"/>
      <c r="E134" s="229" t="s">
        <v>91</v>
      </c>
      <c r="F134" s="229"/>
      <c r="G134" s="230"/>
      <c r="H134" s="480"/>
      <c r="I134" s="231"/>
      <c r="J134" s="231"/>
      <c r="K134" s="231"/>
      <c r="L134" s="231"/>
      <c r="M134" s="231"/>
      <c r="N134" s="231"/>
      <c r="O134" s="231"/>
      <c r="P134" s="231"/>
      <c r="Q134" s="232"/>
    </row>
    <row r="135" spans="2:17" s="3" customFormat="1" ht="12.75" hidden="1" x14ac:dyDescent="0.2">
      <c r="B135" s="56"/>
      <c r="E135" s="195" t="s">
        <v>396</v>
      </c>
      <c r="F135" s="195"/>
      <c r="G135" s="196"/>
      <c r="H135" s="481"/>
      <c r="I135" s="197" t="e">
        <f>I133+I134</f>
        <v>#REF!</v>
      </c>
      <c r="J135" s="197" t="e">
        <f t="shared" ref="J135" si="77">J133+J134</f>
        <v>#REF!</v>
      </c>
      <c r="K135" s="197" t="e">
        <f t="shared" ref="K135" si="78">K133+K134</f>
        <v>#REF!</v>
      </c>
      <c r="L135" s="197" t="e">
        <f t="shared" ref="L135" si="79">L133+L134</f>
        <v>#REF!</v>
      </c>
      <c r="M135" s="197" t="e">
        <f t="shared" ref="M135" si="80">M133+M134</f>
        <v>#REF!</v>
      </c>
      <c r="N135" s="197" t="e">
        <f t="shared" ref="N135" si="81">N133+N134</f>
        <v>#REF!</v>
      </c>
      <c r="O135" s="197" t="e">
        <f t="shared" ref="O135" si="82">O133+O134</f>
        <v>#REF!</v>
      </c>
      <c r="P135" s="197">
        <f t="shared" ref="P135" si="83">P133+P134</f>
        <v>0</v>
      </c>
      <c r="Q135" s="197" t="e">
        <f>Q133+Q134</f>
        <v>#REF!</v>
      </c>
    </row>
    <row r="136" spans="2:17" s="3" customFormat="1" ht="12.75" hidden="1" x14ac:dyDescent="0.2">
      <c r="B136" s="56"/>
      <c r="E136" s="186">
        <v>43466</v>
      </c>
      <c r="F136" s="186" t="s">
        <v>380</v>
      </c>
      <c r="G136" s="187" t="s">
        <v>89</v>
      </c>
      <c r="H136" s="485">
        <f>$C$48/12</f>
        <v>0</v>
      </c>
      <c r="I136" s="188" t="e">
        <f>(SUM('1.  LRAMVA Summary'!C$22:C$36)+SUM('1.  LRAMVA Summary'!#REF!)*(MONTH($E136)-1)/12)*$H136</f>
        <v>#REF!</v>
      </c>
      <c r="J136" s="188" t="e">
        <f>(SUM('1.  LRAMVA Summary'!D$22:D$36)+SUM('1.  LRAMVA Summary'!#REF!)*(MONTH($E136)-1)/12)*$H136</f>
        <v>#REF!</v>
      </c>
      <c r="K136" s="188" t="e">
        <f>(SUM('1.  LRAMVA Summary'!E$22:E$36)+SUM('1.  LRAMVA Summary'!#REF!)*(MONTH($E136)-1)/12)*$H136</f>
        <v>#REF!</v>
      </c>
      <c r="L136" s="188" t="e">
        <f>(SUM('1.  LRAMVA Summary'!F$22:F$36)+SUM('1.  LRAMVA Summary'!#REF!)*(MONTH($E136)-1)/12)*$H136</f>
        <v>#REF!</v>
      </c>
      <c r="M136" s="188" t="e">
        <f>(SUM('1.  LRAMVA Summary'!G$22:G$36)+SUM('1.  LRAMVA Summary'!#REF!)*(MONTH($E136)-1)/12)*$H136</f>
        <v>#REF!</v>
      </c>
      <c r="N136" s="188" t="e">
        <f>(SUM('1.  LRAMVA Summary'!H$22:H$36)+SUM('1.  LRAMVA Summary'!#REF!)*(MONTH($E136)-1)/12)*$H136</f>
        <v>#REF!</v>
      </c>
      <c r="O136" s="188" t="e">
        <f>(SUM('1.  LRAMVA Summary'!I$22:I$36)+SUM('1.  LRAMVA Summary'!#REF!)*(MONTH($E136)-1)/12)*$H136</f>
        <v>#REF!</v>
      </c>
      <c r="P136" s="188"/>
      <c r="Q136" s="189" t="e">
        <f t="shared" ref="Q136:Q147" si="84">SUM(I136:P136)</f>
        <v>#REF!</v>
      </c>
    </row>
    <row r="137" spans="2:17" s="3" customFormat="1" ht="12.75" hidden="1" x14ac:dyDescent="0.2">
      <c r="B137" s="56"/>
      <c r="E137" s="186">
        <v>43497</v>
      </c>
      <c r="F137" s="186" t="s">
        <v>380</v>
      </c>
      <c r="G137" s="187" t="s">
        <v>89</v>
      </c>
      <c r="H137" s="485">
        <f t="shared" ref="H137:H138" si="85">$C$48/12</f>
        <v>0</v>
      </c>
      <c r="I137" s="188" t="e">
        <f>(SUM('1.  LRAMVA Summary'!C$22:C$36)+SUM('1.  LRAMVA Summary'!#REF!)*(MONTH($E137)-1)/12)*$H137</f>
        <v>#REF!</v>
      </c>
      <c r="J137" s="188" t="e">
        <f>(SUM('1.  LRAMVA Summary'!D$22:D$36)+SUM('1.  LRAMVA Summary'!#REF!)*(MONTH($E137)-1)/12)*$H137</f>
        <v>#REF!</v>
      </c>
      <c r="K137" s="188" t="e">
        <f>(SUM('1.  LRAMVA Summary'!E$22:E$36)+SUM('1.  LRAMVA Summary'!#REF!)*(MONTH($E137)-1)/12)*$H137</f>
        <v>#REF!</v>
      </c>
      <c r="L137" s="188" t="e">
        <f>(SUM('1.  LRAMVA Summary'!F$22:F$36)+SUM('1.  LRAMVA Summary'!#REF!)*(MONTH($E137)-1)/12)*$H137</f>
        <v>#REF!</v>
      </c>
      <c r="M137" s="188" t="e">
        <f>(SUM('1.  LRAMVA Summary'!G$22:G$36)+SUM('1.  LRAMVA Summary'!#REF!)*(MONTH($E137)-1)/12)*$H137</f>
        <v>#REF!</v>
      </c>
      <c r="N137" s="188" t="e">
        <f>(SUM('1.  LRAMVA Summary'!H$22:H$36)+SUM('1.  LRAMVA Summary'!#REF!)*(MONTH($E137)-1)/12)*$H137</f>
        <v>#REF!</v>
      </c>
      <c r="O137" s="188" t="e">
        <f>(SUM('1.  LRAMVA Summary'!I$22:I$36)+SUM('1.  LRAMVA Summary'!#REF!)*(MONTH($E137)-1)/12)*$H137</f>
        <v>#REF!</v>
      </c>
      <c r="P137" s="188"/>
      <c r="Q137" s="189" t="e">
        <f t="shared" si="84"/>
        <v>#REF!</v>
      </c>
    </row>
    <row r="138" spans="2:17" s="3" customFormat="1" ht="12.75" hidden="1" x14ac:dyDescent="0.2">
      <c r="B138" s="56"/>
      <c r="E138" s="186">
        <v>43525</v>
      </c>
      <c r="F138" s="186" t="s">
        <v>380</v>
      </c>
      <c r="G138" s="187" t="s">
        <v>89</v>
      </c>
      <c r="H138" s="485">
        <f t="shared" si="85"/>
        <v>0</v>
      </c>
      <c r="I138" s="188" t="e">
        <f>(SUM('1.  LRAMVA Summary'!C$22:C$36)+SUM('1.  LRAMVA Summary'!#REF!)*(MONTH($E138)-1)/12)*$H138</f>
        <v>#REF!</v>
      </c>
      <c r="J138" s="188" t="e">
        <f>(SUM('1.  LRAMVA Summary'!D$22:D$36)+SUM('1.  LRAMVA Summary'!#REF!)*(MONTH($E138)-1)/12)*$H138</f>
        <v>#REF!</v>
      </c>
      <c r="K138" s="188" t="e">
        <f>(SUM('1.  LRAMVA Summary'!E$22:E$36)+SUM('1.  LRAMVA Summary'!#REF!)*(MONTH($E138)-1)/12)*$H138</f>
        <v>#REF!</v>
      </c>
      <c r="L138" s="188" t="e">
        <f>(SUM('1.  LRAMVA Summary'!F$22:F$36)+SUM('1.  LRAMVA Summary'!#REF!)*(MONTH($E138)-1)/12)*$H138</f>
        <v>#REF!</v>
      </c>
      <c r="M138" s="188" t="e">
        <f>(SUM('1.  LRAMVA Summary'!G$22:G$36)+SUM('1.  LRAMVA Summary'!#REF!)*(MONTH($E138)-1)/12)*$H138</f>
        <v>#REF!</v>
      </c>
      <c r="N138" s="188" t="e">
        <f>(SUM('1.  LRAMVA Summary'!H$22:H$36)+SUM('1.  LRAMVA Summary'!#REF!)*(MONTH($E138)-1)/12)*$H138</f>
        <v>#REF!</v>
      </c>
      <c r="O138" s="188" t="e">
        <f>(SUM('1.  LRAMVA Summary'!I$22:I$36)+SUM('1.  LRAMVA Summary'!#REF!)*(MONTH($E138)-1)/12)*$H138</f>
        <v>#REF!</v>
      </c>
      <c r="P138" s="188"/>
      <c r="Q138" s="189" t="e">
        <f t="shared" si="84"/>
        <v>#REF!</v>
      </c>
    </row>
    <row r="139" spans="2:17" s="16" customFormat="1" ht="12.75" hidden="1" x14ac:dyDescent="0.2">
      <c r="B139" s="221"/>
      <c r="E139" s="186">
        <v>43556</v>
      </c>
      <c r="F139" s="186" t="s">
        <v>380</v>
      </c>
      <c r="G139" s="187" t="s">
        <v>90</v>
      </c>
      <c r="H139" s="485">
        <f>$C$49/12</f>
        <v>0</v>
      </c>
      <c r="I139" s="188" t="e">
        <f>(SUM('1.  LRAMVA Summary'!C$22:C$36)+SUM('1.  LRAMVA Summary'!#REF!)*(MONTH($E139)-1)/12)*$H139</f>
        <v>#REF!</v>
      </c>
      <c r="J139" s="188" t="e">
        <f>(SUM('1.  LRAMVA Summary'!D$22:D$36)+SUM('1.  LRAMVA Summary'!#REF!)*(MONTH($E139)-1)/12)*$H139</f>
        <v>#REF!</v>
      </c>
      <c r="K139" s="188" t="e">
        <f>(SUM('1.  LRAMVA Summary'!E$22:E$36)+SUM('1.  LRAMVA Summary'!#REF!)*(MONTH($E139)-1)/12)*$H139</f>
        <v>#REF!</v>
      </c>
      <c r="L139" s="188" t="e">
        <f>(SUM('1.  LRAMVA Summary'!F$22:F$36)+SUM('1.  LRAMVA Summary'!#REF!)*(MONTH($E139)-1)/12)*$H139</f>
        <v>#REF!</v>
      </c>
      <c r="M139" s="188" t="e">
        <f>(SUM('1.  LRAMVA Summary'!G$22:G$36)+SUM('1.  LRAMVA Summary'!#REF!)*(MONTH($E139)-1)/12)*$H139</f>
        <v>#REF!</v>
      </c>
      <c r="N139" s="188" t="e">
        <f>(SUM('1.  LRAMVA Summary'!H$22:H$36)+SUM('1.  LRAMVA Summary'!#REF!)*(MONTH($E139)-1)/12)*$H139</f>
        <v>#REF!</v>
      </c>
      <c r="O139" s="188" t="e">
        <f>(SUM('1.  LRAMVA Summary'!I$22:I$36)+SUM('1.  LRAMVA Summary'!#REF!)*(MONTH($E139)-1)/12)*$H139</f>
        <v>#REF!</v>
      </c>
      <c r="P139" s="188"/>
      <c r="Q139" s="189" t="e">
        <f t="shared" si="84"/>
        <v>#REF!</v>
      </c>
    </row>
    <row r="140" spans="2:17" s="3" customFormat="1" ht="12.75" hidden="1" x14ac:dyDescent="0.2">
      <c r="B140" s="56"/>
      <c r="E140" s="186">
        <v>43586</v>
      </c>
      <c r="F140" s="186" t="s">
        <v>380</v>
      </c>
      <c r="G140" s="187" t="s">
        <v>90</v>
      </c>
      <c r="H140" s="485">
        <f t="shared" ref="H140:H141" si="86">$C$49/12</f>
        <v>0</v>
      </c>
      <c r="I140" s="188" t="e">
        <f>(SUM('1.  LRAMVA Summary'!C$22:C$36)+SUM('1.  LRAMVA Summary'!#REF!)*(MONTH($E140)-1)/12)*$H140</f>
        <v>#REF!</v>
      </c>
      <c r="J140" s="188" t="e">
        <f>(SUM('1.  LRAMVA Summary'!D$22:D$36)+SUM('1.  LRAMVA Summary'!#REF!)*(MONTH($E140)-1)/12)*$H140</f>
        <v>#REF!</v>
      </c>
      <c r="K140" s="188" t="e">
        <f>(SUM('1.  LRAMVA Summary'!E$22:E$36)+SUM('1.  LRAMVA Summary'!#REF!)*(MONTH($E140)-1)/12)*$H140</f>
        <v>#REF!</v>
      </c>
      <c r="L140" s="188" t="e">
        <f>(SUM('1.  LRAMVA Summary'!F$22:F$36)+SUM('1.  LRAMVA Summary'!#REF!)*(MONTH($E140)-1)/12)*$H140</f>
        <v>#REF!</v>
      </c>
      <c r="M140" s="188" t="e">
        <f>(SUM('1.  LRAMVA Summary'!G$22:G$36)+SUM('1.  LRAMVA Summary'!#REF!)*(MONTH($E140)-1)/12)*$H140</f>
        <v>#REF!</v>
      </c>
      <c r="N140" s="188" t="e">
        <f>(SUM('1.  LRAMVA Summary'!H$22:H$36)+SUM('1.  LRAMVA Summary'!#REF!)*(MONTH($E140)-1)/12)*$H140</f>
        <v>#REF!</v>
      </c>
      <c r="O140" s="188" t="e">
        <f>(SUM('1.  LRAMVA Summary'!I$22:I$36)+SUM('1.  LRAMVA Summary'!#REF!)*(MONTH($E140)-1)/12)*$H140</f>
        <v>#REF!</v>
      </c>
      <c r="P140" s="188"/>
      <c r="Q140" s="189" t="e">
        <f t="shared" si="84"/>
        <v>#REF!</v>
      </c>
    </row>
    <row r="141" spans="2:17" s="3" customFormat="1" ht="12.75" hidden="1" x14ac:dyDescent="0.2">
      <c r="B141" s="56"/>
      <c r="E141" s="186">
        <v>43617</v>
      </c>
      <c r="F141" s="186" t="s">
        <v>380</v>
      </c>
      <c r="G141" s="187" t="s">
        <v>90</v>
      </c>
      <c r="H141" s="485">
        <f t="shared" si="86"/>
        <v>0</v>
      </c>
      <c r="I141" s="188" t="e">
        <f>(SUM('1.  LRAMVA Summary'!C$22:C$36)+SUM('1.  LRAMVA Summary'!#REF!)*(MONTH($E141)-1)/12)*$H141</f>
        <v>#REF!</v>
      </c>
      <c r="J141" s="188" t="e">
        <f>(SUM('1.  LRAMVA Summary'!D$22:D$36)+SUM('1.  LRAMVA Summary'!#REF!)*(MONTH($E141)-1)/12)*$H141</f>
        <v>#REF!</v>
      </c>
      <c r="K141" s="188" t="e">
        <f>(SUM('1.  LRAMVA Summary'!E$22:E$36)+SUM('1.  LRAMVA Summary'!#REF!)*(MONTH($E141)-1)/12)*$H141</f>
        <v>#REF!</v>
      </c>
      <c r="L141" s="188" t="e">
        <f>(SUM('1.  LRAMVA Summary'!F$22:F$36)+SUM('1.  LRAMVA Summary'!#REF!)*(MONTH($E141)-1)/12)*$H141</f>
        <v>#REF!</v>
      </c>
      <c r="M141" s="188" t="e">
        <f>(SUM('1.  LRAMVA Summary'!G$22:G$36)+SUM('1.  LRAMVA Summary'!#REF!)*(MONTH($E141)-1)/12)*$H141</f>
        <v>#REF!</v>
      </c>
      <c r="N141" s="188" t="e">
        <f>(SUM('1.  LRAMVA Summary'!H$22:H$36)+SUM('1.  LRAMVA Summary'!#REF!)*(MONTH($E141)-1)/12)*$H141</f>
        <v>#REF!</v>
      </c>
      <c r="O141" s="188" t="e">
        <f>(SUM('1.  LRAMVA Summary'!I$22:I$36)+SUM('1.  LRAMVA Summary'!#REF!)*(MONTH($E141)-1)/12)*$H141</f>
        <v>#REF!</v>
      </c>
      <c r="P141" s="188"/>
      <c r="Q141" s="189" t="e">
        <f t="shared" si="84"/>
        <v>#REF!</v>
      </c>
    </row>
    <row r="142" spans="2:17" hidden="1" x14ac:dyDescent="0.25">
      <c r="E142" s="186">
        <v>43647</v>
      </c>
      <c r="F142" s="186" t="s">
        <v>380</v>
      </c>
      <c r="G142" s="187" t="s">
        <v>92</v>
      </c>
      <c r="H142" s="485">
        <f>$C$50/12</f>
        <v>0</v>
      </c>
      <c r="I142" s="188" t="e">
        <f>(SUM('1.  LRAMVA Summary'!C$22:C$36)+SUM('1.  LRAMVA Summary'!#REF!)*(MONTH($E142)-1)/12)*$H142</f>
        <v>#REF!</v>
      </c>
      <c r="J142" s="188" t="e">
        <f>(SUM('1.  LRAMVA Summary'!D$22:D$36)+SUM('1.  LRAMVA Summary'!#REF!)*(MONTH($E142)-1)/12)*$H142</f>
        <v>#REF!</v>
      </c>
      <c r="K142" s="188" t="e">
        <f>(SUM('1.  LRAMVA Summary'!E$22:E$36)+SUM('1.  LRAMVA Summary'!#REF!)*(MONTH($E142)-1)/12)*$H142</f>
        <v>#REF!</v>
      </c>
      <c r="L142" s="188" t="e">
        <f>(SUM('1.  LRAMVA Summary'!F$22:F$36)+SUM('1.  LRAMVA Summary'!#REF!)*(MONTH($E142)-1)/12)*$H142</f>
        <v>#REF!</v>
      </c>
      <c r="M142" s="188" t="e">
        <f>(SUM('1.  LRAMVA Summary'!G$22:G$36)+SUM('1.  LRAMVA Summary'!#REF!)*(MONTH($E142)-1)/12)*$H142</f>
        <v>#REF!</v>
      </c>
      <c r="N142" s="188" t="e">
        <f>(SUM('1.  LRAMVA Summary'!H$22:H$36)+SUM('1.  LRAMVA Summary'!#REF!)*(MONTH($E142)-1)/12)*$H142</f>
        <v>#REF!</v>
      </c>
      <c r="O142" s="188" t="e">
        <f>(SUM('1.  LRAMVA Summary'!I$22:I$36)+SUM('1.  LRAMVA Summary'!#REF!)*(MONTH($E142)-1)/12)*$H142</f>
        <v>#REF!</v>
      </c>
      <c r="P142" s="188"/>
      <c r="Q142" s="189" t="e">
        <f t="shared" si="84"/>
        <v>#REF!</v>
      </c>
    </row>
    <row r="143" spans="2:17" hidden="1" x14ac:dyDescent="0.25">
      <c r="E143" s="186">
        <v>43678</v>
      </c>
      <c r="F143" s="186" t="s">
        <v>380</v>
      </c>
      <c r="G143" s="187" t="s">
        <v>92</v>
      </c>
      <c r="H143" s="485">
        <f t="shared" ref="H143:H144" si="87">$C$50/12</f>
        <v>0</v>
      </c>
      <c r="I143" s="188" t="e">
        <f>(SUM('1.  LRAMVA Summary'!C$22:C$36)+SUM('1.  LRAMVA Summary'!#REF!)*(MONTH($E143)-1)/12)*$H143</f>
        <v>#REF!</v>
      </c>
      <c r="J143" s="188" t="e">
        <f>(SUM('1.  LRAMVA Summary'!D$22:D$36)+SUM('1.  LRAMVA Summary'!#REF!)*(MONTH($E143)-1)/12)*$H143</f>
        <v>#REF!</v>
      </c>
      <c r="K143" s="188" t="e">
        <f>(SUM('1.  LRAMVA Summary'!E$22:E$36)+SUM('1.  LRAMVA Summary'!#REF!)*(MONTH($E143)-1)/12)*$H143</f>
        <v>#REF!</v>
      </c>
      <c r="L143" s="188" t="e">
        <f>(SUM('1.  LRAMVA Summary'!F$22:F$36)+SUM('1.  LRAMVA Summary'!#REF!)*(MONTH($E143)-1)/12)*$H143</f>
        <v>#REF!</v>
      </c>
      <c r="M143" s="188" t="e">
        <f>(SUM('1.  LRAMVA Summary'!G$22:G$36)+SUM('1.  LRAMVA Summary'!#REF!)*(MONTH($E143)-1)/12)*$H143</f>
        <v>#REF!</v>
      </c>
      <c r="N143" s="188" t="e">
        <f>(SUM('1.  LRAMVA Summary'!H$22:H$36)+SUM('1.  LRAMVA Summary'!#REF!)*(MONTH($E143)-1)/12)*$H143</f>
        <v>#REF!</v>
      </c>
      <c r="O143" s="188" t="e">
        <f>(SUM('1.  LRAMVA Summary'!I$22:I$36)+SUM('1.  LRAMVA Summary'!#REF!)*(MONTH($E143)-1)/12)*$H143</f>
        <v>#REF!</v>
      </c>
      <c r="P143" s="188"/>
      <c r="Q143" s="189" t="e">
        <f t="shared" si="84"/>
        <v>#REF!</v>
      </c>
    </row>
    <row r="144" spans="2:17" hidden="1" x14ac:dyDescent="0.25">
      <c r="E144" s="186">
        <v>43709</v>
      </c>
      <c r="F144" s="186" t="s">
        <v>380</v>
      </c>
      <c r="G144" s="187" t="s">
        <v>92</v>
      </c>
      <c r="H144" s="485">
        <f t="shared" si="87"/>
        <v>0</v>
      </c>
      <c r="I144" s="188" t="e">
        <f>(SUM('1.  LRAMVA Summary'!C$22:C$36)+SUM('1.  LRAMVA Summary'!#REF!)*(MONTH($E144)-1)/12)*$H144</f>
        <v>#REF!</v>
      </c>
      <c r="J144" s="188" t="e">
        <f>(SUM('1.  LRAMVA Summary'!D$22:D$36)+SUM('1.  LRAMVA Summary'!#REF!)*(MONTH($E144)-1)/12)*$H144</f>
        <v>#REF!</v>
      </c>
      <c r="K144" s="188" t="e">
        <f>(SUM('1.  LRAMVA Summary'!E$22:E$36)+SUM('1.  LRAMVA Summary'!#REF!)*(MONTH($E144)-1)/12)*$H144</f>
        <v>#REF!</v>
      </c>
      <c r="L144" s="188" t="e">
        <f>(SUM('1.  LRAMVA Summary'!F$22:F$36)+SUM('1.  LRAMVA Summary'!#REF!)*(MONTH($E144)-1)/12)*$H144</f>
        <v>#REF!</v>
      </c>
      <c r="M144" s="188" t="e">
        <f>(SUM('1.  LRAMVA Summary'!G$22:G$36)+SUM('1.  LRAMVA Summary'!#REF!)*(MONTH($E144)-1)/12)*$H144</f>
        <v>#REF!</v>
      </c>
      <c r="N144" s="188" t="e">
        <f>(SUM('1.  LRAMVA Summary'!H$22:H$36)+SUM('1.  LRAMVA Summary'!#REF!)*(MONTH($E144)-1)/12)*$H144</f>
        <v>#REF!</v>
      </c>
      <c r="O144" s="188" t="e">
        <f>(SUM('1.  LRAMVA Summary'!I$22:I$36)+SUM('1.  LRAMVA Summary'!#REF!)*(MONTH($E144)-1)/12)*$H144</f>
        <v>#REF!</v>
      </c>
      <c r="P144" s="188"/>
      <c r="Q144" s="189" t="e">
        <f t="shared" si="84"/>
        <v>#REF!</v>
      </c>
    </row>
    <row r="145" spans="5:17" hidden="1" x14ac:dyDescent="0.25">
      <c r="E145" s="186">
        <v>43739</v>
      </c>
      <c r="F145" s="186" t="s">
        <v>380</v>
      </c>
      <c r="G145" s="187" t="s">
        <v>93</v>
      </c>
      <c r="H145" s="485">
        <f>$C$51/12</f>
        <v>0</v>
      </c>
      <c r="I145" s="188" t="e">
        <f>(SUM('1.  LRAMVA Summary'!C$22:C$36)+SUM('1.  LRAMVA Summary'!#REF!)*(MONTH($E145)-1)/12)*$H145</f>
        <v>#REF!</v>
      </c>
      <c r="J145" s="188" t="e">
        <f>(SUM('1.  LRAMVA Summary'!D$22:D$36)+SUM('1.  LRAMVA Summary'!#REF!)*(MONTH($E145)-1)/12)*$H145</f>
        <v>#REF!</v>
      </c>
      <c r="K145" s="188" t="e">
        <f>(SUM('1.  LRAMVA Summary'!E$22:E$36)+SUM('1.  LRAMVA Summary'!#REF!)*(MONTH($E145)-1)/12)*$H145</f>
        <v>#REF!</v>
      </c>
      <c r="L145" s="188" t="e">
        <f>(SUM('1.  LRAMVA Summary'!F$22:F$36)+SUM('1.  LRAMVA Summary'!#REF!)*(MONTH($E145)-1)/12)*$H145</f>
        <v>#REF!</v>
      </c>
      <c r="M145" s="188" t="e">
        <f>(SUM('1.  LRAMVA Summary'!G$22:G$36)+SUM('1.  LRAMVA Summary'!#REF!)*(MONTH($E145)-1)/12)*$H145</f>
        <v>#REF!</v>
      </c>
      <c r="N145" s="188" t="e">
        <f>(SUM('1.  LRAMVA Summary'!H$22:H$36)+SUM('1.  LRAMVA Summary'!#REF!)*(MONTH($E145)-1)/12)*$H145</f>
        <v>#REF!</v>
      </c>
      <c r="O145" s="188" t="e">
        <f>(SUM('1.  LRAMVA Summary'!I$22:I$36)+SUM('1.  LRAMVA Summary'!#REF!)*(MONTH($E145)-1)/12)*$H145</f>
        <v>#REF!</v>
      </c>
      <c r="P145" s="188"/>
      <c r="Q145" s="189" t="e">
        <f t="shared" si="84"/>
        <v>#REF!</v>
      </c>
    </row>
    <row r="146" spans="5:17" hidden="1" x14ac:dyDescent="0.25">
      <c r="E146" s="186">
        <v>43770</v>
      </c>
      <c r="F146" s="186" t="s">
        <v>380</v>
      </c>
      <c r="G146" s="187" t="s">
        <v>93</v>
      </c>
      <c r="H146" s="485">
        <f t="shared" ref="H146:H147" si="88">$C$51/12</f>
        <v>0</v>
      </c>
      <c r="I146" s="188" t="e">
        <f>(SUM('1.  LRAMVA Summary'!C$22:C$36)+SUM('1.  LRAMVA Summary'!#REF!)*(MONTH($E146)-1)/12)*$H146</f>
        <v>#REF!</v>
      </c>
      <c r="J146" s="188" t="e">
        <f>(SUM('1.  LRAMVA Summary'!D$22:D$36)+SUM('1.  LRAMVA Summary'!#REF!)*(MONTH($E146)-1)/12)*$H146</f>
        <v>#REF!</v>
      </c>
      <c r="K146" s="188" t="e">
        <f>(SUM('1.  LRAMVA Summary'!E$22:E$36)+SUM('1.  LRAMVA Summary'!#REF!)*(MONTH($E146)-1)/12)*$H146</f>
        <v>#REF!</v>
      </c>
      <c r="L146" s="188" t="e">
        <f>(SUM('1.  LRAMVA Summary'!F$22:F$36)+SUM('1.  LRAMVA Summary'!#REF!)*(MONTH($E146)-1)/12)*$H146</f>
        <v>#REF!</v>
      </c>
      <c r="M146" s="188" t="e">
        <f>(SUM('1.  LRAMVA Summary'!G$22:G$36)+SUM('1.  LRAMVA Summary'!#REF!)*(MONTH($E146)-1)/12)*$H146</f>
        <v>#REF!</v>
      </c>
      <c r="N146" s="188" t="e">
        <f>(SUM('1.  LRAMVA Summary'!H$22:H$36)+SUM('1.  LRAMVA Summary'!#REF!)*(MONTH($E146)-1)/12)*$H146</f>
        <v>#REF!</v>
      </c>
      <c r="O146" s="188" t="e">
        <f>(SUM('1.  LRAMVA Summary'!I$22:I$36)+SUM('1.  LRAMVA Summary'!#REF!)*(MONTH($E146)-1)/12)*$H146</f>
        <v>#REF!</v>
      </c>
      <c r="P146" s="188"/>
      <c r="Q146" s="189" t="e">
        <f t="shared" si="84"/>
        <v>#REF!</v>
      </c>
    </row>
    <row r="147" spans="5:17" hidden="1" x14ac:dyDescent="0.25">
      <c r="E147" s="186">
        <v>43800</v>
      </c>
      <c r="F147" s="186" t="s">
        <v>380</v>
      </c>
      <c r="G147" s="187" t="s">
        <v>93</v>
      </c>
      <c r="H147" s="485">
        <f t="shared" si="88"/>
        <v>0</v>
      </c>
      <c r="I147" s="188" t="e">
        <f>(SUM('1.  LRAMVA Summary'!C$22:C$36)+SUM('1.  LRAMVA Summary'!#REF!)*(MONTH($E147)-1)/12)*$H147</f>
        <v>#REF!</v>
      </c>
      <c r="J147" s="188" t="e">
        <f>(SUM('1.  LRAMVA Summary'!D$22:D$36)+SUM('1.  LRAMVA Summary'!#REF!)*(MONTH($E147)-1)/12)*$H147</f>
        <v>#REF!</v>
      </c>
      <c r="K147" s="188" t="e">
        <f>(SUM('1.  LRAMVA Summary'!E$22:E$36)+SUM('1.  LRAMVA Summary'!#REF!)*(MONTH($E147)-1)/12)*$H147</f>
        <v>#REF!</v>
      </c>
      <c r="L147" s="188" t="e">
        <f>(SUM('1.  LRAMVA Summary'!F$22:F$36)+SUM('1.  LRAMVA Summary'!#REF!)*(MONTH($E147)-1)/12)*$H147</f>
        <v>#REF!</v>
      </c>
      <c r="M147" s="188" t="e">
        <f>(SUM('1.  LRAMVA Summary'!G$22:G$36)+SUM('1.  LRAMVA Summary'!#REF!)*(MONTH($E147)-1)/12)*$H147</f>
        <v>#REF!</v>
      </c>
      <c r="N147" s="188" t="e">
        <f>(SUM('1.  LRAMVA Summary'!H$22:H$36)+SUM('1.  LRAMVA Summary'!#REF!)*(MONTH($E147)-1)/12)*$H147</f>
        <v>#REF!</v>
      </c>
      <c r="O147" s="188" t="e">
        <f>(SUM('1.  LRAMVA Summary'!I$22:I$36)+SUM('1.  LRAMVA Summary'!#REF!)*(MONTH($E147)-1)/12)*$H147</f>
        <v>#REF!</v>
      </c>
      <c r="P147" s="188"/>
      <c r="Q147" s="189" t="e">
        <f t="shared" si="84"/>
        <v>#REF!</v>
      </c>
    </row>
    <row r="148" spans="5:17" ht="15.75" hidden="1" thickBot="1" x14ac:dyDescent="0.3">
      <c r="E148" s="198" t="s">
        <v>387</v>
      </c>
      <c r="F148" s="198"/>
      <c r="G148" s="199"/>
      <c r="H148" s="479"/>
      <c r="I148" s="200" t="e">
        <f>SUM(I135:I147)</f>
        <v>#REF!</v>
      </c>
      <c r="J148" s="200" t="e">
        <f>SUM(J135:J147)</f>
        <v>#REF!</v>
      </c>
      <c r="K148" s="200" t="e">
        <f t="shared" ref="K148:P148" si="89">SUM(K135:K147)</f>
        <v>#REF!</v>
      </c>
      <c r="L148" s="200" t="e">
        <f t="shared" si="89"/>
        <v>#REF!</v>
      </c>
      <c r="M148" s="200" t="e">
        <f t="shared" si="89"/>
        <v>#REF!</v>
      </c>
      <c r="N148" s="200" t="e">
        <f t="shared" si="89"/>
        <v>#REF!</v>
      </c>
      <c r="O148" s="200" t="e">
        <f t="shared" si="89"/>
        <v>#REF!</v>
      </c>
      <c r="P148" s="200">
        <f t="shared" si="89"/>
        <v>0</v>
      </c>
      <c r="Q148" s="200" t="e">
        <f>SUM(Q135:Q147)</f>
        <v>#REF!</v>
      </c>
    </row>
    <row r="149" spans="5:17" ht="15.75" hidden="1" thickTop="1" x14ac:dyDescent="0.25">
      <c r="E149" s="229" t="s">
        <v>91</v>
      </c>
      <c r="F149" s="229"/>
      <c r="G149" s="230"/>
      <c r="H149" s="480"/>
      <c r="I149" s="231"/>
      <c r="J149" s="231"/>
      <c r="K149" s="231"/>
      <c r="L149" s="231"/>
      <c r="M149" s="231"/>
      <c r="N149" s="231"/>
      <c r="O149" s="231"/>
      <c r="P149" s="231"/>
      <c r="Q149" s="232"/>
    </row>
    <row r="150" spans="5:17" hidden="1" x14ac:dyDescent="0.25">
      <c r="E150" s="195" t="s">
        <v>400</v>
      </c>
      <c r="F150" s="195"/>
      <c r="G150" s="196"/>
      <c r="H150" s="481"/>
      <c r="I150" s="197" t="e">
        <f>I148+I149</f>
        <v>#REF!</v>
      </c>
      <c r="J150" s="197" t="e">
        <f t="shared" ref="J150" si="90">J148+J149</f>
        <v>#REF!</v>
      </c>
      <c r="K150" s="197" t="e">
        <f t="shared" ref="K150" si="91">K148+K149</f>
        <v>#REF!</v>
      </c>
      <c r="L150" s="197" t="e">
        <f t="shared" ref="L150" si="92">L148+L149</f>
        <v>#REF!</v>
      </c>
      <c r="M150" s="197" t="e">
        <f t="shared" ref="M150" si="93">M148+M149</f>
        <v>#REF!</v>
      </c>
      <c r="N150" s="197" t="e">
        <f t="shared" ref="N150" si="94">N148+N149</f>
        <v>#REF!</v>
      </c>
      <c r="O150" s="197" t="e">
        <f t="shared" ref="O150" si="95">O148+O149</f>
        <v>#REF!</v>
      </c>
      <c r="P150" s="197">
        <f t="shared" ref="P150" si="96">P148+P149</f>
        <v>0</v>
      </c>
      <c r="Q150" s="197" t="e">
        <f>Q148+Q149</f>
        <v>#REF!</v>
      </c>
    </row>
    <row r="151" spans="5:17" hidden="1" x14ac:dyDescent="0.25">
      <c r="E151" s="186">
        <v>43831</v>
      </c>
      <c r="F151" s="186" t="s">
        <v>381</v>
      </c>
      <c r="G151" s="187" t="s">
        <v>89</v>
      </c>
      <c r="H151" s="485">
        <f>$C$52/12</f>
        <v>0</v>
      </c>
      <c r="I151" s="188">
        <f>(SUM('1.  LRAMVA Summary'!C$22:C$36)*(MONTH($E151)-1)/12)*$H151</f>
        <v>0</v>
      </c>
      <c r="J151" s="188">
        <f>(SUM('1.  LRAMVA Summary'!D$22:D$36)*(MONTH($E151)-1)/12)*$H151</f>
        <v>0</v>
      </c>
      <c r="K151" s="188">
        <f>(SUM('1.  LRAMVA Summary'!E$22:E$36)*(MONTH($E151)-1)/12)*$H151</f>
        <v>0</v>
      </c>
      <c r="L151" s="188">
        <f>(SUM('1.  LRAMVA Summary'!F$22:F$36)*(MONTH($E151)-1)/12)*$H151</f>
        <v>0</v>
      </c>
      <c r="M151" s="188">
        <f>(SUM('1.  LRAMVA Summary'!G$22:G$36)*(MONTH($E151)-1)/12)*$H151</f>
        <v>0</v>
      </c>
      <c r="N151" s="188">
        <f>(SUM('1.  LRAMVA Summary'!H$22:H$36)*(MONTH($E151)-1)/12)*$H151</f>
        <v>0</v>
      </c>
      <c r="O151" s="188">
        <f>(SUM('1.  LRAMVA Summary'!I$22:I$36)*(MONTH($E151)-1)/12)*$H151</f>
        <v>0</v>
      </c>
      <c r="P151" s="188"/>
      <c r="Q151" s="189">
        <f>SUM(I151:P151)</f>
        <v>0</v>
      </c>
    </row>
    <row r="152" spans="5:17" hidden="1" x14ac:dyDescent="0.25">
      <c r="E152" s="186">
        <v>43862</v>
      </c>
      <c r="F152" s="186" t="s">
        <v>381</v>
      </c>
      <c r="G152" s="187" t="s">
        <v>89</v>
      </c>
      <c r="H152" s="485">
        <f t="shared" ref="H152:H153" si="97">$C$52/12</f>
        <v>0</v>
      </c>
      <c r="I152" s="188">
        <f>(SUM('1.  LRAMVA Summary'!C$22:C$36)*(MONTH($E152)-1)/12)*$H152</f>
        <v>0</v>
      </c>
      <c r="J152" s="188">
        <f>(SUM('1.  LRAMVA Summary'!D$22:D$36)*(MONTH($E152)-1)/12)*$H152</f>
        <v>0</v>
      </c>
      <c r="K152" s="188">
        <f>(SUM('1.  LRAMVA Summary'!E$22:E$36)*(MONTH($E152)-1)/12)*$H152</f>
        <v>0</v>
      </c>
      <c r="L152" s="188">
        <f>(SUM('1.  LRAMVA Summary'!F$22:F$36)*(MONTH($E152)-1)/12)*$H152</f>
        <v>0</v>
      </c>
      <c r="M152" s="188">
        <f>(SUM('1.  LRAMVA Summary'!G$22:G$36)*(MONTH($E152)-1)/12)*$H152</f>
        <v>0</v>
      </c>
      <c r="N152" s="188">
        <f>(SUM('1.  LRAMVA Summary'!H$22:H$36)*(MONTH($E152)-1)/12)*$H152</f>
        <v>0</v>
      </c>
      <c r="O152" s="188">
        <f>(SUM('1.  LRAMVA Summary'!I$22:I$36)*(MONTH($E152)-1)/12)*$H152</f>
        <v>0</v>
      </c>
      <c r="P152" s="188"/>
      <c r="Q152" s="189">
        <f>SUM(I152:P152)</f>
        <v>0</v>
      </c>
    </row>
    <row r="153" spans="5:17" hidden="1" x14ac:dyDescent="0.25">
      <c r="E153" s="186">
        <v>43891</v>
      </c>
      <c r="F153" s="186" t="s">
        <v>381</v>
      </c>
      <c r="G153" s="187" t="s">
        <v>89</v>
      </c>
      <c r="H153" s="485">
        <f t="shared" si="97"/>
        <v>0</v>
      </c>
      <c r="I153" s="188">
        <f>(SUM('1.  LRAMVA Summary'!C$22:C$36)*(MONTH($E153)-1)/12)*$H153</f>
        <v>0</v>
      </c>
      <c r="J153" s="188">
        <f>(SUM('1.  LRAMVA Summary'!D$22:D$36)*(MONTH($E153)-1)/12)*$H153</f>
        <v>0</v>
      </c>
      <c r="K153" s="188">
        <f>(SUM('1.  LRAMVA Summary'!E$22:E$36)*(MONTH($E153)-1)/12)*$H153</f>
        <v>0</v>
      </c>
      <c r="L153" s="188">
        <f>(SUM('1.  LRAMVA Summary'!F$22:F$36)*(MONTH($E153)-1)/12)*$H153</f>
        <v>0</v>
      </c>
      <c r="M153" s="188">
        <f>(SUM('1.  LRAMVA Summary'!G$22:G$36)*(MONTH($E153)-1)/12)*$H153</f>
        <v>0</v>
      </c>
      <c r="N153" s="188">
        <f>(SUM('1.  LRAMVA Summary'!H$22:H$36)*(MONTH($E153)-1)/12)*$H153</f>
        <v>0</v>
      </c>
      <c r="O153" s="188">
        <f>(SUM('1.  LRAMVA Summary'!I$22:I$36)*(MONTH($E153)-1)/12)*$H153</f>
        <v>0</v>
      </c>
      <c r="P153" s="188"/>
      <c r="Q153" s="189">
        <f t="shared" ref="Q153:Q162" si="98">SUM(I153:P153)</f>
        <v>0</v>
      </c>
    </row>
    <row r="154" spans="5:17" hidden="1" x14ac:dyDescent="0.25">
      <c r="E154" s="186">
        <v>43922</v>
      </c>
      <c r="F154" s="186" t="s">
        <v>381</v>
      </c>
      <c r="G154" s="187" t="s">
        <v>90</v>
      </c>
      <c r="H154" s="485">
        <f>$C$53/12</f>
        <v>0</v>
      </c>
      <c r="I154" s="188">
        <f>(SUM('1.  LRAMVA Summary'!C$22:C$36)*(MONTH($E154)-1)/12)*$H154</f>
        <v>0</v>
      </c>
      <c r="J154" s="188">
        <f>(SUM('1.  LRAMVA Summary'!D$22:D$36)*(MONTH($E154)-1)/12)*$H154</f>
        <v>0</v>
      </c>
      <c r="K154" s="188">
        <f>(SUM('1.  LRAMVA Summary'!E$22:E$36)*(MONTH($E154)-1)/12)*$H154</f>
        <v>0</v>
      </c>
      <c r="L154" s="188">
        <f>(SUM('1.  LRAMVA Summary'!F$22:F$36)*(MONTH($E154)-1)/12)*$H154</f>
        <v>0</v>
      </c>
      <c r="M154" s="188">
        <f>(SUM('1.  LRAMVA Summary'!G$22:G$36)*(MONTH($E154)-1)/12)*$H154</f>
        <v>0</v>
      </c>
      <c r="N154" s="188">
        <f>(SUM('1.  LRAMVA Summary'!H$22:H$36)*(MONTH($E154)-1)/12)*$H154</f>
        <v>0</v>
      </c>
      <c r="O154" s="188">
        <f>(SUM('1.  LRAMVA Summary'!I$22:I$36)*(MONTH($E154)-1)/12)*$H154</f>
        <v>0</v>
      </c>
      <c r="P154" s="188"/>
      <c r="Q154" s="189">
        <f t="shared" si="98"/>
        <v>0</v>
      </c>
    </row>
    <row r="155" spans="5:17" hidden="1" x14ac:dyDescent="0.25">
      <c r="E155" s="186">
        <v>43952</v>
      </c>
      <c r="F155" s="186" t="s">
        <v>381</v>
      </c>
      <c r="G155" s="187" t="s">
        <v>90</v>
      </c>
      <c r="H155" s="485">
        <f t="shared" ref="H155:H156" si="99">$C$53/12</f>
        <v>0</v>
      </c>
      <c r="I155" s="188">
        <f>(SUM('1.  LRAMVA Summary'!C$22:C$36)*(MONTH($E155)-1)/12)*$H155</f>
        <v>0</v>
      </c>
      <c r="J155" s="188">
        <f>(SUM('1.  LRAMVA Summary'!D$22:D$36)*(MONTH($E155)-1)/12)*$H155</f>
        <v>0</v>
      </c>
      <c r="K155" s="188">
        <f>(SUM('1.  LRAMVA Summary'!E$22:E$36)*(MONTH($E155)-1)/12)*$H155</f>
        <v>0</v>
      </c>
      <c r="L155" s="188">
        <f>(SUM('1.  LRAMVA Summary'!F$22:F$36)*(MONTH($E155)-1)/12)*$H155</f>
        <v>0</v>
      </c>
      <c r="M155" s="188">
        <f>(SUM('1.  LRAMVA Summary'!G$22:G$36)*(MONTH($E155)-1)/12)*$H155</f>
        <v>0</v>
      </c>
      <c r="N155" s="188">
        <f>(SUM('1.  LRAMVA Summary'!H$22:H$36)*(MONTH($E155)-1)/12)*$H155</f>
        <v>0</v>
      </c>
      <c r="O155" s="188">
        <f>(SUM('1.  LRAMVA Summary'!I$22:I$36)*(MONTH($E155)-1)/12)*$H155</f>
        <v>0</v>
      </c>
      <c r="P155" s="188"/>
      <c r="Q155" s="189">
        <f t="shared" si="98"/>
        <v>0</v>
      </c>
    </row>
    <row r="156" spans="5:17" hidden="1" x14ac:dyDescent="0.25">
      <c r="E156" s="186">
        <v>43983</v>
      </c>
      <c r="F156" s="186" t="s">
        <v>381</v>
      </c>
      <c r="G156" s="187" t="s">
        <v>90</v>
      </c>
      <c r="H156" s="485">
        <f t="shared" si="99"/>
        <v>0</v>
      </c>
      <c r="I156" s="188">
        <f>(SUM('1.  LRAMVA Summary'!C$22:C$36)*(MONTH($E156)-1)/12)*$H156</f>
        <v>0</v>
      </c>
      <c r="J156" s="188">
        <f>(SUM('1.  LRAMVA Summary'!D$22:D$36)*(MONTH($E156)-1)/12)*$H156</f>
        <v>0</v>
      </c>
      <c r="K156" s="188">
        <f>(SUM('1.  LRAMVA Summary'!E$22:E$36)*(MONTH($E156)-1)/12)*$H156</f>
        <v>0</v>
      </c>
      <c r="L156" s="188">
        <f>(SUM('1.  LRAMVA Summary'!F$22:F$36)*(MONTH($E156)-1)/12)*$H156</f>
        <v>0</v>
      </c>
      <c r="M156" s="188">
        <f>(SUM('1.  LRAMVA Summary'!G$22:G$36)*(MONTH($E156)-1)/12)*$H156</f>
        <v>0</v>
      </c>
      <c r="N156" s="188">
        <f>(SUM('1.  LRAMVA Summary'!H$22:H$36)*(MONTH($E156)-1)/12)*$H156</f>
        <v>0</v>
      </c>
      <c r="O156" s="188">
        <f>(SUM('1.  LRAMVA Summary'!I$22:I$36)*(MONTH($E156)-1)/12)*$H156</f>
        <v>0</v>
      </c>
      <c r="P156" s="188"/>
      <c r="Q156" s="189">
        <f t="shared" si="98"/>
        <v>0</v>
      </c>
    </row>
    <row r="157" spans="5:17" hidden="1" x14ac:dyDescent="0.25">
      <c r="E157" s="186">
        <v>44013</v>
      </c>
      <c r="F157" s="186" t="s">
        <v>381</v>
      </c>
      <c r="G157" s="187" t="s">
        <v>92</v>
      </c>
      <c r="H157" s="485">
        <f>$C$54/12</f>
        <v>0</v>
      </c>
      <c r="I157" s="188">
        <f>(SUM('1.  LRAMVA Summary'!C$22:C$36)*(MONTH($E157)-1)/12)*$H157</f>
        <v>0</v>
      </c>
      <c r="J157" s="188">
        <f>(SUM('1.  LRAMVA Summary'!D$22:D$36)*(MONTH($E157)-1)/12)*$H157</f>
        <v>0</v>
      </c>
      <c r="K157" s="188">
        <f>(SUM('1.  LRAMVA Summary'!E$22:E$36)*(MONTH($E157)-1)/12)*$H157</f>
        <v>0</v>
      </c>
      <c r="L157" s="188">
        <f>(SUM('1.  LRAMVA Summary'!F$22:F$36)*(MONTH($E157)-1)/12)*$H157</f>
        <v>0</v>
      </c>
      <c r="M157" s="188">
        <f>(SUM('1.  LRAMVA Summary'!G$22:G$36)*(MONTH($E157)-1)/12)*$H157</f>
        <v>0</v>
      </c>
      <c r="N157" s="188">
        <f>(SUM('1.  LRAMVA Summary'!H$22:H$36)*(MONTH($E157)-1)/12)*$H157</f>
        <v>0</v>
      </c>
      <c r="O157" s="188">
        <f>(SUM('1.  LRAMVA Summary'!I$22:I$36)*(MONTH($E157)-1)/12)*$H157</f>
        <v>0</v>
      </c>
      <c r="P157" s="188"/>
      <c r="Q157" s="189">
        <f t="shared" si="98"/>
        <v>0</v>
      </c>
    </row>
    <row r="158" spans="5:17" hidden="1" x14ac:dyDescent="0.25">
      <c r="E158" s="186">
        <v>44044</v>
      </c>
      <c r="F158" s="186" t="s">
        <v>381</v>
      </c>
      <c r="G158" s="187" t="s">
        <v>92</v>
      </c>
      <c r="H158" s="485">
        <f t="shared" ref="H158:H159" si="100">$C$54/12</f>
        <v>0</v>
      </c>
      <c r="I158" s="188">
        <f>(SUM('1.  LRAMVA Summary'!C$22:C$36)*(MONTH($E158)-1)/12)*$H158</f>
        <v>0</v>
      </c>
      <c r="J158" s="188">
        <f>(SUM('1.  LRAMVA Summary'!D$22:D$36)*(MONTH($E158)-1)/12)*$H158</f>
        <v>0</v>
      </c>
      <c r="K158" s="188">
        <f>(SUM('1.  LRAMVA Summary'!E$22:E$36)*(MONTH($E158)-1)/12)*$H158</f>
        <v>0</v>
      </c>
      <c r="L158" s="188">
        <f>(SUM('1.  LRAMVA Summary'!F$22:F$36)*(MONTH($E158)-1)/12)*$H158</f>
        <v>0</v>
      </c>
      <c r="M158" s="188">
        <f>(SUM('1.  LRAMVA Summary'!G$22:G$36)*(MONTH($E158)-1)/12)*$H158</f>
        <v>0</v>
      </c>
      <c r="N158" s="188">
        <f>(SUM('1.  LRAMVA Summary'!H$22:H$36)*(MONTH($E158)-1)/12)*$H158</f>
        <v>0</v>
      </c>
      <c r="O158" s="188">
        <f>(SUM('1.  LRAMVA Summary'!I$22:I$36)*(MONTH($E158)-1)/12)*$H158</f>
        <v>0</v>
      </c>
      <c r="P158" s="188"/>
      <c r="Q158" s="189">
        <f t="shared" si="98"/>
        <v>0</v>
      </c>
    </row>
    <row r="159" spans="5:17" hidden="1" x14ac:dyDescent="0.25">
      <c r="E159" s="186">
        <v>44075</v>
      </c>
      <c r="F159" s="186" t="s">
        <v>381</v>
      </c>
      <c r="G159" s="187" t="s">
        <v>92</v>
      </c>
      <c r="H159" s="485">
        <f t="shared" si="100"/>
        <v>0</v>
      </c>
      <c r="I159" s="188">
        <f>(SUM('1.  LRAMVA Summary'!C$22:C$36)*(MONTH($E159)-1)/12)*$H159</f>
        <v>0</v>
      </c>
      <c r="J159" s="188">
        <f>(SUM('1.  LRAMVA Summary'!D$22:D$36)*(MONTH($E159)-1)/12)*$H159</f>
        <v>0</v>
      </c>
      <c r="K159" s="188">
        <f>(SUM('1.  LRAMVA Summary'!E$22:E$36)*(MONTH($E159)-1)/12)*$H159</f>
        <v>0</v>
      </c>
      <c r="L159" s="188">
        <f>(SUM('1.  LRAMVA Summary'!F$22:F$36)*(MONTH($E159)-1)/12)*$H159</f>
        <v>0</v>
      </c>
      <c r="M159" s="188">
        <f>(SUM('1.  LRAMVA Summary'!G$22:G$36)*(MONTH($E159)-1)/12)*$H159</f>
        <v>0</v>
      </c>
      <c r="N159" s="188">
        <f>(SUM('1.  LRAMVA Summary'!H$22:H$36)*(MONTH($E159)-1)/12)*$H159</f>
        <v>0</v>
      </c>
      <c r="O159" s="188">
        <f>(SUM('1.  LRAMVA Summary'!I$22:I$36)*(MONTH($E159)-1)/12)*$H159</f>
        <v>0</v>
      </c>
      <c r="P159" s="188"/>
      <c r="Q159" s="189">
        <f t="shared" si="98"/>
        <v>0</v>
      </c>
    </row>
    <row r="160" spans="5:17" hidden="1" x14ac:dyDescent="0.25">
      <c r="E160" s="186">
        <v>44105</v>
      </c>
      <c r="F160" s="186" t="s">
        <v>381</v>
      </c>
      <c r="G160" s="187" t="s">
        <v>93</v>
      </c>
      <c r="H160" s="485">
        <f>$C$55/12</f>
        <v>0</v>
      </c>
      <c r="I160" s="188">
        <f>(SUM('1.  LRAMVA Summary'!C$22:C$36)*(MONTH($E160)-1)/12)*$H160</f>
        <v>0</v>
      </c>
      <c r="J160" s="188">
        <f>(SUM('1.  LRAMVA Summary'!D$22:D$36)*(MONTH($E160)-1)/12)*$H160</f>
        <v>0</v>
      </c>
      <c r="K160" s="188">
        <f>(SUM('1.  LRAMVA Summary'!E$22:E$36)*(MONTH($E160)-1)/12)*$H160</f>
        <v>0</v>
      </c>
      <c r="L160" s="188">
        <f>(SUM('1.  LRAMVA Summary'!F$22:F$36)*(MONTH($E160)-1)/12)*$H160</f>
        <v>0</v>
      </c>
      <c r="M160" s="188">
        <f>(SUM('1.  LRAMVA Summary'!G$22:G$36)*(MONTH($E160)-1)/12)*$H160</f>
        <v>0</v>
      </c>
      <c r="N160" s="188">
        <f>(SUM('1.  LRAMVA Summary'!H$22:H$36)*(MONTH($E160)-1)/12)*$H160</f>
        <v>0</v>
      </c>
      <c r="O160" s="188">
        <f>(SUM('1.  LRAMVA Summary'!I$22:I$36)*(MONTH($E160)-1)/12)*$H160</f>
        <v>0</v>
      </c>
      <c r="P160" s="188"/>
      <c r="Q160" s="189">
        <f t="shared" si="98"/>
        <v>0</v>
      </c>
    </row>
    <row r="161" spans="5:17" hidden="1" x14ac:dyDescent="0.25">
      <c r="E161" s="186">
        <v>44136</v>
      </c>
      <c r="F161" s="186" t="s">
        <v>381</v>
      </c>
      <c r="G161" s="187" t="s">
        <v>93</v>
      </c>
      <c r="H161" s="485">
        <f t="shared" ref="H161:H162" si="101">$C$55/12</f>
        <v>0</v>
      </c>
      <c r="I161" s="188">
        <f>(SUM('1.  LRAMVA Summary'!C$22:C$36)*(MONTH($E161)-1)/12)*$H161</f>
        <v>0</v>
      </c>
      <c r="J161" s="188">
        <f>(SUM('1.  LRAMVA Summary'!D$22:D$36)*(MONTH($E161)-1)/12)*$H161</f>
        <v>0</v>
      </c>
      <c r="K161" s="188">
        <f>(SUM('1.  LRAMVA Summary'!E$22:E$36)*(MONTH($E161)-1)/12)*$H161</f>
        <v>0</v>
      </c>
      <c r="L161" s="188">
        <f>(SUM('1.  LRAMVA Summary'!F$22:F$36)*(MONTH($E161)-1)/12)*$H161</f>
        <v>0</v>
      </c>
      <c r="M161" s="188">
        <f>(SUM('1.  LRAMVA Summary'!G$22:G$36)*(MONTH($E161)-1)/12)*$H161</f>
        <v>0</v>
      </c>
      <c r="N161" s="188">
        <f>(SUM('1.  LRAMVA Summary'!H$22:H$36)*(MONTH($E161)-1)/12)*$H161</f>
        <v>0</v>
      </c>
      <c r="O161" s="188">
        <f>(SUM('1.  LRAMVA Summary'!I$22:I$36)*(MONTH($E161)-1)/12)*$H161</f>
        <v>0</v>
      </c>
      <c r="P161" s="188"/>
      <c r="Q161" s="189">
        <f t="shared" si="98"/>
        <v>0</v>
      </c>
    </row>
    <row r="162" spans="5:17" hidden="1" x14ac:dyDescent="0.25">
      <c r="E162" s="186">
        <v>44166</v>
      </c>
      <c r="F162" s="186" t="s">
        <v>381</v>
      </c>
      <c r="G162" s="187" t="s">
        <v>93</v>
      </c>
      <c r="H162" s="485">
        <f t="shared" si="101"/>
        <v>0</v>
      </c>
      <c r="I162" s="188">
        <f>(SUM('1.  LRAMVA Summary'!C$22:C$36)*(MONTH($E162)-1)/12)*$H162</f>
        <v>0</v>
      </c>
      <c r="J162" s="188">
        <f>(SUM('1.  LRAMVA Summary'!D$22:D$36)*(MONTH($E162)-1)/12)*$H162</f>
        <v>0</v>
      </c>
      <c r="K162" s="188">
        <f>(SUM('1.  LRAMVA Summary'!E$22:E$36)*(MONTH($E162)-1)/12)*$H162</f>
        <v>0</v>
      </c>
      <c r="L162" s="188">
        <f>(SUM('1.  LRAMVA Summary'!F$22:F$36)*(MONTH($E162)-1)/12)*$H162</f>
        <v>0</v>
      </c>
      <c r="M162" s="188">
        <f>(SUM('1.  LRAMVA Summary'!G$22:G$36)*(MONTH($E162)-1)/12)*$H162</f>
        <v>0</v>
      </c>
      <c r="N162" s="188">
        <f>(SUM('1.  LRAMVA Summary'!H$22:H$36)*(MONTH($E162)-1)/12)*$H162</f>
        <v>0</v>
      </c>
      <c r="O162" s="188">
        <f>(SUM('1.  LRAMVA Summary'!I$22:I$36)*(MONTH($E162)-1)/12)*$H162</f>
        <v>0</v>
      </c>
      <c r="P162" s="188"/>
      <c r="Q162" s="189">
        <f t="shared" si="98"/>
        <v>0</v>
      </c>
    </row>
    <row r="163" spans="5:17" ht="15.75" hidden="1" thickBot="1" x14ac:dyDescent="0.3">
      <c r="E163" s="198" t="s">
        <v>388</v>
      </c>
      <c r="F163" s="198"/>
      <c r="G163" s="199"/>
      <c r="H163" s="479"/>
      <c r="I163" s="200" t="e">
        <f>SUM(I150:I162)</f>
        <v>#REF!</v>
      </c>
      <c r="J163" s="200" t="e">
        <f>SUM(J150:J162)</f>
        <v>#REF!</v>
      </c>
      <c r="K163" s="200" t="e">
        <f t="shared" ref="K163:P163" si="102">SUM(K150:K162)</f>
        <v>#REF!</v>
      </c>
      <c r="L163" s="200" t="e">
        <f t="shared" si="102"/>
        <v>#REF!</v>
      </c>
      <c r="M163" s="200" t="e">
        <f t="shared" si="102"/>
        <v>#REF!</v>
      </c>
      <c r="N163" s="200" t="e">
        <f t="shared" si="102"/>
        <v>#REF!</v>
      </c>
      <c r="O163" s="200" t="e">
        <f t="shared" si="102"/>
        <v>#REF!</v>
      </c>
      <c r="P163" s="200">
        <f t="shared" si="102"/>
        <v>0</v>
      </c>
      <c r="Q163" s="200" t="e">
        <f>SUM(Q150:Q162)</f>
        <v>#REF!</v>
      </c>
    </row>
    <row r="164" spans="5:17" ht="15.75" hidden="1" thickTop="1" x14ac:dyDescent="0.25">
      <c r="E164" s="229" t="s">
        <v>91</v>
      </c>
      <c r="F164" s="229"/>
      <c r="G164" s="230"/>
      <c r="H164" s="480"/>
      <c r="I164" s="231"/>
      <c r="J164" s="231"/>
      <c r="K164" s="231"/>
      <c r="L164" s="231"/>
      <c r="M164" s="231"/>
      <c r="N164" s="231"/>
      <c r="O164" s="231"/>
      <c r="P164" s="231"/>
      <c r="Q164" s="232"/>
    </row>
  </sheetData>
  <mergeCells count="3">
    <mergeCell ref="B3:Q3"/>
    <mergeCell ref="D7:Q7"/>
    <mergeCell ref="B13:C13"/>
  </mergeCells>
  <hyperlinks>
    <hyperlink ref="B57" r:id="rId1"/>
  </hyperlinks>
  <pageMargins left="0.24" right="0.3" top="0.37" bottom="0.28000000000000003" header="0.3" footer="0.24"/>
  <pageSetup scale="65" orientation="landscape"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7"/>
  <sheetViews>
    <sheetView zoomScale="90" zoomScaleNormal="90" workbookViewId="0">
      <selection activeCell="A3" sqref="A3"/>
    </sheetView>
  </sheetViews>
  <sheetFormatPr defaultRowHeight="15" x14ac:dyDescent="0.25"/>
  <cols>
    <col min="1" max="1" width="9.140625" style="26"/>
    <col min="2" max="2" width="20.42578125" style="24" customWidth="1"/>
    <col min="3" max="3" width="17" style="26" customWidth="1"/>
    <col min="4" max="4" width="13.42578125" style="26" customWidth="1"/>
    <col min="5" max="5" width="16.85546875" style="26" customWidth="1"/>
    <col min="6" max="7" width="9.140625" style="26"/>
    <col min="8" max="8" width="16.85546875" style="25" customWidth="1"/>
    <col min="9" max="16384" width="9.140625" style="26"/>
  </cols>
  <sheetData>
    <row r="1" spans="2:11" ht="146.25" customHeight="1" x14ac:dyDescent="0.25"/>
    <row r="3" spans="2:11" x14ac:dyDescent="0.25">
      <c r="B3" s="538" t="s">
        <v>494</v>
      </c>
      <c r="C3" s="539"/>
      <c r="D3" s="539"/>
      <c r="E3" s="539"/>
      <c r="F3" s="539"/>
      <c r="G3" s="539"/>
      <c r="H3" s="539"/>
      <c r="I3" s="539"/>
      <c r="J3" s="539"/>
      <c r="K3" s="540"/>
    </row>
    <row r="4" spans="2:11" ht="15" customHeight="1" x14ac:dyDescent="0.25">
      <c r="B4" s="541"/>
      <c r="C4" s="542"/>
      <c r="D4" s="542"/>
      <c r="E4" s="542"/>
      <c r="F4" s="542"/>
      <c r="G4" s="542"/>
      <c r="H4" s="542"/>
      <c r="I4" s="542"/>
      <c r="J4" s="542"/>
      <c r="K4" s="543"/>
    </row>
    <row r="5" spans="2:11" ht="15" customHeight="1" x14ac:dyDescent="0.25">
      <c r="B5" s="541"/>
      <c r="C5" s="542"/>
      <c r="D5" s="542"/>
      <c r="E5" s="542"/>
      <c r="F5" s="542"/>
      <c r="G5" s="542"/>
      <c r="H5" s="542"/>
      <c r="I5" s="542"/>
      <c r="J5" s="542"/>
      <c r="K5" s="543"/>
    </row>
    <row r="6" spans="2:11" x14ac:dyDescent="0.25">
      <c r="B6" s="541"/>
      <c r="C6" s="542"/>
      <c r="D6" s="542"/>
      <c r="E6" s="542"/>
      <c r="F6" s="542"/>
      <c r="G6" s="542"/>
      <c r="H6" s="542"/>
      <c r="I6" s="542"/>
      <c r="J6" s="542"/>
      <c r="K6" s="543"/>
    </row>
    <row r="7" spans="2:11" x14ac:dyDescent="0.25">
      <c r="B7" s="544"/>
      <c r="C7" s="545"/>
      <c r="D7" s="545"/>
      <c r="E7" s="545"/>
      <c r="F7" s="545"/>
      <c r="G7" s="545"/>
      <c r="H7" s="545"/>
      <c r="I7" s="545"/>
      <c r="J7" s="545"/>
      <c r="K7" s="546"/>
    </row>
    <row r="9" spans="2:11" s="460" customFormat="1" ht="18.75" x14ac:dyDescent="0.3">
      <c r="B9" s="462"/>
      <c r="C9" s="461" t="s">
        <v>445</v>
      </c>
      <c r="H9" s="463"/>
      <c r="I9" s="461" t="s">
        <v>446</v>
      </c>
    </row>
    <row r="11" spans="2:11" x14ac:dyDescent="0.25">
      <c r="B11" s="83" t="s">
        <v>455</v>
      </c>
      <c r="C11" s="474" t="s">
        <v>462</v>
      </c>
      <c r="D11" s="475"/>
      <c r="E11" s="476"/>
      <c r="F11" s="477" t="s">
        <v>454</v>
      </c>
      <c r="G11" s="66"/>
      <c r="H11" s="547" t="s">
        <v>448</v>
      </c>
      <c r="I11" s="474" t="s">
        <v>447</v>
      </c>
      <c r="J11" s="475"/>
      <c r="K11" s="476"/>
    </row>
    <row r="12" spans="2:11" x14ac:dyDescent="0.25">
      <c r="B12" s="83" t="s">
        <v>495</v>
      </c>
      <c r="C12" s="427" t="s">
        <v>463</v>
      </c>
      <c r="D12" s="160"/>
      <c r="E12" s="354"/>
      <c r="F12" s="477" t="s">
        <v>454</v>
      </c>
      <c r="G12" s="66"/>
      <c r="H12" s="547"/>
      <c r="I12" s="427" t="s">
        <v>449</v>
      </c>
      <c r="J12" s="160"/>
      <c r="K12" s="354"/>
    </row>
    <row r="13" spans="2:11" x14ac:dyDescent="0.25">
      <c r="B13" s="83" t="s">
        <v>456</v>
      </c>
      <c r="C13" s="428" t="s">
        <v>450</v>
      </c>
      <c r="D13" s="334"/>
      <c r="E13" s="404"/>
      <c r="F13" s="477" t="s">
        <v>454</v>
      </c>
      <c r="G13" s="66"/>
      <c r="H13" s="547"/>
      <c r="I13" s="428" t="s">
        <v>451</v>
      </c>
      <c r="J13" s="334"/>
      <c r="K13" s="404"/>
    </row>
    <row r="14" spans="2:11" x14ac:dyDescent="0.25">
      <c r="B14" s="83"/>
      <c r="C14" s="66"/>
      <c r="D14" s="66"/>
      <c r="E14" s="66"/>
      <c r="F14" s="66"/>
      <c r="G14" s="66"/>
      <c r="H14" s="472"/>
      <c r="I14" s="66"/>
      <c r="J14" s="66"/>
      <c r="K14" s="66"/>
    </row>
    <row r="15" spans="2:11" ht="15" customHeight="1" x14ac:dyDescent="0.25">
      <c r="B15" s="548" t="s">
        <v>495</v>
      </c>
      <c r="C15" s="474"/>
      <c r="D15" s="475"/>
      <c r="E15" s="476"/>
      <c r="F15" s="66"/>
      <c r="G15" s="66"/>
      <c r="H15" s="547" t="s">
        <v>496</v>
      </c>
      <c r="I15" s="549" t="s">
        <v>457</v>
      </c>
      <c r="J15" s="550"/>
      <c r="K15" s="551"/>
    </row>
    <row r="16" spans="2:11" x14ac:dyDescent="0.25">
      <c r="B16" s="548"/>
      <c r="C16" s="427" t="s">
        <v>464</v>
      </c>
      <c r="D16" s="160"/>
      <c r="E16" s="354"/>
      <c r="F16" s="66"/>
      <c r="G16" s="66"/>
      <c r="H16" s="547"/>
      <c r="I16" s="552"/>
      <c r="J16" s="553"/>
      <c r="K16" s="554"/>
    </row>
    <row r="17" spans="2:11" x14ac:dyDescent="0.25">
      <c r="B17" s="548"/>
      <c r="C17" s="427" t="s">
        <v>452</v>
      </c>
      <c r="D17" s="160"/>
      <c r="E17" s="354"/>
      <c r="F17" s="66"/>
      <c r="G17" s="66"/>
      <c r="H17" s="547"/>
      <c r="I17" s="552"/>
      <c r="J17" s="553"/>
      <c r="K17" s="554"/>
    </row>
    <row r="18" spans="2:11" x14ac:dyDescent="0.25">
      <c r="B18" s="548"/>
      <c r="C18" s="427" t="s">
        <v>465</v>
      </c>
      <c r="D18" s="160"/>
      <c r="E18" s="354"/>
      <c r="F18" s="66"/>
      <c r="G18" s="66"/>
      <c r="H18" s="547"/>
      <c r="I18" s="552"/>
      <c r="J18" s="553"/>
      <c r="K18" s="554"/>
    </row>
    <row r="19" spans="2:11" x14ac:dyDescent="0.25">
      <c r="B19" s="548"/>
      <c r="C19" s="427" t="s">
        <v>452</v>
      </c>
      <c r="D19" s="160"/>
      <c r="E19" s="354"/>
      <c r="F19" s="66"/>
      <c r="G19" s="66"/>
      <c r="H19" s="547"/>
      <c r="I19" s="552"/>
      <c r="J19" s="553"/>
      <c r="K19" s="554"/>
    </row>
    <row r="20" spans="2:11" x14ac:dyDescent="0.25">
      <c r="B20" s="548"/>
      <c r="C20" s="427" t="s">
        <v>453</v>
      </c>
      <c r="D20" s="160"/>
      <c r="E20" s="354"/>
      <c r="F20" s="66"/>
      <c r="G20" s="66"/>
      <c r="H20" s="547"/>
      <c r="I20" s="552"/>
      <c r="J20" s="553"/>
      <c r="K20" s="554"/>
    </row>
    <row r="21" spans="2:11" x14ac:dyDescent="0.25">
      <c r="B21" s="83"/>
      <c r="C21" s="428"/>
      <c r="D21" s="334"/>
      <c r="E21" s="404"/>
      <c r="F21" s="66"/>
      <c r="G21" s="66"/>
      <c r="H21" s="547"/>
      <c r="I21" s="552"/>
      <c r="J21" s="553"/>
      <c r="K21" s="554"/>
    </row>
    <row r="22" spans="2:11" x14ac:dyDescent="0.25">
      <c r="B22" s="83"/>
      <c r="C22" s="66"/>
      <c r="D22" s="66"/>
      <c r="E22" s="66"/>
      <c r="F22" s="66"/>
      <c r="G22" s="66"/>
      <c r="H22" s="547"/>
      <c r="I22" s="552"/>
      <c r="J22" s="553"/>
      <c r="K22" s="554"/>
    </row>
    <row r="23" spans="2:11" x14ac:dyDescent="0.25">
      <c r="B23" s="83" t="s">
        <v>474</v>
      </c>
      <c r="C23" s="474" t="s">
        <v>458</v>
      </c>
      <c r="D23" s="475"/>
      <c r="E23" s="476"/>
      <c r="F23" s="66"/>
      <c r="G23" s="66"/>
      <c r="H23" s="547"/>
      <c r="I23" s="552"/>
      <c r="J23" s="553"/>
      <c r="K23" s="554"/>
    </row>
    <row r="24" spans="2:11" x14ac:dyDescent="0.25">
      <c r="B24" s="83"/>
      <c r="C24" s="427" t="s">
        <v>452</v>
      </c>
      <c r="D24" s="160"/>
      <c r="E24" s="354"/>
      <c r="F24" s="66"/>
      <c r="G24" s="66"/>
      <c r="H24" s="547"/>
      <c r="I24" s="552"/>
      <c r="J24" s="553"/>
      <c r="K24" s="554"/>
    </row>
    <row r="25" spans="2:11" x14ac:dyDescent="0.25">
      <c r="B25" s="83" t="s">
        <v>495</v>
      </c>
      <c r="C25" s="427" t="s">
        <v>459</v>
      </c>
      <c r="D25" s="160"/>
      <c r="E25" s="354"/>
      <c r="F25" s="66"/>
      <c r="G25" s="66"/>
      <c r="H25" s="547"/>
      <c r="I25" s="552"/>
      <c r="J25" s="553"/>
      <c r="K25" s="554"/>
    </row>
    <row r="26" spans="2:11" x14ac:dyDescent="0.25">
      <c r="B26" s="83"/>
      <c r="C26" s="428"/>
      <c r="D26" s="334"/>
      <c r="E26" s="404"/>
      <c r="F26" s="66"/>
      <c r="G26" s="66"/>
      <c r="H26" s="547"/>
      <c r="I26" s="552"/>
      <c r="J26" s="553"/>
      <c r="K26" s="554"/>
    </row>
    <row r="27" spans="2:11" x14ac:dyDescent="0.25">
      <c r="B27" s="83"/>
      <c r="C27" s="66"/>
      <c r="D27" s="66"/>
      <c r="E27" s="66"/>
      <c r="F27" s="66"/>
      <c r="G27" s="66"/>
      <c r="H27" s="547"/>
      <c r="I27" s="555"/>
      <c r="J27" s="556"/>
      <c r="K27" s="557"/>
    </row>
  </sheetData>
  <mergeCells count="5">
    <mergeCell ref="B3:K7"/>
    <mergeCell ref="H11:H13"/>
    <mergeCell ref="B15:B20"/>
    <mergeCell ref="I15:K27"/>
    <mergeCell ref="H15:H27"/>
  </mergeCells>
  <pageMargins left="0.7" right="0.7" top="0.75" bottom="0.75" header="0.3" footer="0.3"/>
  <pageSetup scale="77"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42"/>
  <sheetViews>
    <sheetView zoomScale="90" zoomScaleNormal="90" workbookViewId="0">
      <pane ySplit="3" topLeftCell="A4" activePane="bottomLeft" state="frozen"/>
      <selection pane="bottomLeft" activeCell="B19" sqref="B19:K38"/>
    </sheetView>
  </sheetViews>
  <sheetFormatPr defaultRowHeight="15.75" outlineLevelRow="1" x14ac:dyDescent="0.25"/>
  <cols>
    <col min="1" max="1" width="7" style="23" customWidth="1"/>
    <col min="2" max="2" width="27.28515625" style="23" customWidth="1"/>
    <col min="3" max="3" width="29" style="23" customWidth="1"/>
    <col min="4" max="4" width="19.85546875" style="45" customWidth="1"/>
    <col min="5" max="5" width="23" style="23" customWidth="1"/>
    <col min="6" max="6" width="31.140625" style="23" hidden="1" customWidth="1"/>
    <col min="7" max="7" width="22.85546875" style="23" hidden="1" customWidth="1"/>
    <col min="8" max="8" width="20.85546875" style="23" hidden="1" customWidth="1"/>
    <col min="9" max="9" width="16.42578125" style="23" hidden="1" customWidth="1"/>
    <col min="10" max="10" width="14.42578125" style="23" customWidth="1"/>
    <col min="11" max="11" width="15.5703125" style="23" customWidth="1"/>
    <col min="12" max="12" width="10.7109375" style="23" customWidth="1"/>
    <col min="13" max="13" width="13.7109375" style="17" customWidth="1"/>
    <col min="14" max="14" width="6.28515625" style="17" customWidth="1"/>
    <col min="15" max="15" width="3.140625" style="23" customWidth="1"/>
    <col min="16" max="16" width="15.28515625" style="23" customWidth="1"/>
    <col min="17" max="16384" width="9.140625" style="23"/>
  </cols>
  <sheetData>
    <row r="1" spans="2:15" ht="144" customHeight="1" x14ac:dyDescent="0.25"/>
    <row r="3" spans="2:15" ht="30.75" customHeight="1" x14ac:dyDescent="0.3">
      <c r="B3" s="558" t="s">
        <v>337</v>
      </c>
      <c r="C3" s="558"/>
      <c r="D3" s="558"/>
      <c r="E3" s="558"/>
      <c r="F3" s="558"/>
      <c r="G3" s="558"/>
      <c r="H3" s="558"/>
      <c r="I3" s="558"/>
      <c r="J3" s="558"/>
      <c r="K3" s="558"/>
    </row>
    <row r="4" spans="2:15" ht="13.5" customHeight="1" x14ac:dyDescent="0.3">
      <c r="B4" s="235"/>
      <c r="C4" s="235"/>
      <c r="D4" s="235"/>
      <c r="E4" s="235"/>
      <c r="F4" s="235"/>
      <c r="G4" s="235"/>
      <c r="H4" s="235"/>
      <c r="I4" s="235"/>
      <c r="J4" s="235"/>
      <c r="K4" s="235"/>
    </row>
    <row r="5" spans="2:15" ht="18" customHeight="1" outlineLevel="1" x14ac:dyDescent="0.25">
      <c r="B5" s="560" t="s">
        <v>506</v>
      </c>
      <c r="C5" s="560"/>
      <c r="D5" s="560"/>
      <c r="E5" s="560"/>
      <c r="F5" s="560"/>
      <c r="G5" s="560"/>
      <c r="H5" s="560"/>
      <c r="I5" s="560"/>
      <c r="J5" s="560"/>
      <c r="K5" s="560"/>
    </row>
    <row r="6" spans="2:15" ht="12.75" customHeight="1" outlineLevel="1" x14ac:dyDescent="0.3">
      <c r="B6" s="235"/>
      <c r="C6" s="235"/>
      <c r="D6" s="235"/>
      <c r="E6" s="235"/>
      <c r="F6" s="235"/>
      <c r="G6" s="235"/>
      <c r="H6" s="235"/>
      <c r="I6" s="235"/>
      <c r="J6" s="235"/>
      <c r="K6" s="235"/>
    </row>
    <row r="7" spans="2:15" ht="12" customHeight="1" outlineLevel="1" thickBot="1" x14ac:dyDescent="0.35">
      <c r="B7" s="235"/>
      <c r="C7" s="235"/>
      <c r="D7" s="235"/>
      <c r="E7" s="235"/>
      <c r="F7" s="235"/>
      <c r="G7" s="235"/>
      <c r="H7" s="235"/>
      <c r="I7" s="235"/>
      <c r="J7" s="235"/>
      <c r="K7" s="235"/>
    </row>
    <row r="8" spans="2:15" outlineLevel="1" thickBot="1" x14ac:dyDescent="0.3">
      <c r="C8" s="366" t="s">
        <v>212</v>
      </c>
      <c r="D8" s="416" t="s">
        <v>508</v>
      </c>
      <c r="J8" s="4"/>
      <c r="K8" s="4"/>
    </row>
    <row r="9" spans="2:15" ht="15.75" customHeight="1" outlineLevel="1" thickBot="1" x14ac:dyDescent="0.3">
      <c r="C9" s="465" t="s">
        <v>209</v>
      </c>
      <c r="D9" s="416"/>
      <c r="F9" s="561" t="s">
        <v>403</v>
      </c>
      <c r="G9" s="562"/>
      <c r="H9" s="510">
        <f>381936+559230</f>
        <v>941166</v>
      </c>
      <c r="M9" s="23"/>
      <c r="O9" s="17"/>
    </row>
    <row r="10" spans="2:15" outlineLevel="1" thickBot="1" x14ac:dyDescent="0.3">
      <c r="C10" s="366" t="s">
        <v>210</v>
      </c>
      <c r="D10" s="416"/>
      <c r="F10" s="365" t="s">
        <v>443</v>
      </c>
      <c r="G10" s="365"/>
      <c r="H10" s="535" t="s">
        <v>509</v>
      </c>
      <c r="M10" s="23"/>
      <c r="O10" s="17"/>
    </row>
    <row r="11" spans="2:15" ht="15" customHeight="1" outlineLevel="1" thickBot="1" x14ac:dyDescent="0.3">
      <c r="C11" s="465" t="s">
        <v>211</v>
      </c>
      <c r="D11" s="416"/>
      <c r="F11" s="561" t="s">
        <v>402</v>
      </c>
      <c r="G11" s="562"/>
      <c r="H11" s="416" t="s">
        <v>510</v>
      </c>
      <c r="M11" s="23"/>
      <c r="O11" s="17"/>
    </row>
    <row r="12" spans="2:15" outlineLevel="1" thickBot="1" x14ac:dyDescent="0.3">
      <c r="C12" s="366" t="s">
        <v>213</v>
      </c>
      <c r="D12" s="416"/>
      <c r="F12" s="86"/>
      <c r="G12" s="86"/>
      <c r="K12" s="4"/>
      <c r="L12" s="4"/>
      <c r="M12" s="23"/>
      <c r="O12" s="17"/>
    </row>
    <row r="13" spans="2:15" outlineLevel="1" thickBot="1" x14ac:dyDescent="0.3">
      <c r="C13" s="17"/>
      <c r="D13" s="23"/>
      <c r="F13" s="367"/>
      <c r="G13" s="367"/>
      <c r="H13" s="81"/>
      <c r="K13" s="4"/>
      <c r="L13" s="4"/>
      <c r="M13" s="23"/>
      <c r="O13" s="17"/>
    </row>
    <row r="14" spans="2:15" ht="29.25" outlineLevel="1" thickBot="1" x14ac:dyDescent="0.3">
      <c r="C14" s="559" t="s">
        <v>338</v>
      </c>
      <c r="D14" s="203" t="s">
        <v>365</v>
      </c>
      <c r="F14" s="371" t="s">
        <v>413</v>
      </c>
      <c r="G14" s="371"/>
      <c r="H14" s="534">
        <f>K38</f>
        <v>-3048.7792743907066</v>
      </c>
      <c r="M14" s="23"/>
      <c r="O14" s="17"/>
    </row>
    <row r="15" spans="2:15" outlineLevel="1" thickBot="1" x14ac:dyDescent="0.3">
      <c r="C15" s="559"/>
      <c r="D15" s="85" t="s">
        <v>339</v>
      </c>
      <c r="F15" s="563" t="s">
        <v>467</v>
      </c>
      <c r="G15" s="564"/>
      <c r="H15" s="517"/>
      <c r="M15" s="23"/>
      <c r="O15" s="17"/>
    </row>
    <row r="16" spans="2:15" ht="15" outlineLevel="1" x14ac:dyDescent="0.25">
      <c r="D16" s="23"/>
      <c r="F16" s="17"/>
      <c r="H16" s="467"/>
    </row>
    <row r="17" spans="1:15" ht="15" outlineLevel="1" x14ac:dyDescent="0.25">
      <c r="A17" s="71"/>
      <c r="B17" s="72"/>
      <c r="C17" s="77"/>
      <c r="D17" s="23"/>
    </row>
    <row r="18" spans="1:15" ht="15" outlineLevel="1" x14ac:dyDescent="0.25">
      <c r="A18" s="68"/>
      <c r="B18" s="67"/>
      <c r="D18" s="23"/>
    </row>
    <row r="19" spans="1:15" s="68" customFormat="1" ht="21" x14ac:dyDescent="0.25">
      <c r="B19" s="113" t="s">
        <v>347</v>
      </c>
      <c r="C19" s="120"/>
      <c r="D19" s="120"/>
      <c r="E19" s="120"/>
      <c r="F19" s="120"/>
      <c r="G19" s="120"/>
      <c r="H19" s="120"/>
      <c r="I19" s="120"/>
      <c r="J19" s="120"/>
      <c r="K19" s="120"/>
      <c r="M19" s="121"/>
      <c r="N19" s="52"/>
      <c r="O19" s="122"/>
    </row>
    <row r="20" spans="1:15" ht="12" customHeight="1" x14ac:dyDescent="0.25">
      <c r="B20" s="76"/>
      <c r="C20" s="76"/>
      <c r="D20" s="76"/>
      <c r="E20" s="76"/>
      <c r="F20" s="76"/>
      <c r="G20" s="76"/>
      <c r="H20" s="76"/>
      <c r="I20" s="76"/>
      <c r="J20" s="76"/>
      <c r="K20" s="76"/>
      <c r="N20" s="52"/>
      <c r="O20" s="29"/>
    </row>
    <row r="21" spans="1:15" ht="36" customHeight="1" x14ac:dyDescent="0.25">
      <c r="B21" s="94" t="s">
        <v>49</v>
      </c>
      <c r="C21" s="95" t="s">
        <v>38</v>
      </c>
      <c r="D21" s="95" t="s">
        <v>40</v>
      </c>
      <c r="E21" s="95" t="s">
        <v>511</v>
      </c>
      <c r="F21" s="95" t="s">
        <v>110</v>
      </c>
      <c r="G21" s="95" t="s">
        <v>41</v>
      </c>
      <c r="H21" s="95" t="s">
        <v>42</v>
      </c>
      <c r="I21" s="95" t="s">
        <v>43</v>
      </c>
      <c r="J21" s="95" t="s">
        <v>106</v>
      </c>
      <c r="K21" s="96" t="s">
        <v>35</v>
      </c>
      <c r="N21" s="52"/>
    </row>
    <row r="22" spans="1:15" ht="15" x14ac:dyDescent="0.25">
      <c r="B22" s="97" t="s">
        <v>50</v>
      </c>
      <c r="C22" s="87">
        <f>-'2.  CDM Allocation'!C133</f>
        <v>0</v>
      </c>
      <c r="D22" s="87">
        <f>-'2.  CDM Allocation'!D133</f>
        <v>0</v>
      </c>
      <c r="E22" s="87">
        <f>-'2.  CDM Allocation'!E133</f>
        <v>0</v>
      </c>
      <c r="F22" s="87">
        <f>-'2.  CDM Allocation'!F133</f>
        <v>0</v>
      </c>
      <c r="G22" s="87">
        <f>-'2.  CDM Allocation'!G133</f>
        <v>0</v>
      </c>
      <c r="H22" s="87">
        <f>-'2.  CDM Allocation'!H133</f>
        <v>0</v>
      </c>
      <c r="I22" s="87">
        <f>-'2.  CDM Allocation'!I133</f>
        <v>0</v>
      </c>
      <c r="J22" s="87"/>
      <c r="K22" s="110">
        <f t="shared" ref="K22:K32" si="0">SUM(C22:I22)</f>
        <v>0</v>
      </c>
      <c r="N22" s="53"/>
    </row>
    <row r="23" spans="1:15" s="17" customFormat="1" ht="15" x14ac:dyDescent="0.25">
      <c r="B23" s="98" t="s">
        <v>201</v>
      </c>
      <c r="C23" s="88">
        <v>35303.78</v>
      </c>
      <c r="D23" s="88">
        <v>75759.08</v>
      </c>
      <c r="E23" s="88">
        <f>31343+1909.63</f>
        <v>33252.629999999997</v>
      </c>
      <c r="F23" s="88">
        <f>'4.  2011-14 LRAM'!K73</f>
        <v>0</v>
      </c>
      <c r="G23" s="88">
        <f>'4.  2011-14 LRAM'!L73</f>
        <v>0</v>
      </c>
      <c r="H23" s="88">
        <f>'4.  2011-14 LRAM'!M73</f>
        <v>0</v>
      </c>
      <c r="I23" s="88">
        <f>'4.  2011-14 LRAM'!N73</f>
        <v>0</v>
      </c>
      <c r="J23" s="88"/>
      <c r="K23" s="99">
        <f t="shared" si="0"/>
        <v>144315.49</v>
      </c>
      <c r="N23" s="53"/>
      <c r="O23" s="28"/>
    </row>
    <row r="24" spans="1:15" s="17" customFormat="1" ht="15" x14ac:dyDescent="0.25">
      <c r="B24" s="234" t="s">
        <v>91</v>
      </c>
      <c r="C24" s="243"/>
      <c r="D24" s="243"/>
      <c r="E24" s="243"/>
      <c r="F24" s="243">
        <f t="shared" ref="F24:I24" si="1">-(F22+F23)</f>
        <v>0</v>
      </c>
      <c r="G24" s="243">
        <f t="shared" si="1"/>
        <v>0</v>
      </c>
      <c r="H24" s="243">
        <f t="shared" si="1"/>
        <v>0</v>
      </c>
      <c r="I24" s="243">
        <f t="shared" si="1"/>
        <v>0</v>
      </c>
      <c r="J24" s="243"/>
      <c r="K24" s="244">
        <f>SUM(C24:E24)</f>
        <v>0</v>
      </c>
      <c r="N24" s="53"/>
      <c r="O24" s="28"/>
    </row>
    <row r="25" spans="1:15" ht="15" x14ac:dyDescent="0.25">
      <c r="B25" s="97" t="s">
        <v>51</v>
      </c>
      <c r="C25" s="87">
        <f>-'2.  CDM Allocation'!C134</f>
        <v>0</v>
      </c>
      <c r="D25" s="87">
        <f>-'2.  CDM Allocation'!D134</f>
        <v>0</v>
      </c>
      <c r="E25" s="87">
        <f>-'2.  CDM Allocation'!E134</f>
        <v>0</v>
      </c>
      <c r="F25" s="87">
        <f>-'2.  CDM Allocation'!F134</f>
        <v>0</v>
      </c>
      <c r="G25" s="87">
        <f>-'2.  CDM Allocation'!G134</f>
        <v>0</v>
      </c>
      <c r="H25" s="87">
        <f>-'2.  CDM Allocation'!H134</f>
        <v>0</v>
      </c>
      <c r="I25" s="87">
        <f>-'2.  CDM Allocation'!I134</f>
        <v>0</v>
      </c>
      <c r="J25" s="87"/>
      <c r="K25" s="110">
        <f t="shared" si="0"/>
        <v>0</v>
      </c>
      <c r="N25" s="53"/>
    </row>
    <row r="26" spans="1:15" s="17" customFormat="1" ht="15" x14ac:dyDescent="0.25">
      <c r="B26" s="98" t="s">
        <v>202</v>
      </c>
      <c r="C26" s="88">
        <v>57897.68</v>
      </c>
      <c r="D26" s="88">
        <v>98314.98</v>
      </c>
      <c r="E26" s="88">
        <v>81407.41</v>
      </c>
      <c r="F26" s="88">
        <f>'4.  2011-14 LRAM'!K153</f>
        <v>0</v>
      </c>
      <c r="G26" s="88">
        <f>'4.  2011-14 LRAM'!L153</f>
        <v>0</v>
      </c>
      <c r="H26" s="88">
        <f>'4.  2011-14 LRAM'!M153</f>
        <v>0</v>
      </c>
      <c r="I26" s="88">
        <f>'4.  2011-14 LRAM'!N153</f>
        <v>0</v>
      </c>
      <c r="J26" s="88"/>
      <c r="K26" s="99">
        <f t="shared" si="0"/>
        <v>237620.07</v>
      </c>
      <c r="N26" s="53"/>
    </row>
    <row r="27" spans="1:15" s="17" customFormat="1" ht="15" x14ac:dyDescent="0.25">
      <c r="B27" s="234" t="s">
        <v>91</v>
      </c>
      <c r="C27" s="243"/>
      <c r="D27" s="243"/>
      <c r="E27" s="243"/>
      <c r="F27" s="243">
        <f t="shared" ref="F27:I27" si="2">-(F25+F26)</f>
        <v>0</v>
      </c>
      <c r="G27" s="243">
        <f t="shared" si="2"/>
        <v>0</v>
      </c>
      <c r="H27" s="243">
        <f t="shared" si="2"/>
        <v>0</v>
      </c>
      <c r="I27" s="243">
        <f t="shared" si="2"/>
        <v>0</v>
      </c>
      <c r="J27" s="243"/>
      <c r="K27" s="244">
        <f>SUM(C27:E27)</f>
        <v>0</v>
      </c>
      <c r="N27" s="53"/>
    </row>
    <row r="28" spans="1:15" ht="15" x14ac:dyDescent="0.25">
      <c r="B28" s="97" t="s">
        <v>52</v>
      </c>
      <c r="C28" s="87">
        <f>-'2.  CDM Allocation'!C135</f>
        <v>0</v>
      </c>
      <c r="D28" s="87">
        <f>-'2.  CDM Allocation'!D135</f>
        <v>0</v>
      </c>
      <c r="E28" s="87">
        <f>-'2.  CDM Allocation'!E135</f>
        <v>0</v>
      </c>
      <c r="F28" s="87">
        <f>-'2.  CDM Allocation'!F135</f>
        <v>0</v>
      </c>
      <c r="G28" s="87">
        <f>-'2.  CDM Allocation'!G135</f>
        <v>0</v>
      </c>
      <c r="H28" s="87">
        <f>-'2.  CDM Allocation'!H135</f>
        <v>0</v>
      </c>
      <c r="I28" s="87">
        <f>-'2.  CDM Allocation'!I135</f>
        <v>0</v>
      </c>
      <c r="J28" s="87"/>
      <c r="K28" s="110">
        <f t="shared" si="0"/>
        <v>0</v>
      </c>
      <c r="N28" s="53"/>
    </row>
    <row r="29" spans="1:15" s="17" customFormat="1" ht="15" x14ac:dyDescent="0.25">
      <c r="B29" s="98" t="s">
        <v>53</v>
      </c>
      <c r="C29" s="88">
        <v>91741.79</v>
      </c>
      <c r="D29" s="88">
        <v>58357.82</v>
      </c>
      <c r="E29" s="88">
        <v>187602.73</v>
      </c>
      <c r="F29" s="88">
        <f>'4.  2011-14 LRAM'!K234</f>
        <v>0</v>
      </c>
      <c r="G29" s="88">
        <f>'4.  2011-14 LRAM'!L234</f>
        <v>0</v>
      </c>
      <c r="H29" s="88">
        <f>'4.  2011-14 LRAM'!M234</f>
        <v>0</v>
      </c>
      <c r="I29" s="88">
        <f>'4.  2011-14 LRAM'!N234</f>
        <v>0</v>
      </c>
      <c r="J29" s="88"/>
      <c r="K29" s="99">
        <f t="shared" si="0"/>
        <v>337702.33999999997</v>
      </c>
      <c r="N29" s="53"/>
    </row>
    <row r="30" spans="1:15" s="17" customFormat="1" ht="15" x14ac:dyDescent="0.25">
      <c r="B30" s="234" t="s">
        <v>91</v>
      </c>
      <c r="C30" s="243">
        <f>-35303.78-57897.68</f>
        <v>-93201.459999999992</v>
      </c>
      <c r="D30" s="243">
        <f>-75759.08-98314.98</f>
        <v>-174074.06</v>
      </c>
      <c r="E30" s="243">
        <f>-33252.63-81407.41</f>
        <v>-114660.04000000001</v>
      </c>
      <c r="F30" s="243">
        <v>0</v>
      </c>
      <c r="G30" s="243">
        <v>0</v>
      </c>
      <c r="H30" s="243">
        <v>0</v>
      </c>
      <c r="I30" s="243">
        <v>0</v>
      </c>
      <c r="J30" s="243"/>
      <c r="K30" s="244">
        <f>SUM(C30:E30)</f>
        <v>-381935.56000000006</v>
      </c>
      <c r="N30" s="53"/>
    </row>
    <row r="31" spans="1:15" ht="15" x14ac:dyDescent="0.25">
      <c r="B31" s="97" t="s">
        <v>54</v>
      </c>
      <c r="C31" s="87">
        <f>-'2.  CDM Allocation'!C136</f>
        <v>-54239.252399999998</v>
      </c>
      <c r="D31" s="87">
        <f>-'2.  CDM Allocation'!D136</f>
        <v>-40681.175999999999</v>
      </c>
      <c r="E31" s="87">
        <f>-'2.  CDM Allocation'!E136</f>
        <v>-138460.91999999998</v>
      </c>
      <c r="F31" s="87">
        <f>-'2.  CDM Allocation'!F136</f>
        <v>0</v>
      </c>
      <c r="G31" s="87">
        <f>-'2.  CDM Allocation'!G136</f>
        <v>0</v>
      </c>
      <c r="H31" s="87">
        <f>-'2.  CDM Allocation'!H136</f>
        <v>0</v>
      </c>
      <c r="I31" s="87">
        <f>-'2.  CDM Allocation'!I136</f>
        <v>0</v>
      </c>
      <c r="J31" s="87"/>
      <c r="K31" s="110">
        <f t="shared" si="0"/>
        <v>-233381.34839999999</v>
      </c>
      <c r="N31" s="53"/>
    </row>
    <row r="32" spans="1:15" s="17" customFormat="1" ht="15" x14ac:dyDescent="0.25">
      <c r="B32" s="98" t="s">
        <v>55</v>
      </c>
      <c r="C32" s="88">
        <v>153053.19</v>
      </c>
      <c r="D32" s="88">
        <f>39354.65+40681.18</f>
        <v>80035.83</v>
      </c>
      <c r="E32" s="88">
        <f>83358.85+138460.92</f>
        <v>221819.77000000002</v>
      </c>
      <c r="F32" s="88">
        <f>'4.  2011-14 LRAM'!K316</f>
        <v>0</v>
      </c>
      <c r="G32" s="88">
        <f>'4.  2011-14 LRAM'!L316</f>
        <v>0</v>
      </c>
      <c r="H32" s="88">
        <f>'4.  2011-14 LRAM'!M316</f>
        <v>0</v>
      </c>
      <c r="I32" s="88">
        <f>'4.  2011-14 LRAM'!N316</f>
        <v>0</v>
      </c>
      <c r="J32" s="88"/>
      <c r="K32" s="99">
        <f t="shared" si="0"/>
        <v>454908.79000000004</v>
      </c>
      <c r="N32" s="53"/>
    </row>
    <row r="33" spans="2:14" s="17" customFormat="1" ht="15" x14ac:dyDescent="0.25">
      <c r="B33" s="234" t="s">
        <v>91</v>
      </c>
      <c r="C33" s="243"/>
      <c r="D33" s="243"/>
      <c r="E33" s="243"/>
      <c r="F33" s="243">
        <v>0</v>
      </c>
      <c r="G33" s="243">
        <v>0</v>
      </c>
      <c r="H33" s="243">
        <v>0</v>
      </c>
      <c r="I33" s="243">
        <v>0</v>
      </c>
      <c r="J33" s="243"/>
      <c r="K33" s="244">
        <f>SUM(C33:E33)</f>
        <v>0</v>
      </c>
      <c r="N33" s="53"/>
    </row>
    <row r="34" spans="2:14" ht="15" x14ac:dyDescent="0.25">
      <c r="B34" s="97" t="s">
        <v>140</v>
      </c>
      <c r="C34" s="89">
        <f>-'2.  CDM Allocation'!C137</f>
        <v>-54908.872800000005</v>
      </c>
      <c r="D34" s="89">
        <f>-'2.  CDM Allocation'!D137</f>
        <v>-41337.324000000001</v>
      </c>
      <c r="E34" s="89">
        <f>-'2.  CDM Allocation'!E137</f>
        <v>-140468.9166</v>
      </c>
      <c r="F34" s="89">
        <f>-'2.  CDM Allocation'!F137</f>
        <v>0</v>
      </c>
      <c r="G34" s="89">
        <f>-'2.  CDM Allocation'!G137</f>
        <v>0</v>
      </c>
      <c r="H34" s="89">
        <f>-'2.  CDM Allocation'!H137</f>
        <v>0</v>
      </c>
      <c r="I34" s="89">
        <f>-'2.  CDM Allocation'!I137</f>
        <v>0</v>
      </c>
      <c r="J34" s="89"/>
      <c r="K34" s="111">
        <f>SUM(C34:I34)</f>
        <v>-236715.1134</v>
      </c>
      <c r="N34" s="53"/>
    </row>
    <row r="35" spans="2:14" s="17" customFormat="1" ht="15" x14ac:dyDescent="0.25">
      <c r="B35" s="98" t="s">
        <v>141</v>
      </c>
      <c r="C35" s="90">
        <f>'5.  2015 LRAM'!H124</f>
        <v>64512.499600000003</v>
      </c>
      <c r="D35" s="90">
        <f>'5.  2015 LRAM'!I124</f>
        <v>33052.686156000003</v>
      </c>
      <c r="E35" s="90">
        <f>'5.  2015 LRAM'!J124</f>
        <v>136150.19020799999</v>
      </c>
      <c r="F35" s="90">
        <f>'5.  2015 LRAM'!K124</f>
        <v>0</v>
      </c>
      <c r="G35" s="90">
        <f>'5.  2015 LRAM'!L124</f>
        <v>0</v>
      </c>
      <c r="H35" s="90">
        <f>'5.  2015 LRAM'!M124</f>
        <v>0</v>
      </c>
      <c r="I35" s="90">
        <f>'5.  2015 LRAM'!N124</f>
        <v>0</v>
      </c>
      <c r="J35" s="90"/>
      <c r="K35" s="99">
        <f>SUM(C35:I35)</f>
        <v>233715.37596400001</v>
      </c>
      <c r="N35" s="53"/>
    </row>
    <row r="36" spans="2:14" s="17" customFormat="1" ht="15" x14ac:dyDescent="0.25">
      <c r="B36" s="234" t="s">
        <v>91</v>
      </c>
      <c r="C36" s="243">
        <f>-91741.79-98813.94</f>
        <v>-190555.72999999998</v>
      </c>
      <c r="D36" s="243">
        <f>-39354.65-58357.82</f>
        <v>-97712.47</v>
      </c>
      <c r="E36" s="243">
        <f>-83358.85-187602.73</f>
        <v>-270961.58</v>
      </c>
      <c r="F36" s="243">
        <v>0</v>
      </c>
      <c r="G36" s="243">
        <v>0</v>
      </c>
      <c r="H36" s="243">
        <v>0</v>
      </c>
      <c r="I36" s="243">
        <v>0</v>
      </c>
      <c r="J36" s="243"/>
      <c r="K36" s="244">
        <f>SUM(C36:E36)</f>
        <v>-559229.78</v>
      </c>
      <c r="N36" s="53"/>
    </row>
    <row r="37" spans="2:14" s="17" customFormat="1" ht="21.75" customHeight="1" x14ac:dyDescent="0.25">
      <c r="B37" s="487" t="s">
        <v>67</v>
      </c>
      <c r="C37" s="488">
        <f>'7.  Carrying Charges'!I88+'7.  Carrying Charges'!I89</f>
        <v>39.371008767499006</v>
      </c>
      <c r="D37" s="488">
        <f>'7.  Carrying Charges'!J88+'7.  Carrying Charges'!J89</f>
        <v>-50.826852688975123</v>
      </c>
      <c r="E37" s="488">
        <f>'7.  Carrying Charges'!K88+'7.  Carrying Charges'!K89</f>
        <v>-37.587594469048781</v>
      </c>
      <c r="F37" s="488">
        <f>'7.  Carrying Charges'!L88</f>
        <v>0</v>
      </c>
      <c r="G37" s="488">
        <f>'7.  Carrying Charges'!M88</f>
        <v>0</v>
      </c>
      <c r="H37" s="488">
        <f>'7.  Carrying Charges'!N88</f>
        <v>0</v>
      </c>
      <c r="I37" s="488">
        <f>'7.  Carrying Charges'!O88</f>
        <v>0</v>
      </c>
      <c r="J37" s="489"/>
      <c r="K37" s="490">
        <f>SUM(C37:I37)</f>
        <v>-49.043438390524898</v>
      </c>
      <c r="L37" s="23"/>
      <c r="M37" s="23"/>
    </row>
    <row r="38" spans="2:14" ht="24" customHeight="1" x14ac:dyDescent="0.25">
      <c r="B38" s="248" t="s">
        <v>293</v>
      </c>
      <c r="C38" s="486">
        <f>SUM(C22:C37)</f>
        <v>9642.9954087675287</v>
      </c>
      <c r="D38" s="486">
        <f t="shared" ref="D38:F38" si="3">SUM(D22:D37)</f>
        <v>-8335.4606966889569</v>
      </c>
      <c r="E38" s="486">
        <f t="shared" si="3"/>
        <v>-4356.3139864689729</v>
      </c>
      <c r="F38" s="486">
        <f t="shared" si="3"/>
        <v>0</v>
      </c>
      <c r="G38" s="486">
        <f>SUM(G22:G37)</f>
        <v>0</v>
      </c>
      <c r="H38" s="486">
        <f>SUM(H22:H37)</f>
        <v>0</v>
      </c>
      <c r="I38" s="486">
        <f>SUM(I22:I37)</f>
        <v>0</v>
      </c>
      <c r="J38" s="486"/>
      <c r="K38" s="533">
        <f>SUM(K22:K37)</f>
        <v>-3048.7792743907066</v>
      </c>
    </row>
    <row r="39" spans="2:14" x14ac:dyDescent="0.25">
      <c r="B39" s="45"/>
      <c r="D39" s="23"/>
      <c r="K39" s="17"/>
    </row>
    <row r="40" spans="2:14" x14ac:dyDescent="0.25">
      <c r="B40" s="45"/>
      <c r="D40" s="23"/>
      <c r="K40" s="17"/>
    </row>
    <row r="41" spans="2:14" x14ac:dyDescent="0.25">
      <c r="B41" s="45"/>
      <c r="D41" s="23"/>
      <c r="K41" s="17"/>
    </row>
    <row r="42" spans="2:14" x14ac:dyDescent="0.25">
      <c r="B42" s="45"/>
      <c r="D42" s="23"/>
      <c r="K42" s="17"/>
    </row>
  </sheetData>
  <mergeCells count="6">
    <mergeCell ref="B3:K3"/>
    <mergeCell ref="C14:C15"/>
    <mergeCell ref="B5:K5"/>
    <mergeCell ref="F9:G9"/>
    <mergeCell ref="F11:G11"/>
    <mergeCell ref="F15:G15"/>
  </mergeCells>
  <printOptions headings="1"/>
  <pageMargins left="0.52" right="0.28999999999999998" top="0.74803149606299202" bottom="0.74803149606299202" header="0.31496062992126" footer="0.31496062992126"/>
  <pageSetup scale="65" orientation="portrait" r:id="rId1"/>
  <headerFooter>
    <oddHeader>&amp;C&amp;14&amp;KFF0000Appendix E</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78"/>
  <sheetViews>
    <sheetView view="pageBreakPreview" zoomScale="60" zoomScaleNormal="90" workbookViewId="0">
      <pane ySplit="2" topLeftCell="A3" activePane="bottomLeft" state="frozen"/>
      <selection pane="bottomLeft" activeCell="C117" sqref="C117:I117"/>
    </sheetView>
  </sheetViews>
  <sheetFormatPr defaultRowHeight="15" outlineLevelRow="1" x14ac:dyDescent="0.25"/>
  <cols>
    <col min="1" max="1" width="9.85546875" style="26" customWidth="1"/>
    <col min="2" max="2" width="40.7109375" style="24" customWidth="1"/>
    <col min="3" max="3" width="24.7109375" style="26" customWidth="1"/>
    <col min="4" max="4" width="20.7109375" style="26" customWidth="1"/>
    <col min="5" max="5" width="24" style="26" customWidth="1"/>
    <col min="6" max="6" width="21.42578125" style="26" customWidth="1"/>
    <col min="7" max="7" width="19.5703125" style="26" customWidth="1"/>
    <col min="8" max="8" width="19.140625" style="26" customWidth="1"/>
    <col min="9" max="9" width="17.28515625" style="26" customWidth="1"/>
    <col min="10" max="10" width="16.28515625" style="26" customWidth="1"/>
    <col min="11" max="11" width="16" style="26" customWidth="1"/>
    <col min="12" max="12" width="13.5703125" style="26" customWidth="1"/>
    <col min="13" max="13" width="13.85546875" style="26" customWidth="1"/>
    <col min="14" max="14" width="20" style="26" customWidth="1"/>
    <col min="15" max="15" width="10.140625" style="26" customWidth="1"/>
    <col min="16" max="24" width="14" style="26" customWidth="1"/>
    <col min="25" max="16384" width="9.140625" style="26"/>
  </cols>
  <sheetData>
    <row r="1" spans="2:10" ht="151.5" customHeight="1" x14ac:dyDescent="0.25"/>
    <row r="2" spans="2:10" ht="42" customHeight="1" x14ac:dyDescent="0.3">
      <c r="B2" s="558" t="s">
        <v>344</v>
      </c>
      <c r="C2" s="558"/>
      <c r="D2" s="558"/>
      <c r="E2" s="558"/>
      <c r="F2" s="558"/>
      <c r="G2" s="558"/>
      <c r="H2" s="558"/>
      <c r="I2" s="558"/>
      <c r="J2" s="558"/>
    </row>
    <row r="3" spans="2:10" ht="24.75" customHeight="1" x14ac:dyDescent="0.25">
      <c r="B3" s="245"/>
      <c r="C3" s="70"/>
      <c r="D3" s="47"/>
      <c r="E3" s="47"/>
      <c r="F3" s="47"/>
      <c r="G3" s="47"/>
      <c r="H3" s="47"/>
      <c r="I3" s="47"/>
      <c r="J3" s="47"/>
    </row>
    <row r="4" spans="2:10" x14ac:dyDescent="0.25">
      <c r="B4" s="373" t="s">
        <v>401</v>
      </c>
      <c r="C4" s="70" t="s">
        <v>346</v>
      </c>
      <c r="D4" s="47"/>
      <c r="E4" s="47"/>
      <c r="F4" s="47"/>
      <c r="G4" s="47"/>
      <c r="H4" s="47"/>
      <c r="I4" s="47"/>
      <c r="J4" s="47"/>
    </row>
    <row r="5" spans="2:10" ht="30" customHeight="1" x14ac:dyDescent="0.25">
      <c r="B5" s="374"/>
      <c r="C5" s="566" t="s">
        <v>503</v>
      </c>
      <c r="D5" s="566"/>
      <c r="E5" s="566"/>
      <c r="F5" s="566"/>
      <c r="G5" s="566"/>
      <c r="H5" s="566"/>
      <c r="I5" s="566"/>
      <c r="J5" s="566"/>
    </row>
    <row r="6" spans="2:10" ht="18.75" customHeight="1" x14ac:dyDescent="0.25">
      <c r="B6" s="245"/>
      <c r="C6" s="70" t="s">
        <v>416</v>
      </c>
      <c r="D6" s="47"/>
      <c r="E6" s="47"/>
      <c r="F6" s="47"/>
      <c r="G6" s="47"/>
      <c r="H6" s="47"/>
      <c r="I6" s="47"/>
      <c r="J6" s="47"/>
    </row>
    <row r="7" spans="2:10" ht="18.75" customHeight="1" x14ac:dyDescent="0.25">
      <c r="B7" s="245"/>
      <c r="C7" s="70"/>
      <c r="D7" s="47"/>
      <c r="E7" s="47"/>
      <c r="F7" s="47"/>
      <c r="G7" s="47"/>
      <c r="H7" s="47"/>
      <c r="I7" s="47"/>
      <c r="J7" s="47"/>
    </row>
    <row r="8" spans="2:10" s="3" customFormat="1" ht="15" customHeight="1" x14ac:dyDescent="0.2">
      <c r="B8" s="565" t="s">
        <v>338</v>
      </c>
      <c r="C8" s="204" t="s">
        <v>365</v>
      </c>
    </row>
    <row r="9" spans="2:10" s="3" customFormat="1" ht="17.25" customHeight="1" x14ac:dyDescent="0.2">
      <c r="B9" s="565"/>
      <c r="C9" s="139" t="s">
        <v>339</v>
      </c>
    </row>
    <row r="10" spans="2:10" s="3" customFormat="1" ht="15.75" customHeight="1" x14ac:dyDescent="0.2">
      <c r="B10" s="466"/>
      <c r="C10" s="55"/>
    </row>
    <row r="11" spans="2:10" s="55" customFormat="1" ht="15.75" x14ac:dyDescent="0.2">
      <c r="B11" s="113" t="s">
        <v>504</v>
      </c>
      <c r="C11" s="100"/>
      <c r="D11" s="123"/>
      <c r="E11" s="124"/>
    </row>
    <row r="12" spans="2:10" s="3" customFormat="1" ht="16.5" customHeight="1" x14ac:dyDescent="0.25">
      <c r="B12" s="24"/>
      <c r="C12" s="60"/>
      <c r="D12" s="24"/>
      <c r="F12" s="55"/>
    </row>
    <row r="13" spans="2:10" s="3" customFormat="1" ht="20.25" customHeight="1" x14ac:dyDescent="0.2">
      <c r="B13" s="102" t="s">
        <v>56</v>
      </c>
      <c r="C13" s="103" t="s">
        <v>36</v>
      </c>
      <c r="D13" s="104" t="s">
        <v>37</v>
      </c>
      <c r="E13" s="103" t="s">
        <v>345</v>
      </c>
      <c r="F13" s="55"/>
    </row>
    <row r="14" spans="2:10" s="3" customFormat="1" ht="14.25" x14ac:dyDescent="0.2">
      <c r="B14" s="105">
        <v>2011</v>
      </c>
      <c r="C14" s="512">
        <v>0</v>
      </c>
      <c r="D14" s="106">
        <f>K44</f>
        <v>0</v>
      </c>
      <c r="E14" s="106">
        <f>K40</f>
        <v>0</v>
      </c>
      <c r="F14" s="55"/>
    </row>
    <row r="15" spans="2:10" s="3" customFormat="1" ht="14.25" x14ac:dyDescent="0.2">
      <c r="B15" s="105">
        <v>2012</v>
      </c>
      <c r="C15" s="512">
        <v>0</v>
      </c>
      <c r="D15" s="106">
        <f>K57</f>
        <v>0</v>
      </c>
      <c r="E15" s="106">
        <f>K53</f>
        <v>0</v>
      </c>
      <c r="F15" s="55"/>
    </row>
    <row r="16" spans="2:10" s="3" customFormat="1" ht="14.25" x14ac:dyDescent="0.2">
      <c r="B16" s="105">
        <v>2013</v>
      </c>
      <c r="C16" s="512">
        <v>0</v>
      </c>
      <c r="D16" s="106">
        <f>K70</f>
        <v>0</v>
      </c>
      <c r="E16" s="106">
        <f>K66</f>
        <v>0</v>
      </c>
      <c r="F16" s="55"/>
    </row>
    <row r="17" spans="2:26" s="3" customFormat="1" ht="14.25" x14ac:dyDescent="0.2">
      <c r="B17" s="105">
        <v>2014</v>
      </c>
      <c r="C17" s="512">
        <v>18623388</v>
      </c>
      <c r="D17" s="106">
        <f>K83</f>
        <v>-31326</v>
      </c>
      <c r="E17" s="106">
        <f>K79</f>
        <v>-18623388</v>
      </c>
      <c r="F17" s="55"/>
    </row>
    <row r="18" spans="2:26" s="3" customFormat="1" ht="14.25" x14ac:dyDescent="0.2">
      <c r="B18" s="105">
        <v>2015</v>
      </c>
      <c r="C18" s="512">
        <v>18623388</v>
      </c>
      <c r="D18" s="106">
        <f>K96</f>
        <v>-31326</v>
      </c>
      <c r="E18" s="106">
        <f>K92</f>
        <v>-18623388</v>
      </c>
      <c r="F18" s="55"/>
    </row>
    <row r="19" spans="2:26" s="3" customFormat="1" x14ac:dyDescent="0.25">
      <c r="B19" s="105">
        <v>2016</v>
      </c>
      <c r="C19" s="512"/>
      <c r="D19" s="106">
        <f>K109</f>
        <v>0</v>
      </c>
      <c r="E19" s="106">
        <f>K105</f>
        <v>0</v>
      </c>
      <c r="F19" s="55"/>
      <c r="Z19" s="44"/>
    </row>
    <row r="20" spans="2:26" s="3" customFormat="1" x14ac:dyDescent="0.25">
      <c r="B20" s="105">
        <v>2017</v>
      </c>
      <c r="C20" s="512"/>
      <c r="D20" s="106">
        <f>K122</f>
        <v>0</v>
      </c>
      <c r="E20" s="106">
        <f>K118</f>
        <v>0</v>
      </c>
      <c r="F20" s="55"/>
      <c r="Z20" s="44"/>
    </row>
    <row r="21" spans="2:26" s="3" customFormat="1" ht="25.5" customHeight="1" x14ac:dyDescent="0.25">
      <c r="B21" s="59"/>
      <c r="D21" s="54"/>
      <c r="E21" s="58"/>
      <c r="F21" s="55"/>
    </row>
    <row r="22" spans="2:26" s="55" customFormat="1" ht="22.5" customHeight="1" x14ac:dyDescent="0.25">
      <c r="B22" s="113" t="s">
        <v>408</v>
      </c>
      <c r="C22" s="44"/>
      <c r="D22" s="44"/>
      <c r="E22" s="44"/>
      <c r="F22" s="44"/>
      <c r="G22" s="44"/>
      <c r="H22" s="44"/>
      <c r="I22" s="44"/>
      <c r="J22" s="44"/>
      <c r="K22" s="44"/>
    </row>
    <row r="23" spans="2:26" s="3" customFormat="1" ht="12.75" customHeight="1" x14ac:dyDescent="0.25">
      <c r="C23" s="26"/>
      <c r="D23" s="26"/>
      <c r="E23" s="26"/>
      <c r="F23" s="26"/>
      <c r="G23" s="26"/>
      <c r="H23" s="26"/>
      <c r="I23" s="26"/>
      <c r="J23" s="26"/>
    </row>
    <row r="24" spans="2:26" s="3" customFormat="1" ht="40.5" customHeight="1" x14ac:dyDescent="0.2">
      <c r="B24" s="102" t="s">
        <v>56</v>
      </c>
      <c r="C24" s="102" t="str">
        <f>'1.  LRAMVA Summary'!C21</f>
        <v>Residential</v>
      </c>
      <c r="D24" s="102" t="str">
        <f>'1.  LRAMVA Summary'!D21</f>
        <v>General Service &lt;50 kW</v>
      </c>
      <c r="E24" s="102" t="str">
        <f>'1.  LRAMVA Summary'!E21</f>
        <v>General Service &gt; 50 kW</v>
      </c>
      <c r="F24" s="102" t="str">
        <f>'1.  LRAMVA Summary'!F21</f>
        <v>General Service 1,000 - 4,999 kW</v>
      </c>
      <c r="G24" s="102" t="str">
        <f>'1.  LRAMVA Summary'!G21</f>
        <v>Sentinel Lighting</v>
      </c>
      <c r="H24" s="102" t="str">
        <f>'1.  LRAMVA Summary'!H21</f>
        <v>Street Lighting</v>
      </c>
      <c r="I24" s="102" t="str">
        <f>'1.  LRAMVA Summary'!I21</f>
        <v>Unmetered Scattered Load</v>
      </c>
      <c r="J24" s="102" t="s">
        <v>106</v>
      </c>
    </row>
    <row r="25" spans="2:26" s="3" customFormat="1" ht="16.5" customHeight="1" x14ac:dyDescent="0.2">
      <c r="B25" s="102"/>
      <c r="C25" s="102" t="s">
        <v>36</v>
      </c>
      <c r="D25" s="102" t="s">
        <v>36</v>
      </c>
      <c r="E25" s="102" t="s">
        <v>37</v>
      </c>
      <c r="F25" s="102" t="s">
        <v>37</v>
      </c>
      <c r="G25" s="102" t="s">
        <v>37</v>
      </c>
      <c r="H25" s="102" t="s">
        <v>37</v>
      </c>
      <c r="I25" s="102" t="s">
        <v>36</v>
      </c>
      <c r="J25" s="102"/>
    </row>
    <row r="26" spans="2:26" s="3" customFormat="1" ht="16.5" customHeight="1" x14ac:dyDescent="0.2">
      <c r="B26" s="114">
        <v>2011</v>
      </c>
      <c r="C26" s="513">
        <f>-C40</f>
        <v>0</v>
      </c>
      <c r="D26" s="513">
        <f t="shared" ref="D26:I26" si="0">-D40</f>
        <v>0</v>
      </c>
      <c r="E26" s="513">
        <f t="shared" si="0"/>
        <v>0</v>
      </c>
      <c r="F26" s="513">
        <f t="shared" si="0"/>
        <v>0</v>
      </c>
      <c r="G26" s="513">
        <f t="shared" si="0"/>
        <v>0</v>
      </c>
      <c r="H26" s="513">
        <f t="shared" si="0"/>
        <v>0</v>
      </c>
      <c r="I26" s="513">
        <f t="shared" si="0"/>
        <v>0</v>
      </c>
      <c r="J26" s="117"/>
    </row>
    <row r="27" spans="2:26" s="3" customFormat="1" ht="16.5" customHeight="1" x14ac:dyDescent="0.2">
      <c r="B27" s="114">
        <v>2012</v>
      </c>
      <c r="C27" s="116">
        <f>-C53</f>
        <v>0</v>
      </c>
      <c r="D27" s="116">
        <f>-D53</f>
        <v>0</v>
      </c>
      <c r="E27" s="116">
        <f>-E57</f>
        <v>0</v>
      </c>
      <c r="F27" s="116">
        <f>-F57</f>
        <v>0</v>
      </c>
      <c r="G27" s="116">
        <f>-H57</f>
        <v>0</v>
      </c>
      <c r="H27" s="116">
        <f>-G57</f>
        <v>0</v>
      </c>
      <c r="I27" s="116">
        <f>-I53</f>
        <v>0</v>
      </c>
      <c r="J27" s="117"/>
      <c r="K27" s="57"/>
    </row>
    <row r="28" spans="2:26" s="3" customFormat="1" ht="16.5" customHeight="1" x14ac:dyDescent="0.2">
      <c r="B28" s="114">
        <v>2013</v>
      </c>
      <c r="C28" s="116">
        <f>-C66</f>
        <v>0</v>
      </c>
      <c r="D28" s="116">
        <f>-D66</f>
        <v>0</v>
      </c>
      <c r="E28" s="116">
        <f>-E70</f>
        <v>0</v>
      </c>
      <c r="F28" s="116">
        <f>-F70</f>
        <v>0</v>
      </c>
      <c r="G28" s="116">
        <f>-H70</f>
        <v>0</v>
      </c>
      <c r="H28" s="116">
        <f>-G70</f>
        <v>0</v>
      </c>
      <c r="I28" s="116">
        <f>-I66</f>
        <v>0</v>
      </c>
      <c r="J28" s="117"/>
    </row>
    <row r="29" spans="2:26" s="3" customFormat="1" ht="16.5" customHeight="1" x14ac:dyDescent="0.2">
      <c r="B29" s="114">
        <v>2014</v>
      </c>
      <c r="C29" s="118">
        <f>-C79</f>
        <v>3348102</v>
      </c>
      <c r="D29" s="118">
        <f>-D79</f>
        <v>3280740</v>
      </c>
      <c r="E29" s="118">
        <f>-E83</f>
        <v>31326</v>
      </c>
      <c r="F29" s="118">
        <f>-F83</f>
        <v>0</v>
      </c>
      <c r="G29" s="118">
        <f>-H83</f>
        <v>0</v>
      </c>
      <c r="H29" s="118">
        <f>-G83</f>
        <v>0</v>
      </c>
      <c r="I29" s="118">
        <f>-I79</f>
        <v>0</v>
      </c>
      <c r="J29" s="119"/>
    </row>
    <row r="30" spans="2:26" s="3" customFormat="1" ht="16.5" customHeight="1" x14ac:dyDescent="0.2">
      <c r="B30" s="114">
        <v>2015</v>
      </c>
      <c r="C30" s="368">
        <f>-C92</f>
        <v>3348102</v>
      </c>
      <c r="D30" s="368">
        <f t="shared" ref="D30:I30" si="1">-D92</f>
        <v>3280740</v>
      </c>
      <c r="E30" s="368">
        <f>-E96</f>
        <v>31326</v>
      </c>
      <c r="F30" s="368">
        <f t="shared" ref="F30:H30" si="2">-F96</f>
        <v>0</v>
      </c>
      <c r="G30" s="368">
        <f t="shared" si="2"/>
        <v>0</v>
      </c>
      <c r="H30" s="368">
        <f t="shared" si="2"/>
        <v>0</v>
      </c>
      <c r="I30" s="368">
        <f t="shared" si="1"/>
        <v>0</v>
      </c>
      <c r="J30" s="115"/>
    </row>
    <row r="31" spans="2:26" s="3" customFormat="1" ht="16.5" customHeight="1" x14ac:dyDescent="0.2">
      <c r="B31" s="114">
        <v>2016</v>
      </c>
      <c r="C31" s="368">
        <f>-C105</f>
        <v>0</v>
      </c>
      <c r="D31" s="368">
        <f t="shared" ref="D31:I31" si="3">-D105</f>
        <v>0</v>
      </c>
      <c r="E31" s="368">
        <f>-E109</f>
        <v>0</v>
      </c>
      <c r="F31" s="368">
        <f t="shared" ref="F31:H31" si="4">-F109</f>
        <v>0</v>
      </c>
      <c r="G31" s="368">
        <f t="shared" si="4"/>
        <v>0</v>
      </c>
      <c r="H31" s="368">
        <f t="shared" si="4"/>
        <v>0</v>
      </c>
      <c r="I31" s="368">
        <f t="shared" si="3"/>
        <v>0</v>
      </c>
      <c r="J31" s="115"/>
    </row>
    <row r="32" spans="2:26" s="3" customFormat="1" ht="16.5" customHeight="1" x14ac:dyDescent="0.2">
      <c r="B32" s="114">
        <v>2017</v>
      </c>
      <c r="C32" s="368">
        <f>-C118</f>
        <v>0</v>
      </c>
      <c r="D32" s="368">
        <f t="shared" ref="D32:I32" si="5">-D118</f>
        <v>0</v>
      </c>
      <c r="E32" s="368">
        <f>-E122</f>
        <v>0</v>
      </c>
      <c r="F32" s="368">
        <f t="shared" ref="F32:H32" si="6">-F122</f>
        <v>0</v>
      </c>
      <c r="G32" s="368">
        <f t="shared" si="6"/>
        <v>0</v>
      </c>
      <c r="H32" s="368">
        <f t="shared" si="6"/>
        <v>0</v>
      </c>
      <c r="I32" s="368">
        <f t="shared" si="5"/>
        <v>0</v>
      </c>
      <c r="J32" s="115"/>
    </row>
    <row r="33" spans="1:14" s="3" customFormat="1" ht="15.75" customHeight="1" x14ac:dyDescent="0.2"/>
    <row r="34" spans="1:14" s="66" customFormat="1" outlineLevel="1" x14ac:dyDescent="0.2">
      <c r="A34" s="308"/>
      <c r="B34" s="567" t="s">
        <v>410</v>
      </c>
      <c r="C34" s="567"/>
      <c r="D34" s="567"/>
      <c r="E34" s="567"/>
      <c r="F34" s="567"/>
      <c r="G34" s="567"/>
      <c r="H34" s="567"/>
      <c r="I34" s="567"/>
      <c r="J34" s="567"/>
      <c r="K34" s="567"/>
      <c r="L34" s="160"/>
      <c r="M34" s="160"/>
    </row>
    <row r="35" spans="1:14" s="66" customFormat="1" ht="14.25" outlineLevel="1" x14ac:dyDescent="0.2">
      <c r="A35" s="308"/>
      <c r="B35" s="69"/>
      <c r="C35" s="83"/>
      <c r="L35" s="160"/>
      <c r="M35" s="160"/>
      <c r="N35" s="330"/>
    </row>
    <row r="36" spans="1:14" s="338" customFormat="1" ht="30" outlineLevel="1" x14ac:dyDescent="0.25">
      <c r="B36" s="341">
        <v>2011</v>
      </c>
      <c r="C36" s="318" t="s">
        <v>38</v>
      </c>
      <c r="D36" s="318" t="s">
        <v>412</v>
      </c>
      <c r="E36" s="318" t="str">
        <f>+E24</f>
        <v>General Service &gt; 50 kW</v>
      </c>
      <c r="F36" s="318" t="s">
        <v>110</v>
      </c>
      <c r="G36" s="318" t="s">
        <v>116</v>
      </c>
      <c r="H36" s="318" t="s">
        <v>117</v>
      </c>
      <c r="I36" s="318" t="s">
        <v>118</v>
      </c>
      <c r="J36" s="318" t="s">
        <v>106</v>
      </c>
      <c r="K36" s="342" t="s">
        <v>35</v>
      </c>
      <c r="L36" s="339"/>
      <c r="M36" s="339"/>
      <c r="N36" s="343"/>
    </row>
    <row r="37" spans="1:14" s="66" customFormat="1" outlineLevel="1" x14ac:dyDescent="0.25">
      <c r="B37" s="319" t="s">
        <v>36</v>
      </c>
      <c r="C37" s="320"/>
      <c r="D37" s="320"/>
      <c r="E37" s="320"/>
      <c r="F37" s="320"/>
      <c r="G37" s="320"/>
      <c r="H37" s="320"/>
      <c r="I37" s="320"/>
      <c r="J37" s="160"/>
      <c r="K37" s="344"/>
      <c r="L37" s="160"/>
      <c r="M37" s="160"/>
      <c r="N37" s="345"/>
    </row>
    <row r="38" spans="1:14" s="66" customFormat="1" ht="14.25" outlineLevel="1" x14ac:dyDescent="0.2">
      <c r="B38" s="493" t="s">
        <v>406</v>
      </c>
      <c r="C38" s="322">
        <v>0</v>
      </c>
      <c r="D38" s="346">
        <v>0</v>
      </c>
      <c r="E38" s="346">
        <v>0</v>
      </c>
      <c r="F38" s="346"/>
      <c r="G38" s="346"/>
      <c r="H38" s="346"/>
      <c r="I38" s="346"/>
      <c r="J38" s="321"/>
      <c r="K38" s="495">
        <f>SUM(C38:I38)</f>
        <v>0</v>
      </c>
      <c r="L38" s="160"/>
      <c r="M38" s="160"/>
      <c r="N38" s="330"/>
    </row>
    <row r="39" spans="1:14" s="66" customFormat="1" ht="14.25" outlineLevel="1" x14ac:dyDescent="0.2">
      <c r="B39" s="347" t="s">
        <v>114</v>
      </c>
      <c r="C39" s="491">
        <f>IFERROR((C38/$K$38),)</f>
        <v>0</v>
      </c>
      <c r="D39" s="491">
        <f t="shared" ref="D39:I39" si="7">IFERROR((D38/$K$38),)</f>
        <v>0</v>
      </c>
      <c r="E39" s="491">
        <f t="shared" si="7"/>
        <v>0</v>
      </c>
      <c r="F39" s="491">
        <f t="shared" si="7"/>
        <v>0</v>
      </c>
      <c r="G39" s="491">
        <f t="shared" si="7"/>
        <v>0</v>
      </c>
      <c r="H39" s="491">
        <f t="shared" si="7"/>
        <v>0</v>
      </c>
      <c r="I39" s="491">
        <f t="shared" si="7"/>
        <v>0</v>
      </c>
      <c r="J39" s="160"/>
      <c r="K39" s="492">
        <f>SUM(C39:I39)</f>
        <v>0</v>
      </c>
      <c r="L39" s="160"/>
      <c r="M39" s="160"/>
      <c r="N39" s="348"/>
    </row>
    <row r="40" spans="1:14" s="66" customFormat="1" ht="14.25" outlineLevel="1" x14ac:dyDescent="0.2">
      <c r="B40" s="347" t="s">
        <v>335</v>
      </c>
      <c r="C40" s="511">
        <v>0</v>
      </c>
      <c r="D40" s="511">
        <v>0</v>
      </c>
      <c r="E40" s="511">
        <v>0</v>
      </c>
      <c r="F40" s="511">
        <v>0</v>
      </c>
      <c r="G40" s="511">
        <v>0</v>
      </c>
      <c r="H40" s="511">
        <v>0</v>
      </c>
      <c r="I40" s="511">
        <v>0</v>
      </c>
      <c r="J40" s="160"/>
      <c r="K40" s="349">
        <f>SUM(C40:I40)</f>
        <v>0</v>
      </c>
      <c r="L40" s="160"/>
      <c r="M40" s="160"/>
    </row>
    <row r="41" spans="1:14" s="66" customFormat="1" ht="14.25" outlineLevel="1" x14ac:dyDescent="0.2">
      <c r="B41" s="347" t="s">
        <v>115</v>
      </c>
      <c r="C41" s="350">
        <f>C38+C40</f>
        <v>0</v>
      </c>
      <c r="D41" s="345">
        <f t="shared" ref="D41:I41" si="8">D38+D40</f>
        <v>0</v>
      </c>
      <c r="E41" s="345">
        <f t="shared" si="8"/>
        <v>0</v>
      </c>
      <c r="F41" s="345">
        <f t="shared" si="8"/>
        <v>0</v>
      </c>
      <c r="G41" s="345">
        <f t="shared" si="8"/>
        <v>0</v>
      </c>
      <c r="H41" s="345">
        <f t="shared" si="8"/>
        <v>0</v>
      </c>
      <c r="I41" s="345">
        <f t="shared" si="8"/>
        <v>0</v>
      </c>
      <c r="J41" s="160"/>
      <c r="K41" s="349">
        <f>SUM(C41:I41)</f>
        <v>0</v>
      </c>
      <c r="L41" s="160"/>
      <c r="M41" s="160"/>
    </row>
    <row r="42" spans="1:14" s="66" customFormat="1" outlineLevel="1" x14ac:dyDescent="0.25">
      <c r="B42" s="319" t="s">
        <v>37</v>
      </c>
      <c r="C42" s="350"/>
      <c r="D42" s="345"/>
      <c r="E42" s="345"/>
      <c r="F42" s="345"/>
      <c r="G42" s="345"/>
      <c r="H42" s="345"/>
      <c r="I42" s="345"/>
      <c r="J42" s="160"/>
      <c r="K42" s="349"/>
      <c r="L42" s="160"/>
      <c r="M42" s="160"/>
    </row>
    <row r="43" spans="1:14" s="66" customFormat="1" ht="14.25" outlineLevel="1" x14ac:dyDescent="0.2">
      <c r="B43" s="493" t="s">
        <v>407</v>
      </c>
      <c r="C43" s="350"/>
      <c r="D43" s="345"/>
      <c r="E43" s="345">
        <f>E38*E46</f>
        <v>0</v>
      </c>
      <c r="F43" s="345">
        <f t="shared" ref="F43:H43" si="9">F38*F46</f>
        <v>0</v>
      </c>
      <c r="G43" s="345">
        <f t="shared" si="9"/>
        <v>0</v>
      </c>
      <c r="H43" s="345">
        <f t="shared" si="9"/>
        <v>0</v>
      </c>
      <c r="I43" s="345"/>
      <c r="J43" s="160"/>
      <c r="K43" s="349"/>
      <c r="L43" s="160"/>
      <c r="M43" s="160"/>
    </row>
    <row r="44" spans="1:14" s="66" customFormat="1" ht="14.25" outlineLevel="1" x14ac:dyDescent="0.2">
      <c r="B44" s="347" t="s">
        <v>119</v>
      </c>
      <c r="C44" s="350"/>
      <c r="D44" s="345"/>
      <c r="E44" s="345">
        <f>E40*E46</f>
        <v>0</v>
      </c>
      <c r="F44" s="345">
        <f t="shared" ref="F44:H44" si="10">F40*F46</f>
        <v>0</v>
      </c>
      <c r="G44" s="345">
        <f t="shared" si="10"/>
        <v>0</v>
      </c>
      <c r="H44" s="345">
        <f t="shared" si="10"/>
        <v>0</v>
      </c>
      <c r="I44" s="345"/>
      <c r="J44" s="160"/>
      <c r="K44" s="349">
        <f>SUM(C44:I44)</f>
        <v>0</v>
      </c>
      <c r="L44" s="160"/>
      <c r="M44" s="160"/>
    </row>
    <row r="45" spans="1:14" s="66" customFormat="1" outlineLevel="1" x14ac:dyDescent="0.2">
      <c r="B45" s="347" t="s">
        <v>115</v>
      </c>
      <c r="C45" s="160"/>
      <c r="D45" s="160"/>
      <c r="E45" s="345">
        <f>E43+E44</f>
        <v>0</v>
      </c>
      <c r="F45" s="345">
        <f t="shared" ref="F45:H45" si="11">F43+F44</f>
        <v>0</v>
      </c>
      <c r="G45" s="345">
        <f t="shared" si="11"/>
        <v>0</v>
      </c>
      <c r="H45" s="345">
        <f t="shared" si="11"/>
        <v>0</v>
      </c>
      <c r="I45" s="160"/>
      <c r="J45" s="160"/>
      <c r="K45" s="349">
        <f>SUM(C45:I45)</f>
        <v>0</v>
      </c>
      <c r="L45" s="160"/>
      <c r="M45" s="160"/>
      <c r="N45" s="351"/>
    </row>
    <row r="46" spans="1:14" s="66" customFormat="1" ht="15" customHeight="1" outlineLevel="1" x14ac:dyDescent="0.2">
      <c r="B46" s="496" t="s">
        <v>404</v>
      </c>
      <c r="C46" s="323"/>
      <c r="D46" s="331"/>
      <c r="E46" s="515"/>
      <c r="F46" s="515"/>
      <c r="G46" s="515"/>
      <c r="H46" s="515"/>
      <c r="I46" s="514"/>
      <c r="J46" s="331"/>
      <c r="K46" s="404"/>
      <c r="L46" s="160"/>
      <c r="M46" s="160"/>
      <c r="N46" s="330"/>
    </row>
    <row r="47" spans="1:14" s="66" customFormat="1" ht="15" customHeight="1" outlineLevel="1" x14ac:dyDescent="0.2">
      <c r="B47" s="352"/>
      <c r="C47" s="324"/>
      <c r="D47" s="325"/>
      <c r="E47" s="160"/>
      <c r="F47" s="326"/>
      <c r="G47" s="326"/>
      <c r="H47" s="326"/>
      <c r="I47" s="326"/>
      <c r="J47" s="160"/>
      <c r="K47" s="160"/>
      <c r="L47" s="160"/>
      <c r="M47" s="160"/>
      <c r="N47" s="330"/>
    </row>
    <row r="48" spans="1:14" s="160" customFormat="1" ht="15" customHeight="1" outlineLevel="1" x14ac:dyDescent="0.2">
      <c r="B48" s="352"/>
      <c r="C48" s="324"/>
      <c r="D48" s="325"/>
      <c r="F48" s="326"/>
      <c r="G48" s="326"/>
      <c r="H48" s="326"/>
      <c r="I48" s="326"/>
      <c r="N48" s="330"/>
    </row>
    <row r="49" spans="2:14" s="337" customFormat="1" ht="36.75" customHeight="1" outlineLevel="1" x14ac:dyDescent="0.25">
      <c r="B49" s="341">
        <v>2012</v>
      </c>
      <c r="C49" s="318" t="s">
        <v>38</v>
      </c>
      <c r="D49" s="318" t="s">
        <v>412</v>
      </c>
      <c r="E49" s="318" t="str">
        <f>+E36</f>
        <v>General Service &gt; 50 kW</v>
      </c>
      <c r="F49" s="318" t="s">
        <v>110</v>
      </c>
      <c r="G49" s="318" t="s">
        <v>116</v>
      </c>
      <c r="H49" s="318" t="s">
        <v>117</v>
      </c>
      <c r="I49" s="318" t="s">
        <v>118</v>
      </c>
      <c r="J49" s="318" t="s">
        <v>106</v>
      </c>
      <c r="K49" s="342" t="s">
        <v>35</v>
      </c>
      <c r="L49" s="336"/>
      <c r="M49" s="336"/>
      <c r="N49" s="336"/>
    </row>
    <row r="50" spans="2:14" s="66" customFormat="1" outlineLevel="1" x14ac:dyDescent="0.25">
      <c r="B50" s="319" t="s">
        <v>36</v>
      </c>
      <c r="C50" s="320"/>
      <c r="D50" s="320"/>
      <c r="E50" s="320"/>
      <c r="F50" s="320"/>
      <c r="G50" s="320"/>
      <c r="H50" s="320"/>
      <c r="I50" s="320"/>
      <c r="J50" s="160"/>
      <c r="K50" s="344"/>
      <c r="L50" s="160"/>
      <c r="M50" s="160"/>
      <c r="N50" s="330"/>
    </row>
    <row r="51" spans="2:14" s="66" customFormat="1" ht="14.25" outlineLevel="1" x14ac:dyDescent="0.2">
      <c r="B51" s="493" t="s">
        <v>406</v>
      </c>
      <c r="C51" s="322"/>
      <c r="D51" s="346"/>
      <c r="E51" s="346"/>
      <c r="F51" s="346"/>
      <c r="G51" s="346"/>
      <c r="H51" s="346"/>
      <c r="I51" s="346"/>
      <c r="J51" s="321"/>
      <c r="K51" s="497">
        <f>SUM(C51:I51)</f>
        <v>0</v>
      </c>
      <c r="L51" s="160"/>
      <c r="M51" s="160"/>
      <c r="N51" s="345"/>
    </row>
    <row r="52" spans="2:14" s="66" customFormat="1" ht="14.25" outlineLevel="1" x14ac:dyDescent="0.2">
      <c r="B52" s="347" t="s">
        <v>114</v>
      </c>
      <c r="C52" s="491">
        <f t="shared" ref="C52:I52" si="12">IFERROR((C51/$K$38),)</f>
        <v>0</v>
      </c>
      <c r="D52" s="491">
        <f t="shared" si="12"/>
        <v>0</v>
      </c>
      <c r="E52" s="491">
        <f t="shared" si="12"/>
        <v>0</v>
      </c>
      <c r="F52" s="491">
        <f t="shared" si="12"/>
        <v>0</v>
      </c>
      <c r="G52" s="491">
        <f t="shared" si="12"/>
        <v>0</v>
      </c>
      <c r="H52" s="491">
        <f t="shared" si="12"/>
        <v>0</v>
      </c>
      <c r="I52" s="491">
        <f t="shared" si="12"/>
        <v>0</v>
      </c>
      <c r="J52" s="160"/>
      <c r="K52" s="492">
        <f>SUM(C52:I52)</f>
        <v>0</v>
      </c>
      <c r="L52" s="160"/>
      <c r="M52" s="160"/>
      <c r="N52" s="330"/>
    </row>
    <row r="53" spans="2:14" s="66" customFormat="1" ht="14.25" outlineLevel="1" x14ac:dyDescent="0.2">
      <c r="B53" s="347" t="s">
        <v>335</v>
      </c>
      <c r="C53" s="511">
        <v>0</v>
      </c>
      <c r="D53" s="511">
        <v>0</v>
      </c>
      <c r="E53" s="511">
        <v>0</v>
      </c>
      <c r="F53" s="511">
        <v>0</v>
      </c>
      <c r="G53" s="511">
        <v>0</v>
      </c>
      <c r="H53" s="511">
        <v>0</v>
      </c>
      <c r="I53" s="511">
        <v>0</v>
      </c>
      <c r="J53" s="160"/>
      <c r="K53" s="349">
        <f>SUM(C53:I53)</f>
        <v>0</v>
      </c>
      <c r="L53" s="160"/>
      <c r="M53" s="160"/>
      <c r="N53" s="348"/>
    </row>
    <row r="54" spans="2:14" s="66" customFormat="1" ht="14.25" outlineLevel="1" x14ac:dyDescent="0.2">
      <c r="B54" s="347" t="s">
        <v>115</v>
      </c>
      <c r="C54" s="350">
        <f>C51+C53</f>
        <v>0</v>
      </c>
      <c r="D54" s="345">
        <f t="shared" ref="D54" si="13">D51+D53</f>
        <v>0</v>
      </c>
      <c r="E54" s="345">
        <f t="shared" ref="E54" si="14">E51+E53</f>
        <v>0</v>
      </c>
      <c r="F54" s="345">
        <f t="shared" ref="F54" si="15">F51+F53</f>
        <v>0</v>
      </c>
      <c r="G54" s="345">
        <f t="shared" ref="G54" si="16">G51+G53</f>
        <v>0</v>
      </c>
      <c r="H54" s="345">
        <f t="shared" ref="H54" si="17">H51+H53</f>
        <v>0</v>
      </c>
      <c r="I54" s="345">
        <f t="shared" ref="I54" si="18">I51+I53</f>
        <v>0</v>
      </c>
      <c r="J54" s="160"/>
      <c r="K54" s="349">
        <f>SUM(C54:I54)</f>
        <v>0</v>
      </c>
      <c r="L54" s="160"/>
      <c r="M54" s="160"/>
    </row>
    <row r="55" spans="2:14" s="66" customFormat="1" outlineLevel="1" x14ac:dyDescent="0.25">
      <c r="B55" s="319" t="s">
        <v>37</v>
      </c>
      <c r="C55" s="160"/>
      <c r="D55" s="327"/>
      <c r="E55" s="353"/>
      <c r="F55" s="328"/>
      <c r="G55" s="329"/>
      <c r="H55" s="330"/>
      <c r="I55" s="160"/>
      <c r="J55" s="160"/>
      <c r="K55" s="354"/>
      <c r="L55" s="160"/>
      <c r="M55" s="160"/>
    </row>
    <row r="56" spans="2:14" s="66" customFormat="1" ht="14.25" outlineLevel="1" x14ac:dyDescent="0.2">
      <c r="B56" s="493" t="s">
        <v>407</v>
      </c>
      <c r="C56" s="160"/>
      <c r="D56" s="160"/>
      <c r="E56" s="345">
        <f>E51*E59</f>
        <v>0</v>
      </c>
      <c r="F56" s="345">
        <f>F51*F59</f>
        <v>0</v>
      </c>
      <c r="G56" s="345">
        <f>G51*G59</f>
        <v>0</v>
      </c>
      <c r="H56" s="345">
        <f>H51*H59</f>
        <v>0</v>
      </c>
      <c r="I56" s="160"/>
      <c r="J56" s="160"/>
      <c r="K56" s="349">
        <f>SUM(C56:I56)</f>
        <v>0</v>
      </c>
      <c r="L56" s="160"/>
    </row>
    <row r="57" spans="2:14" s="66" customFormat="1" ht="14.25" outlineLevel="1" x14ac:dyDescent="0.2">
      <c r="B57" s="347" t="s">
        <v>119</v>
      </c>
      <c r="C57" s="160"/>
      <c r="D57" s="160"/>
      <c r="E57" s="345">
        <f>E53*E59</f>
        <v>0</v>
      </c>
      <c r="F57" s="345">
        <f>F53*F59</f>
        <v>0</v>
      </c>
      <c r="G57" s="345">
        <f>G53*G59</f>
        <v>0</v>
      </c>
      <c r="H57" s="345">
        <f>H53*H59</f>
        <v>0</v>
      </c>
      <c r="I57" s="160"/>
      <c r="J57" s="160"/>
      <c r="K57" s="349">
        <f>SUM(C57:I57)</f>
        <v>0</v>
      </c>
      <c r="L57" s="160"/>
      <c r="M57" s="160"/>
    </row>
    <row r="58" spans="2:14" s="66" customFormat="1" ht="14.25" outlineLevel="1" x14ac:dyDescent="0.2">
      <c r="B58" s="347" t="s">
        <v>115</v>
      </c>
      <c r="C58" s="169"/>
      <c r="D58" s="169"/>
      <c r="E58" s="345">
        <f>E56+E57</f>
        <v>0</v>
      </c>
      <c r="F58" s="345">
        <f>F56+F57</f>
        <v>0</v>
      </c>
      <c r="G58" s="345">
        <f t="shared" ref="G58:H58" si="19">G56+G57</f>
        <v>0</v>
      </c>
      <c r="H58" s="345">
        <f t="shared" si="19"/>
        <v>0</v>
      </c>
      <c r="I58" s="169"/>
      <c r="J58" s="160"/>
      <c r="K58" s="349">
        <f>SUM(C58:I58)</f>
        <v>0</v>
      </c>
      <c r="L58" s="160"/>
      <c r="M58" s="160"/>
    </row>
    <row r="59" spans="2:14" s="66" customFormat="1" ht="14.25" outlineLevel="1" x14ac:dyDescent="0.2">
      <c r="B59" s="496" t="s">
        <v>404</v>
      </c>
      <c r="C59" s="332"/>
      <c r="D59" s="332"/>
      <c r="E59" s="515"/>
      <c r="F59" s="515"/>
      <c r="G59" s="515"/>
      <c r="H59" s="515"/>
      <c r="I59" s="332"/>
      <c r="J59" s="331"/>
      <c r="K59" s="498"/>
      <c r="L59" s="160"/>
      <c r="M59" s="160"/>
    </row>
    <row r="60" spans="2:14" s="66" customFormat="1" ht="14.25" outlineLevel="1" x14ac:dyDescent="0.2">
      <c r="B60" s="69"/>
      <c r="C60" s="83"/>
      <c r="D60" s="160"/>
      <c r="E60" s="160"/>
      <c r="F60" s="160"/>
      <c r="G60" s="160"/>
      <c r="H60" s="160"/>
      <c r="I60" s="160"/>
      <c r="J60" s="160"/>
      <c r="K60" s="160"/>
      <c r="L60" s="160"/>
      <c r="M60" s="160"/>
    </row>
    <row r="61" spans="2:14" s="66" customFormat="1" ht="14.25" outlineLevel="1" x14ac:dyDescent="0.2">
      <c r="B61" s="69"/>
      <c r="C61" s="83"/>
      <c r="D61" s="160"/>
      <c r="E61" s="160"/>
      <c r="F61" s="160"/>
      <c r="G61" s="160"/>
      <c r="H61" s="160"/>
      <c r="I61" s="160"/>
      <c r="J61" s="160"/>
      <c r="L61" s="160"/>
      <c r="M61" s="160"/>
    </row>
    <row r="62" spans="2:14" s="337" customFormat="1" ht="35.25" customHeight="1" outlineLevel="1" x14ac:dyDescent="0.25">
      <c r="B62" s="341">
        <v>2013</v>
      </c>
      <c r="C62" s="318" t="s">
        <v>38</v>
      </c>
      <c r="D62" s="318" t="s">
        <v>412</v>
      </c>
      <c r="E62" s="318" t="str">
        <f>+E49</f>
        <v>General Service &gt; 50 kW</v>
      </c>
      <c r="F62" s="318" t="s">
        <v>110</v>
      </c>
      <c r="G62" s="318" t="s">
        <v>116</v>
      </c>
      <c r="H62" s="318" t="s">
        <v>117</v>
      </c>
      <c r="I62" s="318" t="s">
        <v>118</v>
      </c>
      <c r="J62" s="318" t="s">
        <v>106</v>
      </c>
      <c r="K62" s="342" t="s">
        <v>35</v>
      </c>
      <c r="L62" s="336"/>
      <c r="M62" s="336"/>
    </row>
    <row r="63" spans="2:14" s="66" customFormat="1" outlineLevel="1" x14ac:dyDescent="0.25">
      <c r="B63" s="333" t="s">
        <v>36</v>
      </c>
      <c r="C63" s="320"/>
      <c r="D63" s="320"/>
      <c r="E63" s="320"/>
      <c r="F63" s="320"/>
      <c r="G63" s="320"/>
      <c r="H63" s="320"/>
      <c r="I63" s="320"/>
      <c r="J63" s="160"/>
      <c r="K63" s="344"/>
      <c r="L63" s="160"/>
      <c r="M63" s="160"/>
    </row>
    <row r="64" spans="2:14" s="66" customFormat="1" ht="14.25" outlineLevel="1" x14ac:dyDescent="0.2">
      <c r="B64" s="493" t="s">
        <v>406</v>
      </c>
      <c r="C64" s="322"/>
      <c r="D64" s="346"/>
      <c r="E64" s="346"/>
      <c r="F64" s="346"/>
      <c r="G64" s="346"/>
      <c r="H64" s="346"/>
      <c r="I64" s="346"/>
      <c r="J64" s="321"/>
      <c r="K64" s="349">
        <f>SUM(C64:I64)</f>
        <v>0</v>
      </c>
      <c r="L64" s="160"/>
      <c r="M64" s="160"/>
    </row>
    <row r="65" spans="2:13" s="66" customFormat="1" ht="14.25" outlineLevel="1" x14ac:dyDescent="0.2">
      <c r="B65" s="347" t="s">
        <v>114</v>
      </c>
      <c r="C65" s="491">
        <f t="shared" ref="C65:I65" si="20">IFERROR((C64/$K$38),)</f>
        <v>0</v>
      </c>
      <c r="D65" s="491">
        <f t="shared" si="20"/>
        <v>0</v>
      </c>
      <c r="E65" s="491">
        <f t="shared" si="20"/>
        <v>0</v>
      </c>
      <c r="F65" s="491">
        <f t="shared" si="20"/>
        <v>0</v>
      </c>
      <c r="G65" s="491">
        <f t="shared" si="20"/>
        <v>0</v>
      </c>
      <c r="H65" s="491">
        <f t="shared" si="20"/>
        <v>0</v>
      </c>
      <c r="I65" s="491">
        <f t="shared" si="20"/>
        <v>0</v>
      </c>
      <c r="J65" s="160"/>
      <c r="K65" s="492">
        <f>SUM(C65:I65)</f>
        <v>0</v>
      </c>
      <c r="L65" s="160"/>
      <c r="M65" s="160"/>
    </row>
    <row r="66" spans="2:13" s="66" customFormat="1" ht="14.25" outlineLevel="1" x14ac:dyDescent="0.2">
      <c r="B66" s="347" t="s">
        <v>335</v>
      </c>
      <c r="C66" s="511">
        <v>0</v>
      </c>
      <c r="D66" s="511">
        <v>0</v>
      </c>
      <c r="E66" s="511">
        <v>0</v>
      </c>
      <c r="F66" s="511">
        <v>0</v>
      </c>
      <c r="G66" s="511">
        <v>0</v>
      </c>
      <c r="H66" s="511">
        <v>0</v>
      </c>
      <c r="I66" s="511">
        <v>0</v>
      </c>
      <c r="J66" s="160"/>
      <c r="K66" s="349">
        <f>SUM(C66:I66)</f>
        <v>0</v>
      </c>
      <c r="L66" s="160"/>
      <c r="M66" s="160"/>
    </row>
    <row r="67" spans="2:13" s="66" customFormat="1" ht="14.25" outlineLevel="1" x14ac:dyDescent="0.2">
      <c r="B67" s="347" t="s">
        <v>115</v>
      </c>
      <c r="C67" s="350">
        <f>C64+C66</f>
        <v>0</v>
      </c>
      <c r="D67" s="345">
        <f t="shared" ref="D67" si="21">D64+D66</f>
        <v>0</v>
      </c>
      <c r="E67" s="345">
        <f t="shared" ref="E67" si="22">E64+E66</f>
        <v>0</v>
      </c>
      <c r="F67" s="345">
        <f t="shared" ref="F67" si="23">F64+F66</f>
        <v>0</v>
      </c>
      <c r="G67" s="345">
        <f t="shared" ref="G67" si="24">G64+G66</f>
        <v>0</v>
      </c>
      <c r="H67" s="345">
        <f t="shared" ref="H67" si="25">H64+H66</f>
        <v>0</v>
      </c>
      <c r="I67" s="345">
        <f t="shared" ref="I67" si="26">I64+I66</f>
        <v>0</v>
      </c>
      <c r="J67" s="516"/>
      <c r="K67" s="349">
        <f>SUM(C67:I67)</f>
        <v>0</v>
      </c>
      <c r="L67" s="160"/>
      <c r="M67" s="160"/>
    </row>
    <row r="68" spans="2:13" s="66" customFormat="1" outlineLevel="1" x14ac:dyDescent="0.25">
      <c r="B68" s="333" t="s">
        <v>37</v>
      </c>
      <c r="C68" s="160"/>
      <c r="D68" s="327"/>
      <c r="E68" s="353"/>
      <c r="F68" s="328"/>
      <c r="G68" s="329"/>
      <c r="H68" s="330"/>
      <c r="I68" s="160"/>
      <c r="J68" s="160"/>
      <c r="K68" s="354"/>
      <c r="L68" s="160"/>
      <c r="M68" s="160"/>
    </row>
    <row r="69" spans="2:13" s="66" customFormat="1" ht="14.25" outlineLevel="1" x14ac:dyDescent="0.2">
      <c r="B69" s="493" t="s">
        <v>407</v>
      </c>
      <c r="C69" s="160"/>
      <c r="D69" s="160"/>
      <c r="E69" s="345">
        <f>E64*E72</f>
        <v>0</v>
      </c>
      <c r="F69" s="345">
        <f t="shared" ref="F69:H69" si="27">F64*F72</f>
        <v>0</v>
      </c>
      <c r="G69" s="345">
        <f t="shared" si="27"/>
        <v>0</v>
      </c>
      <c r="H69" s="345">
        <f t="shared" si="27"/>
        <v>0</v>
      </c>
      <c r="I69" s="160"/>
      <c r="J69" s="160"/>
      <c r="K69" s="349">
        <f>SUM(C69:I69)</f>
        <v>0</v>
      </c>
      <c r="L69" s="160"/>
      <c r="M69" s="160"/>
    </row>
    <row r="70" spans="2:13" s="66" customFormat="1" ht="14.25" outlineLevel="1" x14ac:dyDescent="0.2">
      <c r="B70" s="347" t="s">
        <v>119</v>
      </c>
      <c r="C70" s="160"/>
      <c r="D70" s="160"/>
      <c r="E70" s="345">
        <f>E66*E72</f>
        <v>0</v>
      </c>
      <c r="F70" s="345">
        <f t="shared" ref="F70:H70" si="28">F66*F72</f>
        <v>0</v>
      </c>
      <c r="G70" s="345">
        <f t="shared" si="28"/>
        <v>0</v>
      </c>
      <c r="H70" s="345">
        <f t="shared" si="28"/>
        <v>0</v>
      </c>
      <c r="I70" s="160"/>
      <c r="J70" s="160"/>
      <c r="K70" s="355">
        <f>SUM(C70:I70)</f>
        <v>0</v>
      </c>
      <c r="L70" s="160"/>
      <c r="M70" s="160"/>
    </row>
    <row r="71" spans="2:13" s="66" customFormat="1" ht="14.25" outlineLevel="1" x14ac:dyDescent="0.2">
      <c r="B71" s="347" t="s">
        <v>115</v>
      </c>
      <c r="C71" s="160"/>
      <c r="D71" s="160"/>
      <c r="E71" s="345">
        <f>E69+E70</f>
        <v>0</v>
      </c>
      <c r="F71" s="345">
        <f t="shared" ref="F71" si="29">F69+F70</f>
        <v>0</v>
      </c>
      <c r="G71" s="345">
        <f t="shared" ref="G71" si="30">G69+G70</f>
        <v>0</v>
      </c>
      <c r="H71" s="345">
        <f t="shared" ref="H71" si="31">H69+H70</f>
        <v>0</v>
      </c>
      <c r="I71" s="160"/>
      <c r="J71" s="160"/>
      <c r="K71" s="349">
        <f>SUM(C71:I71)</f>
        <v>0</v>
      </c>
      <c r="L71" s="160"/>
      <c r="M71" s="160"/>
    </row>
    <row r="72" spans="2:13" s="66" customFormat="1" ht="14.25" outlineLevel="1" x14ac:dyDescent="0.2">
      <c r="B72" s="496" t="s">
        <v>405</v>
      </c>
      <c r="C72" s="332"/>
      <c r="D72" s="332"/>
      <c r="E72" s="515"/>
      <c r="F72" s="515"/>
      <c r="G72" s="515"/>
      <c r="H72" s="515"/>
      <c r="I72" s="332"/>
      <c r="J72" s="331"/>
      <c r="K72" s="498"/>
      <c r="L72" s="160"/>
      <c r="M72" s="160"/>
    </row>
    <row r="73" spans="2:13" s="66" customFormat="1" ht="14.25" outlineLevel="1" x14ac:dyDescent="0.2">
      <c r="B73" s="69"/>
      <c r="C73" s="83"/>
      <c r="L73" s="160"/>
    </row>
    <row r="74" spans="2:13" s="66" customFormat="1" ht="14.25" outlineLevel="1" x14ac:dyDescent="0.2">
      <c r="B74" s="69"/>
      <c r="C74" s="83"/>
    </row>
    <row r="75" spans="2:13" s="337" customFormat="1" ht="34.5" customHeight="1" outlineLevel="1" x14ac:dyDescent="0.25">
      <c r="B75" s="341">
        <v>2014</v>
      </c>
      <c r="C75" s="318" t="s">
        <v>38</v>
      </c>
      <c r="D75" s="318" t="s">
        <v>412</v>
      </c>
      <c r="E75" s="318" t="str">
        <f>+E62</f>
        <v>General Service &gt; 50 kW</v>
      </c>
      <c r="F75" s="318" t="s">
        <v>110</v>
      </c>
      <c r="G75" s="318" t="s">
        <v>116</v>
      </c>
      <c r="H75" s="318" t="s">
        <v>117</v>
      </c>
      <c r="I75" s="318" t="s">
        <v>118</v>
      </c>
      <c r="J75" s="318" t="s">
        <v>106</v>
      </c>
      <c r="K75" s="342" t="s">
        <v>35</v>
      </c>
    </row>
    <row r="76" spans="2:13" s="66" customFormat="1" outlineLevel="1" x14ac:dyDescent="0.25">
      <c r="B76" s="333" t="s">
        <v>36</v>
      </c>
      <c r="C76" s="320"/>
      <c r="D76" s="320"/>
      <c r="E76" s="320"/>
      <c r="F76" s="320"/>
      <c r="G76" s="320"/>
      <c r="H76" s="320"/>
      <c r="I76" s="320"/>
      <c r="J76" s="160"/>
      <c r="K76" s="344"/>
    </row>
    <row r="77" spans="2:13" s="66" customFormat="1" ht="14.25" outlineLevel="1" x14ac:dyDescent="0.2">
      <c r="B77" s="347" t="s">
        <v>525</v>
      </c>
      <c r="C77" s="322">
        <v>654814525</v>
      </c>
      <c r="D77" s="346">
        <v>244707481</v>
      </c>
      <c r="E77" s="346">
        <v>856342873</v>
      </c>
      <c r="F77" s="346"/>
      <c r="G77" s="346">
        <v>16128465</v>
      </c>
      <c r="H77" s="346"/>
      <c r="I77" s="346">
        <v>3417188</v>
      </c>
      <c r="J77" s="321">
        <v>31798990</v>
      </c>
      <c r="K77" s="349">
        <f>SUM(C77:J77)</f>
        <v>1807209522</v>
      </c>
    </row>
    <row r="78" spans="2:13" s="66" customFormat="1" ht="14.25" outlineLevel="1" x14ac:dyDescent="0.2">
      <c r="B78" s="347" t="s">
        <v>114</v>
      </c>
      <c r="C78" s="494">
        <f>C77/$K$77</f>
        <v>0.36233459210381475</v>
      </c>
      <c r="D78" s="494">
        <f>D77/$K$77</f>
        <v>0.13540625921956603</v>
      </c>
      <c r="E78" s="494">
        <f t="shared" ref="E78:I78" si="32">E77/$K$77</f>
        <v>0.47384814133355369</v>
      </c>
      <c r="F78" s="494">
        <f t="shared" si="32"/>
        <v>0</v>
      </c>
      <c r="G78" s="494">
        <f t="shared" si="32"/>
        <v>8.9245130703776796E-3</v>
      </c>
      <c r="H78" s="494">
        <f t="shared" si="32"/>
        <v>0</v>
      </c>
      <c r="I78" s="494">
        <f t="shared" si="32"/>
        <v>1.8908643178341996E-3</v>
      </c>
      <c r="J78" s="160"/>
      <c r="K78" s="492">
        <f>SUM(C78:I78)</f>
        <v>0.98240437004514636</v>
      </c>
    </row>
    <row r="79" spans="2:13" s="66" customFormat="1" ht="14.25" outlineLevel="1" x14ac:dyDescent="0.2">
      <c r="B79" s="347" t="s">
        <v>335</v>
      </c>
      <c r="C79" s="511">
        <v>-3348102</v>
      </c>
      <c r="D79" s="511">
        <v>-3280740</v>
      </c>
      <c r="E79" s="511">
        <v>-11994546</v>
      </c>
      <c r="F79" s="511">
        <f t="shared" ref="F79:H79" si="33">-$C$17*F78</f>
        <v>0</v>
      </c>
      <c r="G79" s="511">
        <v>0</v>
      </c>
      <c r="H79" s="511">
        <f t="shared" si="33"/>
        <v>0</v>
      </c>
      <c r="I79" s="511">
        <v>0</v>
      </c>
      <c r="J79" s="160"/>
      <c r="K79" s="349">
        <f>SUM(C79:I79)</f>
        <v>-18623388</v>
      </c>
    </row>
    <row r="80" spans="2:13" s="66" customFormat="1" ht="14.25" outlineLevel="1" x14ac:dyDescent="0.2">
      <c r="B80" s="347" t="s">
        <v>115</v>
      </c>
      <c r="C80" s="350">
        <f>C77+C79</f>
        <v>651466423</v>
      </c>
      <c r="D80" s="345">
        <f t="shared" ref="D80" si="34">D77+D79</f>
        <v>241426741</v>
      </c>
      <c r="E80" s="345">
        <f t="shared" ref="E80" si="35">E77+E79</f>
        <v>844348327</v>
      </c>
      <c r="F80" s="345">
        <f t="shared" ref="F80" si="36">F77+F79</f>
        <v>0</v>
      </c>
      <c r="G80" s="345">
        <f t="shared" ref="G80" si="37">G77+G79</f>
        <v>16128465</v>
      </c>
      <c r="H80" s="345">
        <f t="shared" ref="H80" si="38">H77+H79</f>
        <v>0</v>
      </c>
      <c r="I80" s="345">
        <f t="shared" ref="I80" si="39">I77+I79</f>
        <v>3417188</v>
      </c>
      <c r="J80" s="160"/>
      <c r="K80" s="349">
        <f>SUM(C80:I80)</f>
        <v>1756787144</v>
      </c>
    </row>
    <row r="81" spans="2:11" s="66" customFormat="1" outlineLevel="1" x14ac:dyDescent="0.25">
      <c r="B81" s="333" t="s">
        <v>37</v>
      </c>
      <c r="C81" s="160"/>
      <c r="D81" s="327"/>
      <c r="E81" s="353"/>
      <c r="F81" s="328"/>
      <c r="G81" s="329"/>
      <c r="H81" s="330"/>
      <c r="I81" s="160"/>
      <c r="J81" s="160"/>
      <c r="K81" s="354"/>
    </row>
    <row r="82" spans="2:11" s="66" customFormat="1" ht="14.25" outlineLevel="1" x14ac:dyDescent="0.2">
      <c r="B82" s="347" t="s">
        <v>407</v>
      </c>
      <c r="C82" s="160"/>
      <c r="D82" s="160"/>
      <c r="E82" s="345">
        <f t="shared" ref="E82:H82" si="40">E77*E85</f>
        <v>2236767.584276</v>
      </c>
      <c r="F82" s="345">
        <f t="shared" si="40"/>
        <v>0</v>
      </c>
      <c r="G82" s="345">
        <f t="shared" si="40"/>
        <v>0</v>
      </c>
      <c r="H82" s="345">
        <f t="shared" si="40"/>
        <v>0</v>
      </c>
      <c r="I82" s="160"/>
      <c r="J82" s="160"/>
      <c r="K82" s="349">
        <f>SUM(C82:I82)</f>
        <v>2236767.584276</v>
      </c>
    </row>
    <row r="83" spans="2:11" s="66" customFormat="1" ht="14.25" outlineLevel="1" x14ac:dyDescent="0.2">
      <c r="B83" s="347" t="s">
        <v>119</v>
      </c>
      <c r="C83" s="160"/>
      <c r="D83" s="160"/>
      <c r="E83" s="345">
        <v>-31326</v>
      </c>
      <c r="F83" s="345">
        <f t="shared" ref="F83:H83" si="41">F79*F85</f>
        <v>0</v>
      </c>
      <c r="G83" s="345">
        <f t="shared" si="41"/>
        <v>0</v>
      </c>
      <c r="H83" s="345">
        <f t="shared" si="41"/>
        <v>0</v>
      </c>
      <c r="I83" s="160"/>
      <c r="J83" s="160"/>
      <c r="K83" s="355">
        <f>SUM(C83:I83)</f>
        <v>-31326</v>
      </c>
    </row>
    <row r="84" spans="2:11" s="66" customFormat="1" ht="14.25" outlineLevel="1" x14ac:dyDescent="0.2">
      <c r="B84" s="347" t="s">
        <v>115</v>
      </c>
      <c r="C84" s="160"/>
      <c r="D84" s="160"/>
      <c r="E84" s="345">
        <f>E82+E83</f>
        <v>2205441.584276</v>
      </c>
      <c r="F84" s="345">
        <f t="shared" ref="F84" si="42">F82+F83</f>
        <v>0</v>
      </c>
      <c r="G84" s="345">
        <f t="shared" ref="G84" si="43">G82+G83</f>
        <v>0</v>
      </c>
      <c r="H84" s="345">
        <f t="shared" ref="H84" si="44">H82+H83</f>
        <v>0</v>
      </c>
      <c r="I84" s="160"/>
      <c r="J84" s="160"/>
      <c r="K84" s="349">
        <f>SUM(C84:I84)</f>
        <v>2205441.584276</v>
      </c>
    </row>
    <row r="85" spans="2:11" s="66" customFormat="1" ht="14.25" outlineLevel="1" x14ac:dyDescent="0.2">
      <c r="B85" s="496" t="s">
        <v>404</v>
      </c>
      <c r="C85" s="332"/>
      <c r="D85" s="332"/>
      <c r="E85" s="515">
        <v>2.6120000000000002E-3</v>
      </c>
      <c r="F85" s="515"/>
      <c r="G85" s="515"/>
      <c r="H85" s="515"/>
      <c r="I85" s="332"/>
      <c r="J85" s="331"/>
      <c r="K85" s="498"/>
    </row>
    <row r="86" spans="2:11" s="66" customFormat="1" ht="14.25" outlineLevel="1" x14ac:dyDescent="0.2">
      <c r="C86" s="83"/>
    </row>
    <row r="87" spans="2:11" s="66" customFormat="1" ht="14.25" outlineLevel="1" x14ac:dyDescent="0.2">
      <c r="B87" s="83"/>
      <c r="C87" s="335"/>
    </row>
    <row r="88" spans="2:11" s="66" customFormat="1" ht="30" outlineLevel="1" x14ac:dyDescent="0.2">
      <c r="B88" s="341">
        <v>2015</v>
      </c>
      <c r="C88" s="318" t="s">
        <v>38</v>
      </c>
      <c r="D88" s="318" t="s">
        <v>412</v>
      </c>
      <c r="E88" s="318" t="str">
        <f>+E75</f>
        <v>General Service &gt; 50 kW</v>
      </c>
      <c r="F88" s="318" t="s">
        <v>110</v>
      </c>
      <c r="G88" s="318" t="s">
        <v>116</v>
      </c>
      <c r="H88" s="318" t="s">
        <v>117</v>
      </c>
      <c r="I88" s="318" t="s">
        <v>118</v>
      </c>
      <c r="J88" s="318" t="s">
        <v>106</v>
      </c>
      <c r="K88" s="342" t="s">
        <v>35</v>
      </c>
    </row>
    <row r="89" spans="2:11" s="66" customFormat="1" outlineLevel="1" x14ac:dyDescent="0.25">
      <c r="B89" s="333" t="s">
        <v>36</v>
      </c>
      <c r="C89" s="320"/>
      <c r="D89" s="320"/>
      <c r="E89" s="320"/>
      <c r="F89" s="320"/>
      <c r="G89" s="320"/>
      <c r="H89" s="320"/>
      <c r="I89" s="320"/>
      <c r="J89" s="160"/>
      <c r="K89" s="344"/>
    </row>
    <row r="90" spans="2:11" s="66" customFormat="1" ht="14.25" outlineLevel="1" x14ac:dyDescent="0.2">
      <c r="B90" s="347" t="s">
        <v>525</v>
      </c>
      <c r="C90" s="322">
        <v>654814525</v>
      </c>
      <c r="D90" s="346">
        <v>244707481</v>
      </c>
      <c r="E90" s="346">
        <v>856342873</v>
      </c>
      <c r="F90" s="346"/>
      <c r="G90" s="346"/>
      <c r="H90" s="346"/>
      <c r="I90" s="346"/>
      <c r="J90" s="321"/>
      <c r="K90" s="349">
        <f>SUM(C90:I90)</f>
        <v>1755864879</v>
      </c>
    </row>
    <row r="91" spans="2:11" s="66" customFormat="1" ht="14.25" outlineLevel="1" x14ac:dyDescent="0.2">
      <c r="B91" s="347" t="s">
        <v>114</v>
      </c>
      <c r="C91" s="494">
        <f>C90/$K$90</f>
        <v>0.37292990641337387</v>
      </c>
      <c r="D91" s="494">
        <f>D90/$K$90</f>
        <v>0.13936578145999809</v>
      </c>
      <c r="E91" s="494">
        <f>E90/$K$90</f>
        <v>0.48770431212662807</v>
      </c>
      <c r="F91" s="494">
        <f t="shared" ref="F91:I91" si="45">F90/$K$90</f>
        <v>0</v>
      </c>
      <c r="G91" s="494">
        <f t="shared" si="45"/>
        <v>0</v>
      </c>
      <c r="H91" s="494">
        <f t="shared" si="45"/>
        <v>0</v>
      </c>
      <c r="I91" s="494">
        <f t="shared" si="45"/>
        <v>0</v>
      </c>
      <c r="J91" s="160"/>
      <c r="K91" s="492">
        <f>SUM(C91:I91)</f>
        <v>1</v>
      </c>
    </row>
    <row r="92" spans="2:11" s="66" customFormat="1" ht="14.25" outlineLevel="1" x14ac:dyDescent="0.2">
      <c r="B92" s="347" t="s">
        <v>335</v>
      </c>
      <c r="C92" s="511">
        <v>-3348102</v>
      </c>
      <c r="D92" s="511">
        <f>+D79</f>
        <v>-3280740</v>
      </c>
      <c r="E92" s="511">
        <f>+E79</f>
        <v>-11994546</v>
      </c>
      <c r="F92" s="511">
        <f t="shared" ref="F92:I92" si="46">-$C$18*F91</f>
        <v>0</v>
      </c>
      <c r="G92" s="511">
        <f t="shared" si="46"/>
        <v>0</v>
      </c>
      <c r="H92" s="511">
        <f t="shared" si="46"/>
        <v>0</v>
      </c>
      <c r="I92" s="511">
        <f t="shared" si="46"/>
        <v>0</v>
      </c>
      <c r="J92" s="160"/>
      <c r="K92" s="349">
        <f>SUM(C92:I92)</f>
        <v>-18623388</v>
      </c>
    </row>
    <row r="93" spans="2:11" s="66" customFormat="1" ht="14.25" outlineLevel="1" x14ac:dyDescent="0.2">
      <c r="B93" s="347" t="s">
        <v>115</v>
      </c>
      <c r="C93" s="350">
        <f>C90+C92</f>
        <v>651466423</v>
      </c>
      <c r="D93" s="345">
        <f t="shared" ref="D93:I93" si="47">D90+D92</f>
        <v>241426741</v>
      </c>
      <c r="E93" s="345">
        <f t="shared" si="47"/>
        <v>844348327</v>
      </c>
      <c r="F93" s="345">
        <f t="shared" si="47"/>
        <v>0</v>
      </c>
      <c r="G93" s="345">
        <f t="shared" si="47"/>
        <v>0</v>
      </c>
      <c r="H93" s="345">
        <f t="shared" si="47"/>
        <v>0</v>
      </c>
      <c r="I93" s="345">
        <f t="shared" si="47"/>
        <v>0</v>
      </c>
      <c r="J93" s="160"/>
      <c r="K93" s="349">
        <f>SUM(C93:I93)</f>
        <v>1737241491</v>
      </c>
    </row>
    <row r="94" spans="2:11" s="66" customFormat="1" outlineLevel="1" x14ac:dyDescent="0.25">
      <c r="B94" s="333" t="s">
        <v>37</v>
      </c>
      <c r="C94" s="160"/>
      <c r="D94" s="327"/>
      <c r="E94" s="353"/>
      <c r="F94" s="328"/>
      <c r="G94" s="329"/>
      <c r="H94" s="330"/>
      <c r="I94" s="160"/>
      <c r="J94" s="160"/>
      <c r="K94" s="354"/>
    </row>
    <row r="95" spans="2:11" s="66" customFormat="1" ht="14.25" outlineLevel="1" x14ac:dyDescent="0.2">
      <c r="B95" s="347" t="s">
        <v>407</v>
      </c>
      <c r="C95" s="160"/>
      <c r="D95" s="160"/>
      <c r="E95" s="345">
        <v>2236471</v>
      </c>
      <c r="F95" s="345">
        <f t="shared" ref="F95:H95" si="48">F90*F98</f>
        <v>0</v>
      </c>
      <c r="G95" s="345">
        <f t="shared" si="48"/>
        <v>0</v>
      </c>
      <c r="H95" s="345">
        <f t="shared" si="48"/>
        <v>0</v>
      </c>
      <c r="I95" s="160"/>
      <c r="J95" s="160"/>
      <c r="K95" s="349">
        <f>SUM(C95:I95)</f>
        <v>2236471</v>
      </c>
    </row>
    <row r="96" spans="2:11" s="66" customFormat="1" ht="14.25" outlineLevel="1" x14ac:dyDescent="0.2">
      <c r="B96" s="347" t="s">
        <v>119</v>
      </c>
      <c r="C96" s="160"/>
      <c r="D96" s="160"/>
      <c r="E96" s="345">
        <v>-31326</v>
      </c>
      <c r="F96" s="345">
        <f t="shared" ref="F96:H96" si="49">F92*F98</f>
        <v>0</v>
      </c>
      <c r="G96" s="345">
        <f t="shared" si="49"/>
        <v>0</v>
      </c>
      <c r="H96" s="345">
        <f t="shared" si="49"/>
        <v>0</v>
      </c>
      <c r="I96" s="160"/>
      <c r="J96" s="160"/>
      <c r="K96" s="355">
        <f>SUM(C96:I96)</f>
        <v>-31326</v>
      </c>
    </row>
    <row r="97" spans="2:12" s="66" customFormat="1" ht="14.25" outlineLevel="1" x14ac:dyDescent="0.2">
      <c r="B97" s="347" t="s">
        <v>115</v>
      </c>
      <c r="C97" s="160"/>
      <c r="D97" s="160"/>
      <c r="E97" s="345">
        <f>E95+E96</f>
        <v>2205145</v>
      </c>
      <c r="F97" s="345">
        <f t="shared" ref="F97:H97" si="50">F95+F96</f>
        <v>0</v>
      </c>
      <c r="G97" s="345">
        <f t="shared" si="50"/>
        <v>0</v>
      </c>
      <c r="H97" s="345">
        <f t="shared" si="50"/>
        <v>0</v>
      </c>
      <c r="I97" s="160"/>
      <c r="J97" s="160"/>
      <c r="K97" s="349">
        <f>SUM(C97:I97)</f>
        <v>2205145</v>
      </c>
    </row>
    <row r="98" spans="2:12" s="66" customFormat="1" ht="14.25" outlineLevel="1" x14ac:dyDescent="0.2">
      <c r="B98" s="496" t="s">
        <v>404</v>
      </c>
      <c r="C98" s="332"/>
      <c r="D98" s="332"/>
      <c r="E98" s="515">
        <v>2.6120000000000002E-3</v>
      </c>
      <c r="F98" s="515"/>
      <c r="G98" s="515"/>
      <c r="H98" s="515"/>
      <c r="I98" s="332"/>
      <c r="J98" s="331"/>
      <c r="K98" s="498"/>
    </row>
    <row r="99" spans="2:12" s="66" customFormat="1" ht="14.25" outlineLevel="1" x14ac:dyDescent="0.2">
      <c r="B99" s="83"/>
    </row>
    <row r="100" spans="2:12" s="66" customFormat="1" ht="14.25" outlineLevel="1" x14ac:dyDescent="0.2">
      <c r="B100" s="83"/>
    </row>
    <row r="101" spans="2:12" s="66" customFormat="1" ht="30" outlineLevel="1" x14ac:dyDescent="0.2">
      <c r="B101" s="341">
        <v>2016</v>
      </c>
      <c r="C101" s="318" t="s">
        <v>38</v>
      </c>
      <c r="D101" s="318" t="s">
        <v>412</v>
      </c>
      <c r="E101" s="318" t="str">
        <f>+E88</f>
        <v>General Service &gt; 50 kW</v>
      </c>
      <c r="F101" s="318" t="s">
        <v>110</v>
      </c>
      <c r="G101" s="318" t="s">
        <v>116</v>
      </c>
      <c r="H101" s="318" t="s">
        <v>117</v>
      </c>
      <c r="I101" s="318" t="s">
        <v>118</v>
      </c>
      <c r="J101" s="318" t="s">
        <v>106</v>
      </c>
      <c r="K101" s="342" t="s">
        <v>35</v>
      </c>
    </row>
    <row r="102" spans="2:12" s="66" customFormat="1" outlineLevel="1" x14ac:dyDescent="0.25">
      <c r="B102" s="333" t="s">
        <v>36</v>
      </c>
      <c r="C102" s="320"/>
      <c r="D102" s="320"/>
      <c r="E102" s="320"/>
      <c r="F102" s="320"/>
      <c r="G102" s="320"/>
      <c r="H102" s="320"/>
      <c r="I102" s="320"/>
      <c r="J102" s="160"/>
      <c r="K102" s="344"/>
    </row>
    <row r="103" spans="2:12" s="66" customFormat="1" ht="14.25" outlineLevel="1" x14ac:dyDescent="0.2">
      <c r="B103" s="347" t="s">
        <v>406</v>
      </c>
      <c r="C103" s="322"/>
      <c r="D103" s="346"/>
      <c r="E103" s="346"/>
      <c r="F103" s="346"/>
      <c r="G103" s="346"/>
      <c r="H103" s="346"/>
      <c r="I103" s="346"/>
      <c r="J103" s="321"/>
      <c r="K103" s="349">
        <f>SUM(C103:I103)</f>
        <v>0</v>
      </c>
    </row>
    <row r="104" spans="2:12" s="23" customFormat="1" outlineLevel="1" x14ac:dyDescent="0.25">
      <c r="B104" s="347" t="s">
        <v>114</v>
      </c>
      <c r="C104" s="491">
        <f t="shared" ref="C104:I104" si="51">IFERROR((C103/$K$38),)</f>
        <v>0</v>
      </c>
      <c r="D104" s="491">
        <f t="shared" si="51"/>
        <v>0</v>
      </c>
      <c r="E104" s="491">
        <f t="shared" si="51"/>
        <v>0</v>
      </c>
      <c r="F104" s="491">
        <f t="shared" si="51"/>
        <v>0</v>
      </c>
      <c r="G104" s="491">
        <f t="shared" si="51"/>
        <v>0</v>
      </c>
      <c r="H104" s="491">
        <f t="shared" si="51"/>
        <v>0</v>
      </c>
      <c r="I104" s="491">
        <f t="shared" si="51"/>
        <v>0</v>
      </c>
      <c r="J104" s="160"/>
      <c r="K104" s="492">
        <f>SUM(C104:I104)</f>
        <v>0</v>
      </c>
      <c r="L104" s="66"/>
    </row>
    <row r="105" spans="2:12" s="23" customFormat="1" outlineLevel="1" x14ac:dyDescent="0.25">
      <c r="B105" s="347" t="s">
        <v>335</v>
      </c>
      <c r="C105" s="511">
        <f>-$C$19*C104</f>
        <v>0</v>
      </c>
      <c r="D105" s="511">
        <f t="shared" ref="D105:I105" si="52">-$C$19*D104</f>
        <v>0</v>
      </c>
      <c r="E105" s="511">
        <f t="shared" si="52"/>
        <v>0</v>
      </c>
      <c r="F105" s="511">
        <f t="shared" si="52"/>
        <v>0</v>
      </c>
      <c r="G105" s="511">
        <f t="shared" si="52"/>
        <v>0</v>
      </c>
      <c r="H105" s="511">
        <f t="shared" si="52"/>
        <v>0</v>
      </c>
      <c r="I105" s="511">
        <f t="shared" si="52"/>
        <v>0</v>
      </c>
      <c r="J105" s="160"/>
      <c r="K105" s="349">
        <f>SUM(C105:I105)</f>
        <v>0</v>
      </c>
    </row>
    <row r="106" spans="2:12" s="23" customFormat="1" outlineLevel="1" x14ac:dyDescent="0.25">
      <c r="B106" s="347" t="s">
        <v>115</v>
      </c>
      <c r="C106" s="350">
        <f>C103+C105</f>
        <v>0</v>
      </c>
      <c r="D106" s="345">
        <f t="shared" ref="D106:I106" si="53">D103+D105</f>
        <v>0</v>
      </c>
      <c r="E106" s="345">
        <f t="shared" si="53"/>
        <v>0</v>
      </c>
      <c r="F106" s="345">
        <f t="shared" si="53"/>
        <v>0</v>
      </c>
      <c r="G106" s="345">
        <f t="shared" si="53"/>
        <v>0</v>
      </c>
      <c r="H106" s="345">
        <f t="shared" si="53"/>
        <v>0</v>
      </c>
      <c r="I106" s="345">
        <f t="shared" si="53"/>
        <v>0</v>
      </c>
      <c r="J106" s="160"/>
      <c r="K106" s="349">
        <f>SUM(C106:I106)</f>
        <v>0</v>
      </c>
    </row>
    <row r="107" spans="2:12" s="23" customFormat="1" outlineLevel="1" x14ac:dyDescent="0.25">
      <c r="B107" s="333" t="s">
        <v>37</v>
      </c>
      <c r="C107" s="160"/>
      <c r="D107" s="327"/>
      <c r="E107" s="353"/>
      <c r="F107" s="328"/>
      <c r="G107" s="329"/>
      <c r="H107" s="330"/>
      <c r="I107" s="160"/>
      <c r="J107" s="160"/>
      <c r="K107" s="354"/>
    </row>
    <row r="108" spans="2:12" s="23" customFormat="1" outlineLevel="1" x14ac:dyDescent="0.25">
      <c r="B108" s="347" t="s">
        <v>407</v>
      </c>
      <c r="C108" s="160"/>
      <c r="D108" s="160"/>
      <c r="E108" s="345">
        <f>E103*E111</f>
        <v>0</v>
      </c>
      <c r="F108" s="345">
        <f t="shared" ref="F108:H108" si="54">F103*F111</f>
        <v>0</v>
      </c>
      <c r="G108" s="345">
        <f t="shared" si="54"/>
        <v>0</v>
      </c>
      <c r="H108" s="345">
        <f t="shared" si="54"/>
        <v>0</v>
      </c>
      <c r="I108" s="160"/>
      <c r="J108" s="160"/>
      <c r="K108" s="349">
        <f>SUM(C108:I108)</f>
        <v>0</v>
      </c>
    </row>
    <row r="109" spans="2:12" s="23" customFormat="1" outlineLevel="1" x14ac:dyDescent="0.25">
      <c r="B109" s="347" t="s">
        <v>119</v>
      </c>
      <c r="C109" s="160"/>
      <c r="D109" s="160"/>
      <c r="E109" s="345">
        <f>E105*E111</f>
        <v>0</v>
      </c>
      <c r="F109" s="345">
        <f t="shared" ref="F109:H109" si="55">F105*F111</f>
        <v>0</v>
      </c>
      <c r="G109" s="345">
        <f t="shared" si="55"/>
        <v>0</v>
      </c>
      <c r="H109" s="345">
        <f t="shared" si="55"/>
        <v>0</v>
      </c>
      <c r="I109" s="160"/>
      <c r="J109" s="160"/>
      <c r="K109" s="355">
        <f>SUM(C109:I109)</f>
        <v>0</v>
      </c>
    </row>
    <row r="110" spans="2:12" s="23" customFormat="1" outlineLevel="1" x14ac:dyDescent="0.25">
      <c r="B110" s="347" t="s">
        <v>115</v>
      </c>
      <c r="C110" s="160"/>
      <c r="D110" s="160"/>
      <c r="E110" s="345">
        <f>E108+E109</f>
        <v>0</v>
      </c>
      <c r="F110" s="345">
        <f t="shared" ref="F110:H110" si="56">F108+F109</f>
        <v>0</v>
      </c>
      <c r="G110" s="345">
        <f t="shared" si="56"/>
        <v>0</v>
      </c>
      <c r="H110" s="345">
        <f t="shared" si="56"/>
        <v>0</v>
      </c>
      <c r="I110" s="160"/>
      <c r="J110" s="160"/>
      <c r="K110" s="349">
        <f>SUM(C110:I110)</f>
        <v>0</v>
      </c>
    </row>
    <row r="111" spans="2:12" s="23" customFormat="1" outlineLevel="1" x14ac:dyDescent="0.25">
      <c r="B111" s="496" t="s">
        <v>404</v>
      </c>
      <c r="C111" s="332"/>
      <c r="D111" s="332"/>
      <c r="E111" s="515"/>
      <c r="F111" s="515"/>
      <c r="G111" s="515"/>
      <c r="H111" s="515"/>
      <c r="I111" s="332"/>
      <c r="J111" s="331"/>
      <c r="K111" s="498"/>
    </row>
    <row r="112" spans="2:12" s="23" customFormat="1" outlineLevel="1" x14ac:dyDescent="0.25">
      <c r="B112" s="65"/>
    </row>
    <row r="113" spans="2:12" s="23" customFormat="1" outlineLevel="1" x14ac:dyDescent="0.25">
      <c r="B113" s="65"/>
    </row>
    <row r="114" spans="2:12" s="23" customFormat="1" ht="30" outlineLevel="1" x14ac:dyDescent="0.25">
      <c r="B114" s="341">
        <v>2017</v>
      </c>
      <c r="C114" s="318" t="s">
        <v>38</v>
      </c>
      <c r="D114" s="318" t="s">
        <v>412</v>
      </c>
      <c r="E114" s="318" t="str">
        <f>+E101</f>
        <v>General Service &gt; 50 kW</v>
      </c>
      <c r="F114" s="318" t="s">
        <v>110</v>
      </c>
      <c r="G114" s="318" t="s">
        <v>116</v>
      </c>
      <c r="H114" s="318" t="s">
        <v>117</v>
      </c>
      <c r="I114" s="318" t="s">
        <v>118</v>
      </c>
      <c r="J114" s="318" t="s">
        <v>106</v>
      </c>
      <c r="K114" s="342" t="s">
        <v>35</v>
      </c>
    </row>
    <row r="115" spans="2:12" s="23" customFormat="1" outlineLevel="1" x14ac:dyDescent="0.25">
      <c r="B115" s="333" t="s">
        <v>36</v>
      </c>
      <c r="C115" s="320"/>
      <c r="D115" s="320"/>
      <c r="E115" s="320"/>
      <c r="F115" s="320"/>
      <c r="G115" s="320"/>
      <c r="H115" s="320"/>
      <c r="I115" s="320"/>
      <c r="J115" s="160"/>
      <c r="K115" s="344"/>
    </row>
    <row r="116" spans="2:12" s="23" customFormat="1" outlineLevel="1" x14ac:dyDescent="0.25">
      <c r="B116" s="347" t="s">
        <v>406</v>
      </c>
      <c r="C116" s="322"/>
      <c r="D116" s="346"/>
      <c r="E116" s="346"/>
      <c r="F116" s="346"/>
      <c r="G116" s="346"/>
      <c r="H116" s="346"/>
      <c r="I116" s="346"/>
      <c r="J116" s="321"/>
      <c r="K116" s="349">
        <f>SUM(C116:I116)</f>
        <v>0</v>
      </c>
    </row>
    <row r="117" spans="2:12" s="23" customFormat="1" outlineLevel="1" x14ac:dyDescent="0.25">
      <c r="B117" s="347" t="s">
        <v>114</v>
      </c>
      <c r="C117" s="491">
        <f t="shared" ref="C117:I117" si="57">IFERROR((C116/$K$38),)</f>
        <v>0</v>
      </c>
      <c r="D117" s="491">
        <f t="shared" si="57"/>
        <v>0</v>
      </c>
      <c r="E117" s="491">
        <f t="shared" si="57"/>
        <v>0</v>
      </c>
      <c r="F117" s="491">
        <f t="shared" si="57"/>
        <v>0</v>
      </c>
      <c r="G117" s="491">
        <f t="shared" si="57"/>
        <v>0</v>
      </c>
      <c r="H117" s="491">
        <f t="shared" si="57"/>
        <v>0</v>
      </c>
      <c r="I117" s="491">
        <f t="shared" si="57"/>
        <v>0</v>
      </c>
      <c r="J117" s="160"/>
      <c r="K117" s="492">
        <f>SUM(C117:I117)</f>
        <v>0</v>
      </c>
      <c r="L117" s="66"/>
    </row>
    <row r="118" spans="2:12" s="23" customFormat="1" outlineLevel="1" x14ac:dyDescent="0.25">
      <c r="B118" s="347" t="s">
        <v>335</v>
      </c>
      <c r="C118" s="511">
        <f>-$C$20*C117</f>
        <v>0</v>
      </c>
      <c r="D118" s="511">
        <f t="shared" ref="D118:I118" si="58">-$C$20*D117</f>
        <v>0</v>
      </c>
      <c r="E118" s="511">
        <f t="shared" si="58"/>
        <v>0</v>
      </c>
      <c r="F118" s="511">
        <f t="shared" si="58"/>
        <v>0</v>
      </c>
      <c r="G118" s="511">
        <f t="shared" si="58"/>
        <v>0</v>
      </c>
      <c r="H118" s="511">
        <f t="shared" si="58"/>
        <v>0</v>
      </c>
      <c r="I118" s="511">
        <f t="shared" si="58"/>
        <v>0</v>
      </c>
      <c r="J118" s="160"/>
      <c r="K118" s="349">
        <f>SUM(C118:I118)</f>
        <v>0</v>
      </c>
    </row>
    <row r="119" spans="2:12" s="23" customFormat="1" outlineLevel="1" x14ac:dyDescent="0.25">
      <c r="B119" s="347" t="s">
        <v>115</v>
      </c>
      <c r="C119" s="350">
        <f>C116+C118</f>
        <v>0</v>
      </c>
      <c r="D119" s="345">
        <f>D116+D118</f>
        <v>0</v>
      </c>
      <c r="E119" s="345">
        <f t="shared" ref="E119:I119" si="59">E116+E118</f>
        <v>0</v>
      </c>
      <c r="F119" s="345">
        <f t="shared" si="59"/>
        <v>0</v>
      </c>
      <c r="G119" s="345">
        <f t="shared" si="59"/>
        <v>0</v>
      </c>
      <c r="H119" s="345">
        <f t="shared" si="59"/>
        <v>0</v>
      </c>
      <c r="I119" s="345">
        <f t="shared" si="59"/>
        <v>0</v>
      </c>
      <c r="J119" s="160"/>
      <c r="K119" s="349">
        <f>SUM(C119:I119)</f>
        <v>0</v>
      </c>
    </row>
    <row r="120" spans="2:12" s="23" customFormat="1" outlineLevel="1" x14ac:dyDescent="0.25">
      <c r="B120" s="333" t="s">
        <v>37</v>
      </c>
      <c r="C120" s="160"/>
      <c r="D120" s="327"/>
      <c r="E120" s="353"/>
      <c r="F120" s="328"/>
      <c r="G120" s="329"/>
      <c r="H120" s="330"/>
      <c r="I120" s="160"/>
      <c r="J120" s="160"/>
      <c r="K120" s="354"/>
    </row>
    <row r="121" spans="2:12" s="23" customFormat="1" outlineLevel="1" x14ac:dyDescent="0.25">
      <c r="B121" s="347" t="s">
        <v>407</v>
      </c>
      <c r="C121" s="160"/>
      <c r="D121" s="160"/>
      <c r="E121" s="345">
        <f>E116*E124</f>
        <v>0</v>
      </c>
      <c r="F121" s="345">
        <f t="shared" ref="F121:H121" si="60">F116*F124</f>
        <v>0</v>
      </c>
      <c r="G121" s="345">
        <f t="shared" si="60"/>
        <v>0</v>
      </c>
      <c r="H121" s="345">
        <f t="shared" si="60"/>
        <v>0</v>
      </c>
      <c r="I121" s="160"/>
      <c r="J121" s="160"/>
      <c r="K121" s="349">
        <f>SUM(C121:I121)</f>
        <v>0</v>
      </c>
    </row>
    <row r="122" spans="2:12" s="23" customFormat="1" outlineLevel="1" x14ac:dyDescent="0.25">
      <c r="B122" s="347" t="s">
        <v>119</v>
      </c>
      <c r="C122" s="160"/>
      <c r="D122" s="160"/>
      <c r="E122" s="345">
        <f>E118*E124</f>
        <v>0</v>
      </c>
      <c r="F122" s="345">
        <f t="shared" ref="F122:H122" si="61">F118*F124</f>
        <v>0</v>
      </c>
      <c r="G122" s="345">
        <f t="shared" si="61"/>
        <v>0</v>
      </c>
      <c r="H122" s="345">
        <f t="shared" si="61"/>
        <v>0</v>
      </c>
      <c r="I122" s="160"/>
      <c r="J122" s="160"/>
      <c r="K122" s="355">
        <f>SUM(C122:I122)</f>
        <v>0</v>
      </c>
    </row>
    <row r="123" spans="2:12" s="23" customFormat="1" outlineLevel="1" x14ac:dyDescent="0.25">
      <c r="B123" s="347" t="s">
        <v>115</v>
      </c>
      <c r="C123" s="160"/>
      <c r="D123" s="160"/>
      <c r="E123" s="345">
        <f>E121+E122</f>
        <v>0</v>
      </c>
      <c r="F123" s="345">
        <f t="shared" ref="F123:H123" si="62">F121+F122</f>
        <v>0</v>
      </c>
      <c r="G123" s="345">
        <f t="shared" si="62"/>
        <v>0</v>
      </c>
      <c r="H123" s="345">
        <f t="shared" si="62"/>
        <v>0</v>
      </c>
      <c r="I123" s="160"/>
      <c r="J123" s="160"/>
      <c r="K123" s="349">
        <f>SUM(C123:I123)</f>
        <v>0</v>
      </c>
    </row>
    <row r="124" spans="2:12" s="23" customFormat="1" outlineLevel="1" x14ac:dyDescent="0.25">
      <c r="B124" s="496" t="s">
        <v>404</v>
      </c>
      <c r="C124" s="332"/>
      <c r="D124" s="332"/>
      <c r="E124" s="515"/>
      <c r="F124" s="515"/>
      <c r="G124" s="515"/>
      <c r="H124" s="515"/>
      <c r="I124" s="332"/>
      <c r="J124" s="331"/>
      <c r="K124" s="498"/>
    </row>
    <row r="125" spans="2:12" s="23" customFormat="1" outlineLevel="1" x14ac:dyDescent="0.25">
      <c r="B125" s="65"/>
    </row>
    <row r="126" spans="2:12" s="23" customFormat="1" outlineLevel="1" x14ac:dyDescent="0.25">
      <c r="B126" s="65"/>
    </row>
    <row r="127" spans="2:12" s="23" customFormat="1" outlineLevel="1" x14ac:dyDescent="0.25">
      <c r="B127" s="65"/>
    </row>
    <row r="128" spans="2:12" s="23" customFormat="1" x14ac:dyDescent="0.25">
      <c r="B128" s="65"/>
    </row>
    <row r="129" spans="2:11" s="55" customFormat="1" ht="16.5" customHeight="1" x14ac:dyDescent="0.2">
      <c r="B129" s="372" t="s">
        <v>415</v>
      </c>
      <c r="C129" s="113"/>
      <c r="D129" s="113"/>
      <c r="E129" s="113"/>
      <c r="F129" s="113"/>
      <c r="G129" s="113"/>
      <c r="H129" s="113"/>
      <c r="I129" s="113"/>
      <c r="J129" s="113"/>
      <c r="K129" s="113"/>
    </row>
    <row r="130" spans="2:11" s="3" customFormat="1" ht="9.75" customHeight="1" x14ac:dyDescent="0.2"/>
    <row r="131" spans="2:11" s="3" customFormat="1" ht="38.25" customHeight="1" x14ac:dyDescent="0.2">
      <c r="B131" s="102" t="s">
        <v>56</v>
      </c>
      <c r="C131" s="102" t="str">
        <f t="shared" ref="C131:J131" si="63">C24</f>
        <v>Residential</v>
      </c>
      <c r="D131" s="102" t="str">
        <f t="shared" si="63"/>
        <v>General Service &lt;50 kW</v>
      </c>
      <c r="E131" s="102" t="str">
        <f t="shared" si="63"/>
        <v>General Service &gt; 50 kW</v>
      </c>
      <c r="F131" s="102" t="str">
        <f t="shared" si="63"/>
        <v>General Service 1,000 - 4,999 kW</v>
      </c>
      <c r="G131" s="102" t="str">
        <f t="shared" si="63"/>
        <v>Sentinel Lighting</v>
      </c>
      <c r="H131" s="102" t="str">
        <f t="shared" si="63"/>
        <v>Street Lighting</v>
      </c>
      <c r="I131" s="102" t="str">
        <f t="shared" si="63"/>
        <v>Unmetered Scattered Load</v>
      </c>
      <c r="J131" s="102" t="str">
        <f t="shared" si="63"/>
        <v>Other</v>
      </c>
      <c r="K131" s="102" t="s">
        <v>35</v>
      </c>
    </row>
    <row r="132" spans="2:11" s="3" customFormat="1" ht="16.5" customHeight="1" x14ac:dyDescent="0.2">
      <c r="B132" s="102"/>
      <c r="C132" s="102" t="s">
        <v>39</v>
      </c>
      <c r="D132" s="102" t="s">
        <v>39</v>
      </c>
      <c r="E132" s="102" t="s">
        <v>39</v>
      </c>
      <c r="F132" s="102" t="s">
        <v>39</v>
      </c>
      <c r="G132" s="102" t="s">
        <v>39</v>
      </c>
      <c r="H132" s="102" t="s">
        <v>39</v>
      </c>
      <c r="I132" s="102" t="s">
        <v>39</v>
      </c>
      <c r="J132" s="102" t="s">
        <v>39</v>
      </c>
      <c r="K132" s="102" t="s">
        <v>39</v>
      </c>
    </row>
    <row r="133" spans="2:11" s="3" customFormat="1" ht="16.5" customHeight="1" x14ac:dyDescent="0.2">
      <c r="B133" s="114">
        <v>2011</v>
      </c>
      <c r="C133" s="74">
        <f>C26*'3.  Distribution Rates'!E33</f>
        <v>0</v>
      </c>
      <c r="D133" s="74">
        <f>D26*'3.  Distribution Rates'!E34</f>
        <v>0</v>
      </c>
      <c r="E133" s="74">
        <f>E26*'3.  Distribution Rates'!E35</f>
        <v>0</v>
      </c>
      <c r="F133" s="74">
        <f>F26*'3.  Distribution Rates'!E36</f>
        <v>0</v>
      </c>
      <c r="G133" s="74">
        <f>G26*'3.  Distribution Rates'!E37</f>
        <v>0</v>
      </c>
      <c r="H133" s="74">
        <f>H26*'3.  Distribution Rates'!E38</f>
        <v>0</v>
      </c>
      <c r="I133" s="74">
        <f>I26*'3.  Distribution Rates'!E39</f>
        <v>0</v>
      </c>
      <c r="J133" s="74"/>
      <c r="K133" s="74">
        <f t="shared" ref="K133:K139" si="64">SUM(C133:J133)</f>
        <v>0</v>
      </c>
    </row>
    <row r="134" spans="2:11" s="3" customFormat="1" ht="16.5" customHeight="1" x14ac:dyDescent="0.2">
      <c r="B134" s="114">
        <v>2012</v>
      </c>
      <c r="C134" s="74">
        <f>C27*'3.  Distribution Rates'!F33</f>
        <v>0</v>
      </c>
      <c r="D134" s="74">
        <f>D27*'3.  Distribution Rates'!F34</f>
        <v>0</v>
      </c>
      <c r="E134" s="74">
        <f>E27*'3.  Distribution Rates'!F35</f>
        <v>0</v>
      </c>
      <c r="F134" s="74">
        <f>F27*'3.  Distribution Rates'!F36</f>
        <v>0</v>
      </c>
      <c r="G134" s="74">
        <f>G27*'3.  Distribution Rates'!F37</f>
        <v>0</v>
      </c>
      <c r="H134" s="74">
        <f>H27*'3.  Distribution Rates'!F38</f>
        <v>0</v>
      </c>
      <c r="I134" s="74">
        <f>I27*'3.  Distribution Rates'!F39</f>
        <v>0</v>
      </c>
      <c r="J134" s="74"/>
      <c r="K134" s="74">
        <f t="shared" si="64"/>
        <v>0</v>
      </c>
    </row>
    <row r="135" spans="2:11" s="3" customFormat="1" ht="16.5" customHeight="1" x14ac:dyDescent="0.2">
      <c r="B135" s="114">
        <v>2013</v>
      </c>
      <c r="C135" s="74">
        <f>C28*'3.  Distribution Rates'!G33</f>
        <v>0</v>
      </c>
      <c r="D135" s="74">
        <f>D28*'3.  Distribution Rates'!G34</f>
        <v>0</v>
      </c>
      <c r="E135" s="74">
        <f>E28*'3.  Distribution Rates'!G35</f>
        <v>0</v>
      </c>
      <c r="F135" s="74">
        <f>F28*'3.  Distribution Rates'!G36</f>
        <v>0</v>
      </c>
      <c r="G135" s="74">
        <f>G28*'3.  Distribution Rates'!G37</f>
        <v>0</v>
      </c>
      <c r="H135" s="74">
        <f>H28*'3.  Distribution Rates'!G38</f>
        <v>0</v>
      </c>
      <c r="I135" s="74">
        <f>I28*'3.  Distribution Rates'!G39</f>
        <v>0</v>
      </c>
      <c r="J135" s="74"/>
      <c r="K135" s="74">
        <f t="shared" si="64"/>
        <v>0</v>
      </c>
    </row>
    <row r="136" spans="2:11" s="3" customFormat="1" ht="16.5" customHeight="1" x14ac:dyDescent="0.2">
      <c r="B136" s="114">
        <v>2014</v>
      </c>
      <c r="C136" s="75">
        <f>C29*'3.  Distribution Rates'!H33</f>
        <v>54239.252399999998</v>
      </c>
      <c r="D136" s="75">
        <f>D29*'3.  Distribution Rates'!H34</f>
        <v>40681.175999999999</v>
      </c>
      <c r="E136" s="75">
        <f>E29*'3.  Distribution Rates'!H35</f>
        <v>138460.91999999998</v>
      </c>
      <c r="F136" s="75">
        <f>F29*'3.  Distribution Rates'!H36</f>
        <v>0</v>
      </c>
      <c r="G136" s="75">
        <f>G29*'3.  Distribution Rates'!H37</f>
        <v>0</v>
      </c>
      <c r="H136" s="75">
        <f>H29*'3.  Distribution Rates'!H38</f>
        <v>0</v>
      </c>
      <c r="I136" s="75">
        <f>I29*'3.  Distribution Rates'!H39</f>
        <v>0</v>
      </c>
      <c r="J136" s="75"/>
      <c r="K136" s="75">
        <f t="shared" si="64"/>
        <v>233381.34839999999</v>
      </c>
    </row>
    <row r="137" spans="2:11" s="3" customFormat="1" ht="16.5" customHeight="1" x14ac:dyDescent="0.2">
      <c r="B137" s="114">
        <v>2015</v>
      </c>
      <c r="C137" s="75">
        <f>C30*'3.  Distribution Rates'!I33</f>
        <v>54908.872800000005</v>
      </c>
      <c r="D137" s="74">
        <f>D30*'3.  Distribution Rates'!I34</f>
        <v>41337.324000000001</v>
      </c>
      <c r="E137" s="75">
        <f>E30*'3.  Distribution Rates'!I35</f>
        <v>140468.9166</v>
      </c>
      <c r="F137" s="75">
        <f>F30*'3.  Distribution Rates'!I36</f>
        <v>0</v>
      </c>
      <c r="G137" s="75">
        <f>G30*'3.  Distribution Rates'!I37</f>
        <v>0</v>
      </c>
      <c r="H137" s="75">
        <f>H30*'3.  Distribution Rates'!I38</f>
        <v>0</v>
      </c>
      <c r="I137" s="74">
        <f>I30*'3.  Distribution Rates'!I39</f>
        <v>0</v>
      </c>
      <c r="J137" s="115"/>
      <c r="K137" s="75">
        <f t="shared" si="64"/>
        <v>236715.1134</v>
      </c>
    </row>
    <row r="138" spans="2:11" s="3" customFormat="1" ht="16.5" customHeight="1" x14ac:dyDescent="0.2">
      <c r="B138" s="114">
        <v>2016</v>
      </c>
      <c r="C138" s="75">
        <f>C31*'3.  Distribution Rates'!J33</f>
        <v>0</v>
      </c>
      <c r="D138" s="74">
        <f>D31*'3.  Distribution Rates'!J34</f>
        <v>0</v>
      </c>
      <c r="E138" s="75">
        <f>E31*'3.  Distribution Rates'!J35</f>
        <v>0</v>
      </c>
      <c r="F138" s="75">
        <f>F31*'3.  Distribution Rates'!J36</f>
        <v>0</v>
      </c>
      <c r="G138" s="75">
        <f>G31*'3.  Distribution Rates'!J37</f>
        <v>0</v>
      </c>
      <c r="H138" s="75">
        <f>H31*'3.  Distribution Rates'!J38</f>
        <v>0</v>
      </c>
      <c r="I138" s="74">
        <f>I31*'3.  Distribution Rates'!J39</f>
        <v>0</v>
      </c>
      <c r="J138" s="115"/>
      <c r="K138" s="75">
        <f t="shared" si="64"/>
        <v>0</v>
      </c>
    </row>
    <row r="139" spans="2:11" s="3" customFormat="1" ht="16.5" customHeight="1" x14ac:dyDescent="0.2">
      <c r="B139" s="114">
        <v>2017</v>
      </c>
      <c r="C139" s="75">
        <f>C32*'3.  Distribution Rates'!K33</f>
        <v>0</v>
      </c>
      <c r="D139" s="74">
        <f>D32*'3.  Distribution Rates'!K34</f>
        <v>0</v>
      </c>
      <c r="E139" s="75">
        <f>E32*'3.  Distribution Rates'!K35</f>
        <v>0</v>
      </c>
      <c r="F139" s="75">
        <f>F32*'3.  Distribution Rates'!K36</f>
        <v>0</v>
      </c>
      <c r="G139" s="75">
        <f>G32*'3.  Distribution Rates'!K37</f>
        <v>0</v>
      </c>
      <c r="H139" s="75">
        <f>H32*'3.  Distribution Rates'!K38</f>
        <v>0</v>
      </c>
      <c r="I139" s="74">
        <f>I32*'3.  Distribution Rates'!K39</f>
        <v>0</v>
      </c>
      <c r="J139" s="115"/>
      <c r="K139" s="75">
        <f t="shared" si="64"/>
        <v>0</v>
      </c>
    </row>
    <row r="140" spans="2:11" s="23" customFormat="1" x14ac:dyDescent="0.25">
      <c r="B140" s="65"/>
    </row>
    <row r="141" spans="2:11" s="23" customFormat="1" x14ac:dyDescent="0.25">
      <c r="B141" s="65"/>
    </row>
    <row r="142" spans="2:11" s="23" customFormat="1" x14ac:dyDescent="0.25">
      <c r="B142" s="65"/>
    </row>
    <row r="143" spans="2:11" s="23" customFormat="1" x14ac:dyDescent="0.25">
      <c r="B143" s="65"/>
    </row>
    <row r="144" spans="2:11" s="23" customFormat="1" x14ac:dyDescent="0.25">
      <c r="B144" s="65"/>
    </row>
    <row r="145" spans="2:2" s="23" customFormat="1" x14ac:dyDescent="0.25">
      <c r="B145" s="65"/>
    </row>
    <row r="146" spans="2:2" s="23" customFormat="1" x14ac:dyDescent="0.25">
      <c r="B146" s="65"/>
    </row>
    <row r="147" spans="2:2" s="23" customFormat="1" x14ac:dyDescent="0.25">
      <c r="B147" s="65"/>
    </row>
    <row r="148" spans="2:2" s="23" customFormat="1" x14ac:dyDescent="0.25">
      <c r="B148" s="65"/>
    </row>
    <row r="149" spans="2:2" s="23" customFormat="1" x14ac:dyDescent="0.25">
      <c r="B149" s="65"/>
    </row>
    <row r="150" spans="2:2" s="23" customFormat="1" x14ac:dyDescent="0.25">
      <c r="B150" s="65"/>
    </row>
    <row r="151" spans="2:2" s="23" customFormat="1" x14ac:dyDescent="0.25">
      <c r="B151" s="65"/>
    </row>
    <row r="152" spans="2:2" s="23" customFormat="1" x14ac:dyDescent="0.25">
      <c r="B152" s="65"/>
    </row>
    <row r="153" spans="2:2" s="23" customFormat="1" x14ac:dyDescent="0.25">
      <c r="B153" s="65"/>
    </row>
    <row r="154" spans="2:2" s="23" customFormat="1" x14ac:dyDescent="0.25">
      <c r="B154" s="65"/>
    </row>
    <row r="155" spans="2:2" s="23" customFormat="1" x14ac:dyDescent="0.25">
      <c r="B155" s="65"/>
    </row>
    <row r="156" spans="2:2" s="23" customFormat="1" x14ac:dyDescent="0.25">
      <c r="B156" s="65"/>
    </row>
    <row r="157" spans="2:2" s="23" customFormat="1" x14ac:dyDescent="0.25">
      <c r="B157" s="65"/>
    </row>
    <row r="158" spans="2:2" s="23" customFormat="1" x14ac:dyDescent="0.25">
      <c r="B158" s="65"/>
    </row>
    <row r="159" spans="2:2" s="23" customFormat="1" x14ac:dyDescent="0.25">
      <c r="B159" s="65"/>
    </row>
    <row r="160" spans="2:2" s="23" customFormat="1" x14ac:dyDescent="0.25">
      <c r="B160" s="65"/>
    </row>
    <row r="161" spans="2:2" s="23" customFormat="1" x14ac:dyDescent="0.25">
      <c r="B161" s="65"/>
    </row>
    <row r="162" spans="2:2" s="23" customFormat="1" x14ac:dyDescent="0.25">
      <c r="B162" s="65"/>
    </row>
    <row r="163" spans="2:2" s="23" customFormat="1" x14ac:dyDescent="0.25">
      <c r="B163" s="65"/>
    </row>
    <row r="164" spans="2:2" s="23" customFormat="1" x14ac:dyDescent="0.25">
      <c r="B164" s="65"/>
    </row>
    <row r="165" spans="2:2" s="23" customFormat="1" x14ac:dyDescent="0.25">
      <c r="B165" s="65"/>
    </row>
    <row r="166" spans="2:2" s="23" customFormat="1" x14ac:dyDescent="0.25">
      <c r="B166" s="65"/>
    </row>
    <row r="167" spans="2:2" s="23" customFormat="1" x14ac:dyDescent="0.25">
      <c r="B167" s="65"/>
    </row>
    <row r="168" spans="2:2" s="23" customFormat="1" x14ac:dyDescent="0.25">
      <c r="B168" s="65"/>
    </row>
    <row r="169" spans="2:2" s="23" customFormat="1" x14ac:dyDescent="0.25">
      <c r="B169" s="65"/>
    </row>
    <row r="170" spans="2:2" s="23" customFormat="1" x14ac:dyDescent="0.25">
      <c r="B170" s="65"/>
    </row>
    <row r="171" spans="2:2" s="23" customFormat="1" x14ac:dyDescent="0.25">
      <c r="B171" s="65"/>
    </row>
    <row r="172" spans="2:2" s="23" customFormat="1" x14ac:dyDescent="0.25">
      <c r="B172" s="65"/>
    </row>
    <row r="173" spans="2:2" s="23" customFormat="1" x14ac:dyDescent="0.25">
      <c r="B173" s="65"/>
    </row>
    <row r="174" spans="2:2" s="23" customFormat="1" x14ac:dyDescent="0.25">
      <c r="B174" s="65"/>
    </row>
    <row r="175" spans="2:2" s="23" customFormat="1" x14ac:dyDescent="0.25">
      <c r="B175" s="65"/>
    </row>
    <row r="176" spans="2:2" s="23" customFormat="1" x14ac:dyDescent="0.25">
      <c r="B176" s="65"/>
    </row>
    <row r="177" spans="2:2" s="23" customFormat="1" x14ac:dyDescent="0.25">
      <c r="B177" s="65"/>
    </row>
    <row r="178" spans="2:2" s="23" customFormat="1" x14ac:dyDescent="0.25">
      <c r="B178" s="65"/>
    </row>
  </sheetData>
  <mergeCells count="4">
    <mergeCell ref="B8:B9"/>
    <mergeCell ref="C5:J5"/>
    <mergeCell ref="B2:J2"/>
    <mergeCell ref="B34:K34"/>
  </mergeCells>
  <pageMargins left="0.3" right="0.13" top="0.2" bottom="0.17" header="0.2" footer="7.0000000000000007E-2"/>
  <pageSetup scale="52" fitToHeight="0" orientation="landscape" r:id="rId1"/>
  <headerFooter>
    <oddFooter>&amp;R&amp;P of &amp;N</oddFooter>
  </headerFooter>
  <rowBreaks count="2" manualBreakCount="2">
    <brk id="48" max="11" man="1"/>
    <brk id="99" max="11"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41"/>
  <sheetViews>
    <sheetView zoomScale="90" zoomScaleNormal="90" workbookViewId="0">
      <pane ySplit="3" topLeftCell="A4" activePane="bottomLeft" state="frozen"/>
      <selection pane="bottomLeft" activeCell="D29" sqref="D29"/>
    </sheetView>
  </sheetViews>
  <sheetFormatPr defaultRowHeight="15" outlineLevelRow="1" x14ac:dyDescent="0.25"/>
  <cols>
    <col min="1" max="1" width="7.5703125" style="7" customWidth="1"/>
    <col min="2" max="2" width="39.42578125" style="8" customWidth="1"/>
    <col min="3" max="3" width="13.140625" style="8" customWidth="1"/>
    <col min="4" max="8" width="15.42578125" style="8" customWidth="1"/>
    <col min="9" max="11" width="13.5703125" style="8" customWidth="1"/>
    <col min="12" max="12" width="4.42578125" style="8" customWidth="1"/>
    <col min="13" max="16384" width="9.140625" style="8"/>
  </cols>
  <sheetData>
    <row r="1" spans="1:26" ht="161.25" customHeight="1" x14ac:dyDescent="0.25">
      <c r="B1" s="47"/>
      <c r="C1" s="47"/>
    </row>
    <row r="2" spans="1:26" s="47" customFormat="1" x14ac:dyDescent="0.25">
      <c r="A2" s="7"/>
    </row>
    <row r="3" spans="1:26" ht="20.25" x14ac:dyDescent="0.3">
      <c r="B3" s="572" t="s">
        <v>200</v>
      </c>
      <c r="C3" s="572"/>
      <c r="D3" s="572"/>
      <c r="E3" s="572"/>
      <c r="F3" s="572"/>
      <c r="G3" s="572"/>
      <c r="H3" s="572"/>
      <c r="I3" s="572"/>
      <c r="J3" s="572"/>
      <c r="K3" s="572"/>
    </row>
    <row r="4" spans="1:26" s="47" customFormat="1" ht="20.25" x14ac:dyDescent="0.3">
      <c r="A4" s="7"/>
      <c r="B4" s="236"/>
      <c r="C4" s="236"/>
      <c r="D4" s="236"/>
      <c r="E4" s="236"/>
      <c r="F4" s="236"/>
      <c r="G4" s="236"/>
      <c r="H4" s="236"/>
      <c r="I4" s="236"/>
      <c r="J4" s="236"/>
      <c r="K4" s="236"/>
    </row>
    <row r="5" spans="1:26" ht="54" customHeight="1" outlineLevel="1" x14ac:dyDescent="0.25">
      <c r="B5" s="573" t="s">
        <v>401</v>
      </c>
      <c r="C5" s="576" t="s">
        <v>507</v>
      </c>
      <c r="D5" s="576"/>
      <c r="E5" s="576"/>
      <c r="F5" s="576"/>
      <c r="G5" s="576"/>
      <c r="H5" s="576"/>
      <c r="I5" s="576"/>
      <c r="J5" s="576"/>
      <c r="K5" s="576"/>
    </row>
    <row r="6" spans="1:26" s="47" customFormat="1" ht="34.5" customHeight="1" outlineLevel="1" x14ac:dyDescent="0.25">
      <c r="A6" s="7"/>
      <c r="B6" s="573"/>
      <c r="C6" s="576" t="s">
        <v>411</v>
      </c>
      <c r="D6" s="576"/>
      <c r="E6" s="576"/>
      <c r="F6" s="576"/>
      <c r="G6" s="576"/>
      <c r="H6" s="576"/>
      <c r="I6" s="576"/>
      <c r="J6" s="576"/>
      <c r="K6" s="576"/>
    </row>
    <row r="7" spans="1:26" s="47" customFormat="1" ht="21" customHeight="1" outlineLevel="1" x14ac:dyDescent="0.25">
      <c r="A7" s="7"/>
      <c r="B7" s="573" t="s">
        <v>338</v>
      </c>
      <c r="C7" s="574" t="s">
        <v>365</v>
      </c>
      <c r="D7" s="574"/>
      <c r="E7" s="245"/>
    </row>
    <row r="8" spans="1:26" outlineLevel="1" x14ac:dyDescent="0.25">
      <c r="B8" s="573"/>
      <c r="C8" s="575" t="s">
        <v>339</v>
      </c>
      <c r="D8" s="575"/>
      <c r="E8" s="575"/>
      <c r="M8" s="9"/>
      <c r="N8" s="9"/>
      <c r="O8" s="9"/>
      <c r="P8" s="9"/>
      <c r="Q8" s="9"/>
      <c r="R8" s="9"/>
      <c r="S8" s="9"/>
      <c r="T8" s="9"/>
      <c r="U8" s="9"/>
      <c r="V8" s="9"/>
      <c r="W8" s="9"/>
      <c r="X8" s="9"/>
      <c r="Y8" s="9"/>
      <c r="Z8" s="9"/>
    </row>
    <row r="9" spans="1:26" s="5" customFormat="1" ht="10.5" customHeight="1" outlineLevel="1" x14ac:dyDescent="0.25">
      <c r="B9" s="47"/>
      <c r="C9" s="246"/>
      <c r="D9" s="247"/>
      <c r="E9" s="247"/>
      <c r="M9" s="9"/>
      <c r="N9" s="9"/>
      <c r="O9" s="9"/>
      <c r="P9" s="9"/>
      <c r="Q9" s="9"/>
      <c r="R9" s="9"/>
      <c r="S9" s="9"/>
      <c r="T9" s="9"/>
      <c r="U9" s="9"/>
      <c r="V9" s="9"/>
      <c r="W9" s="9"/>
      <c r="X9" s="9"/>
      <c r="Y9" s="9"/>
      <c r="Z9" s="9"/>
    </row>
    <row r="10" spans="1:26" s="5" customFormat="1" ht="5.25" customHeight="1" outlineLevel="1" x14ac:dyDescent="0.25">
      <c r="B10" s="47"/>
      <c r="C10" s="246"/>
      <c r="D10" s="247"/>
      <c r="E10" s="247"/>
      <c r="M10" s="9"/>
      <c r="N10" s="9"/>
      <c r="O10" s="9"/>
      <c r="P10" s="9"/>
      <c r="Q10" s="9"/>
      <c r="R10" s="9"/>
      <c r="S10" s="9"/>
      <c r="T10" s="9"/>
      <c r="U10" s="9"/>
      <c r="V10" s="9"/>
      <c r="W10" s="9"/>
      <c r="X10" s="9"/>
      <c r="Y10" s="9"/>
      <c r="Z10" s="9"/>
    </row>
    <row r="11" spans="1:26" s="5" customFormat="1" ht="12.75" customHeight="1" outlineLevel="1" x14ac:dyDescent="0.25">
      <c r="B11" s="47"/>
      <c r="C11" s="40"/>
      <c r="M11" s="9"/>
      <c r="N11" s="9"/>
      <c r="O11" s="9"/>
      <c r="P11" s="9"/>
      <c r="Q11" s="9"/>
      <c r="R11" s="9"/>
      <c r="S11" s="9"/>
      <c r="T11" s="9"/>
      <c r="U11" s="9"/>
      <c r="V11" s="9"/>
      <c r="W11" s="9"/>
      <c r="X11" s="9"/>
      <c r="Y11" s="9"/>
      <c r="Z11" s="9"/>
    </row>
    <row r="12" spans="1:26" s="40" customFormat="1" ht="18.75" outlineLevel="1" x14ac:dyDescent="0.25">
      <c r="A12" s="125"/>
      <c r="B12" s="113" t="s">
        <v>342</v>
      </c>
      <c r="C12" s="78"/>
      <c r="D12" s="78"/>
      <c r="E12" s="78"/>
      <c r="F12" s="78"/>
      <c r="G12" s="78"/>
      <c r="H12" s="78"/>
      <c r="I12" s="78"/>
      <c r="J12" s="78"/>
      <c r="K12" s="78"/>
      <c r="M12" s="125"/>
      <c r="N12" s="125"/>
      <c r="O12" s="125"/>
      <c r="P12" s="125"/>
      <c r="Q12" s="125"/>
      <c r="R12" s="125"/>
      <c r="S12" s="125"/>
      <c r="T12" s="125"/>
      <c r="U12" s="125"/>
      <c r="V12" s="125"/>
      <c r="W12" s="125"/>
      <c r="X12" s="125"/>
      <c r="Y12" s="125"/>
      <c r="Z12" s="125"/>
    </row>
    <row r="13" spans="1:26" s="47" customFormat="1" ht="6.75" customHeight="1" outlineLevel="1" x14ac:dyDescent="0.25">
      <c r="A13" s="9"/>
      <c r="B13" s="78"/>
      <c r="C13" s="78"/>
      <c r="D13" s="78"/>
      <c r="E13" s="78"/>
      <c r="F13" s="78"/>
      <c r="G13" s="78"/>
      <c r="H13" s="78"/>
      <c r="I13" s="78"/>
      <c r="J13" s="78"/>
      <c r="K13" s="78"/>
      <c r="M13" s="9"/>
      <c r="N13" s="9"/>
      <c r="O13" s="9"/>
      <c r="P13" s="9"/>
      <c r="Q13" s="9"/>
      <c r="R13" s="9"/>
      <c r="S13" s="9"/>
      <c r="T13" s="9"/>
      <c r="U13" s="9"/>
      <c r="V13" s="9"/>
      <c r="W13" s="9"/>
      <c r="X13" s="9"/>
      <c r="Y13" s="9"/>
      <c r="Z13" s="9"/>
    </row>
    <row r="14" spans="1:26" ht="32.25" customHeight="1" outlineLevel="1" x14ac:dyDescent="0.25">
      <c r="B14" s="127" t="s">
        <v>349</v>
      </c>
      <c r="C14" s="128"/>
      <c r="D14" s="205" t="s">
        <v>512</v>
      </c>
      <c r="E14" s="205" t="s">
        <v>513</v>
      </c>
      <c r="F14" s="205" t="s">
        <v>514</v>
      </c>
      <c r="G14" s="205" t="s">
        <v>515</v>
      </c>
      <c r="H14" s="205" t="s">
        <v>510</v>
      </c>
      <c r="I14" s="205" t="s">
        <v>516</v>
      </c>
      <c r="J14" s="205" t="s">
        <v>517</v>
      </c>
      <c r="K14" s="205" t="s">
        <v>343</v>
      </c>
    </row>
    <row r="15" spans="1:26" s="11" customFormat="1" ht="14.25" customHeight="1" outlineLevel="1" x14ac:dyDescent="0.2">
      <c r="A15" s="9"/>
      <c r="B15" s="70"/>
      <c r="C15" s="70"/>
      <c r="D15" s="70"/>
      <c r="E15" s="70"/>
      <c r="F15" s="70"/>
      <c r="G15" s="70"/>
      <c r="H15" s="70"/>
      <c r="I15" s="70"/>
      <c r="J15" s="70"/>
      <c r="K15" s="70"/>
      <c r="L15" s="12"/>
    </row>
    <row r="16" spans="1:26" s="364" customFormat="1" ht="46.5" customHeight="1" outlineLevel="1" thickBot="1" x14ac:dyDescent="0.3">
      <c r="A16" s="363"/>
      <c r="B16" s="137" t="s">
        <v>57</v>
      </c>
      <c r="C16" s="138" t="s">
        <v>58</v>
      </c>
      <c r="D16" s="206" t="s">
        <v>111</v>
      </c>
      <c r="E16" s="206" t="s">
        <v>518</v>
      </c>
      <c r="F16" s="206" t="s">
        <v>519</v>
      </c>
      <c r="G16" s="206" t="s">
        <v>520</v>
      </c>
      <c r="H16" s="206" t="s">
        <v>521</v>
      </c>
      <c r="I16" s="206" t="s">
        <v>522</v>
      </c>
      <c r="J16" s="206" t="s">
        <v>523</v>
      </c>
      <c r="K16" s="206" t="s">
        <v>444</v>
      </c>
    </row>
    <row r="17" spans="1:12" s="11" customFormat="1" ht="14.25" outlineLevel="1" x14ac:dyDescent="0.2">
      <c r="A17" s="7"/>
      <c r="B17" s="134" t="s">
        <v>409</v>
      </c>
      <c r="C17" s="135"/>
      <c r="D17" s="136">
        <v>2010</v>
      </c>
      <c r="E17" s="136">
        <v>2011</v>
      </c>
      <c r="F17" s="136">
        <v>2012</v>
      </c>
      <c r="G17" s="136">
        <v>2013</v>
      </c>
      <c r="H17" s="136">
        <v>2014</v>
      </c>
      <c r="I17" s="136">
        <v>2015</v>
      </c>
      <c r="J17" s="136">
        <v>2016</v>
      </c>
      <c r="K17" s="136">
        <v>2017</v>
      </c>
    </row>
    <row r="18" spans="1:12" s="11" customFormat="1" ht="14.25" outlineLevel="1" x14ac:dyDescent="0.2">
      <c r="A18" s="7"/>
      <c r="B18" s="132" t="s">
        <v>112</v>
      </c>
      <c r="C18" s="133"/>
      <c r="D18" s="468"/>
      <c r="E18" s="208">
        <v>4</v>
      </c>
      <c r="F18" s="208">
        <v>4</v>
      </c>
      <c r="G18" s="208">
        <v>4</v>
      </c>
      <c r="H18" s="208">
        <v>0</v>
      </c>
      <c r="I18" s="208">
        <v>0</v>
      </c>
      <c r="J18" s="208"/>
      <c r="K18" s="208"/>
    </row>
    <row r="19" spans="1:12" s="11" customFormat="1" ht="14.25" outlineLevel="1" x14ac:dyDescent="0.2">
      <c r="A19" s="7"/>
      <c r="B19" s="132" t="s">
        <v>113</v>
      </c>
      <c r="C19" s="133"/>
      <c r="D19" s="207">
        <f>12-D18</f>
        <v>12</v>
      </c>
      <c r="E19" s="207">
        <f>12-E18</f>
        <v>8</v>
      </c>
      <c r="F19" s="207">
        <f t="shared" ref="F19:K19" si="0">12-F18</f>
        <v>8</v>
      </c>
      <c r="G19" s="207">
        <f t="shared" si="0"/>
        <v>8</v>
      </c>
      <c r="H19" s="207">
        <f t="shared" si="0"/>
        <v>12</v>
      </c>
      <c r="I19" s="207">
        <f t="shared" si="0"/>
        <v>12</v>
      </c>
      <c r="J19" s="207">
        <f t="shared" si="0"/>
        <v>12</v>
      </c>
      <c r="K19" s="207">
        <f t="shared" si="0"/>
        <v>12</v>
      </c>
    </row>
    <row r="20" spans="1:12" s="11" customFormat="1" ht="14.25" outlineLevel="1" x14ac:dyDescent="0.2">
      <c r="A20" s="10"/>
      <c r="B20" s="107" t="str">
        <f>'2.  CDM Allocation'!C24</f>
        <v>Residential</v>
      </c>
      <c r="C20" s="79" t="str">
        <f>'2.  CDM Allocation'!C25</f>
        <v>kWh</v>
      </c>
      <c r="D20" s="209">
        <v>1.6899999999999998E-2</v>
      </c>
      <c r="E20" s="209">
        <v>1.7000000000000001E-2</v>
      </c>
      <c r="F20" s="209">
        <v>1.72E-2</v>
      </c>
      <c r="G20" s="209">
        <v>1.7299999999999999E-2</v>
      </c>
      <c r="H20" s="209">
        <v>1.6199999999999999E-2</v>
      </c>
      <c r="I20" s="209">
        <v>1.6400000000000001E-2</v>
      </c>
      <c r="J20" s="209">
        <v>1.2500000000000001E-2</v>
      </c>
      <c r="K20" s="209"/>
      <c r="L20" s="12"/>
    </row>
    <row r="21" spans="1:12" outlineLevel="1" x14ac:dyDescent="0.25">
      <c r="B21" s="107" t="str">
        <f>'2.  CDM Allocation'!D24</f>
        <v>General Service &lt;50 kW</v>
      </c>
      <c r="C21" s="79" t="str">
        <f>'2.  CDM Allocation'!D25</f>
        <v>kWh</v>
      </c>
      <c r="D21" s="209">
        <v>1.2200000000000001E-2</v>
      </c>
      <c r="E21" s="209">
        <v>1.2200000000000001E-2</v>
      </c>
      <c r="F21" s="209">
        <v>1.23E-2</v>
      </c>
      <c r="G21" s="209">
        <v>1.24E-2</v>
      </c>
      <c r="H21" s="209">
        <v>1.24E-2</v>
      </c>
      <c r="I21" s="209">
        <v>1.26E-2</v>
      </c>
      <c r="J21" s="209">
        <v>1.2800000000000001E-2</v>
      </c>
      <c r="K21" s="209"/>
    </row>
    <row r="22" spans="1:12" s="5" customFormat="1" ht="14.25" outlineLevel="1" x14ac:dyDescent="0.2">
      <c r="B22" s="107" t="str">
        <f>'2.  CDM Allocation'!E24</f>
        <v>General Service &gt; 50 kW</v>
      </c>
      <c r="C22" s="79" t="str">
        <f>'2.  CDM Allocation'!E25</f>
        <v>kW</v>
      </c>
      <c r="D22" s="209">
        <v>3.9737</v>
      </c>
      <c r="E22" s="209">
        <v>3.9887999999999999</v>
      </c>
      <c r="F22" s="209">
        <v>4.0319000000000003</v>
      </c>
      <c r="G22" s="209">
        <v>4.0593000000000004</v>
      </c>
      <c r="H22" s="209">
        <v>4.42</v>
      </c>
      <c r="I22" s="209">
        <v>4.4840999999999998</v>
      </c>
      <c r="J22" s="209">
        <v>4.5715000000000003</v>
      </c>
      <c r="K22" s="209"/>
    </row>
    <row r="23" spans="1:12" s="5" customFormat="1" ht="14.25" outlineLevel="1" x14ac:dyDescent="0.2">
      <c r="A23" s="7"/>
      <c r="B23" s="107" t="str">
        <f>'2.  CDM Allocation'!F24</f>
        <v>General Service 1,000 - 4,999 kW</v>
      </c>
      <c r="C23" s="79" t="str">
        <f>'2.  CDM Allocation'!F25</f>
        <v>kW</v>
      </c>
      <c r="D23" s="209">
        <v>0</v>
      </c>
      <c r="E23" s="209">
        <v>0</v>
      </c>
      <c r="F23" s="209">
        <v>0</v>
      </c>
      <c r="G23" s="209">
        <v>0</v>
      </c>
      <c r="H23" s="209">
        <v>0</v>
      </c>
      <c r="I23" s="209">
        <v>0</v>
      </c>
      <c r="J23" s="209">
        <v>0</v>
      </c>
      <c r="K23" s="209"/>
    </row>
    <row r="24" spans="1:12" s="5" customFormat="1" ht="14.25" outlineLevel="1" x14ac:dyDescent="0.2">
      <c r="A24" s="7"/>
      <c r="B24" s="107" t="str">
        <f>'2.  CDM Allocation'!G24</f>
        <v>Sentinel Lighting</v>
      </c>
      <c r="C24" s="79" t="str">
        <f>'2.  CDM Allocation'!G25</f>
        <v>kW</v>
      </c>
      <c r="D24" s="209">
        <v>0</v>
      </c>
      <c r="E24" s="209">
        <v>0</v>
      </c>
      <c r="F24" s="209">
        <v>0</v>
      </c>
      <c r="G24" s="209">
        <v>0</v>
      </c>
      <c r="H24" s="209">
        <v>0</v>
      </c>
      <c r="I24" s="209">
        <v>0</v>
      </c>
      <c r="J24" s="209">
        <v>0</v>
      </c>
      <c r="K24" s="209"/>
    </row>
    <row r="25" spans="1:12" s="5" customFormat="1" ht="14.25" outlineLevel="1" x14ac:dyDescent="0.2">
      <c r="A25" s="7"/>
      <c r="B25" s="107" t="str">
        <f>'2.  CDM Allocation'!H24</f>
        <v>Street Lighting</v>
      </c>
      <c r="C25" s="79" t="str">
        <f>'2.  CDM Allocation'!H25</f>
        <v>kW</v>
      </c>
      <c r="D25" s="209">
        <v>5.2259000000000002</v>
      </c>
      <c r="E25" s="209">
        <v>5.2458</v>
      </c>
      <c r="F25" s="209">
        <v>5.3025000000000002</v>
      </c>
      <c r="G25" s="209">
        <v>5.3385999999999996</v>
      </c>
      <c r="H25" s="209">
        <v>4.6513</v>
      </c>
      <c r="I25" s="209">
        <v>4.7187000000000001</v>
      </c>
      <c r="J25" s="209">
        <v>4.8106999999999998</v>
      </c>
      <c r="K25" s="209"/>
    </row>
    <row r="26" spans="1:12" s="5" customFormat="1" ht="14.25" outlineLevel="1" x14ac:dyDescent="0.2">
      <c r="A26" s="7"/>
      <c r="B26" s="107" t="str">
        <f>'2.  CDM Allocation'!I24</f>
        <v>Unmetered Scattered Load</v>
      </c>
      <c r="C26" s="79" t="str">
        <f>'2.  CDM Allocation'!I25</f>
        <v>kWh</v>
      </c>
      <c r="D26" s="209">
        <v>1.6199999999999999E-2</v>
      </c>
      <c r="E26" s="209">
        <v>1.6299999999999999E-2</v>
      </c>
      <c r="F26" s="209">
        <v>1.6500000000000001E-2</v>
      </c>
      <c r="G26" s="209">
        <v>1.66E-2</v>
      </c>
      <c r="H26" s="209">
        <v>1.34E-2</v>
      </c>
      <c r="I26" s="209">
        <v>1.3599999999999999E-2</v>
      </c>
      <c r="J26" s="209">
        <v>1.3899999999999999E-2</v>
      </c>
      <c r="K26" s="209"/>
    </row>
    <row r="27" spans="1:12" s="5" customFormat="1" ht="14.25" outlineLevel="1" x14ac:dyDescent="0.2">
      <c r="A27" s="7"/>
      <c r="B27" s="108" t="s">
        <v>106</v>
      </c>
      <c r="C27" s="109"/>
      <c r="D27" s="210"/>
      <c r="E27" s="210"/>
      <c r="F27" s="210"/>
      <c r="G27" s="210"/>
      <c r="H27" s="210"/>
      <c r="I27" s="211"/>
      <c r="J27" s="211"/>
      <c r="K27" s="211"/>
    </row>
    <row r="28" spans="1:12" s="5" customFormat="1" ht="14.25" outlineLevel="1" x14ac:dyDescent="0.2">
      <c r="A28" s="7"/>
      <c r="B28" s="239"/>
      <c r="C28" s="291"/>
      <c r="D28" s="369"/>
      <c r="E28" s="369"/>
      <c r="F28" s="369"/>
      <c r="G28" s="369"/>
      <c r="H28" s="369"/>
      <c r="I28" s="370"/>
      <c r="J28" s="370"/>
      <c r="K28" s="370"/>
    </row>
    <row r="29" spans="1:12" s="5" customFormat="1" outlineLevel="1" x14ac:dyDescent="0.25">
      <c r="A29" s="7"/>
      <c r="B29" s="37"/>
      <c r="C29" s="38"/>
      <c r="D29" s="39"/>
      <c r="E29" s="39"/>
      <c r="F29" s="39"/>
      <c r="G29" s="39"/>
      <c r="H29" s="39"/>
      <c r="I29" s="40"/>
      <c r="J29" s="40"/>
      <c r="K29" s="40"/>
    </row>
    <row r="30" spans="1:12" s="40" customFormat="1" ht="18.75" x14ac:dyDescent="0.25">
      <c r="A30" s="126"/>
      <c r="B30" s="372" t="s">
        <v>414</v>
      </c>
      <c r="C30" s="78"/>
      <c r="D30" s="78"/>
      <c r="E30" s="78"/>
      <c r="F30" s="78"/>
      <c r="G30" s="78"/>
      <c r="H30" s="78"/>
      <c r="I30" s="78"/>
      <c r="J30" s="78"/>
      <c r="K30" s="78"/>
    </row>
    <row r="31" spans="1:12" ht="9" customHeight="1" x14ac:dyDescent="0.25">
      <c r="B31" s="11"/>
      <c r="C31" s="11"/>
      <c r="D31" s="11"/>
      <c r="E31" s="11"/>
      <c r="F31" s="11"/>
      <c r="G31" s="11"/>
      <c r="H31" s="11"/>
      <c r="I31" s="11"/>
      <c r="J31" s="11"/>
      <c r="K31" s="11"/>
    </row>
    <row r="32" spans="1:12" ht="27" customHeight="1" x14ac:dyDescent="0.25">
      <c r="B32" s="287" t="s">
        <v>57</v>
      </c>
      <c r="C32" s="568" t="s">
        <v>58</v>
      </c>
      <c r="D32" s="569"/>
      <c r="E32" s="288">
        <v>2011</v>
      </c>
      <c r="F32" s="288">
        <v>2012</v>
      </c>
      <c r="G32" s="288">
        <v>2013</v>
      </c>
      <c r="H32" s="288">
        <v>2014</v>
      </c>
      <c r="I32" s="288">
        <v>2015</v>
      </c>
      <c r="J32" s="288">
        <v>2016</v>
      </c>
      <c r="K32" s="289">
        <v>2017</v>
      </c>
    </row>
    <row r="33" spans="2:11" ht="19.5" customHeight="1" x14ac:dyDescent="0.25">
      <c r="B33" s="292" t="s">
        <v>38</v>
      </c>
      <c r="C33" s="570" t="s">
        <v>36</v>
      </c>
      <c r="D33" s="570"/>
      <c r="E33" s="290">
        <f t="shared" ref="E33:E39" si="1">SUM(D20*$E$18+E20*$E$19)/12</f>
        <v>1.6966666666666668E-2</v>
      </c>
      <c r="F33" s="290">
        <f t="shared" ref="F33:F39" si="2">SUM(E20*$F$18+F20*$F$19)/12</f>
        <v>1.7133333333333334E-2</v>
      </c>
      <c r="G33" s="290">
        <f>SUM(F20*$G$18+G20*$G$19)/12</f>
        <v>1.7266666666666666E-2</v>
      </c>
      <c r="H33" s="290">
        <f t="shared" ref="H33:H39" si="3">SUM(G20*$H$18+H20*$H$19)/12</f>
        <v>1.6199999999999999E-2</v>
      </c>
      <c r="I33" s="290">
        <f t="shared" ref="I33:I39" si="4">SUM(H20*$I$18+I20*$I$19)/12</f>
        <v>1.6400000000000001E-2</v>
      </c>
      <c r="J33" s="290">
        <f t="shared" ref="J33:J39" si="5">SUM(I20*$J$18+J20*$J$19)/12</f>
        <v>1.2500000000000002E-2</v>
      </c>
      <c r="K33" s="293">
        <f>SUM(J20*$K$18+K20*$K$19)/12</f>
        <v>0</v>
      </c>
    </row>
    <row r="34" spans="2:11" ht="19.5" customHeight="1" x14ac:dyDescent="0.25">
      <c r="B34" s="292" t="s">
        <v>40</v>
      </c>
      <c r="C34" s="571" t="s">
        <v>36</v>
      </c>
      <c r="D34" s="571"/>
      <c r="E34" s="290">
        <f t="shared" si="1"/>
        <v>1.2200000000000001E-2</v>
      </c>
      <c r="F34" s="290">
        <f t="shared" si="2"/>
        <v>1.2266666666666667E-2</v>
      </c>
      <c r="G34" s="290">
        <f>SUM(F21*$G$18+G21*$G$19)/12</f>
        <v>1.2366666666666666E-2</v>
      </c>
      <c r="H34" s="290">
        <f t="shared" si="3"/>
        <v>1.24E-2</v>
      </c>
      <c r="I34" s="290">
        <f t="shared" si="4"/>
        <v>1.26E-2</v>
      </c>
      <c r="J34" s="290">
        <f t="shared" si="5"/>
        <v>1.2800000000000001E-2</v>
      </c>
      <c r="K34" s="293">
        <f t="shared" ref="K34:K39" si="6">SUM(J21*$K$18+K21*$K$19)/12</f>
        <v>0</v>
      </c>
    </row>
    <row r="35" spans="2:11" ht="19.5" customHeight="1" x14ac:dyDescent="0.25">
      <c r="B35" s="292" t="s">
        <v>109</v>
      </c>
      <c r="C35" s="571" t="s">
        <v>37</v>
      </c>
      <c r="D35" s="571"/>
      <c r="E35" s="290">
        <f t="shared" si="1"/>
        <v>3.9837666666666665</v>
      </c>
      <c r="F35" s="290">
        <f t="shared" si="2"/>
        <v>4.0175333333333336</v>
      </c>
      <c r="G35" s="290">
        <f t="shared" ref="G35:G39" si="7">SUM(F22*$G$18+G22*$G$19)/12</f>
        <v>4.0501666666666667</v>
      </c>
      <c r="H35" s="290">
        <f t="shared" si="3"/>
        <v>4.42</v>
      </c>
      <c r="I35" s="290">
        <f t="shared" si="4"/>
        <v>4.4840999999999998</v>
      </c>
      <c r="J35" s="290">
        <f t="shared" si="5"/>
        <v>4.5715000000000003</v>
      </c>
      <c r="K35" s="293">
        <f t="shared" si="6"/>
        <v>0</v>
      </c>
    </row>
    <row r="36" spans="2:11" ht="19.5" customHeight="1" x14ac:dyDescent="0.25">
      <c r="B36" s="292" t="s">
        <v>110</v>
      </c>
      <c r="C36" s="571" t="s">
        <v>37</v>
      </c>
      <c r="D36" s="571"/>
      <c r="E36" s="290">
        <f t="shared" si="1"/>
        <v>0</v>
      </c>
      <c r="F36" s="290">
        <f t="shared" si="2"/>
        <v>0</v>
      </c>
      <c r="G36" s="290">
        <f t="shared" si="7"/>
        <v>0</v>
      </c>
      <c r="H36" s="290">
        <f t="shared" si="3"/>
        <v>0</v>
      </c>
      <c r="I36" s="290">
        <f t="shared" si="4"/>
        <v>0</v>
      </c>
      <c r="J36" s="290">
        <f t="shared" si="5"/>
        <v>0</v>
      </c>
      <c r="K36" s="293">
        <f t="shared" si="6"/>
        <v>0</v>
      </c>
    </row>
    <row r="37" spans="2:11" ht="19.5" customHeight="1" x14ac:dyDescent="0.25">
      <c r="B37" s="292" t="s">
        <v>41</v>
      </c>
      <c r="C37" s="571" t="s">
        <v>37</v>
      </c>
      <c r="D37" s="571"/>
      <c r="E37" s="290">
        <f t="shared" si="1"/>
        <v>0</v>
      </c>
      <c r="F37" s="290">
        <f t="shared" si="2"/>
        <v>0</v>
      </c>
      <c r="G37" s="290">
        <f t="shared" si="7"/>
        <v>0</v>
      </c>
      <c r="H37" s="290">
        <f t="shared" si="3"/>
        <v>0</v>
      </c>
      <c r="I37" s="290">
        <f t="shared" si="4"/>
        <v>0</v>
      </c>
      <c r="J37" s="290">
        <f t="shared" si="5"/>
        <v>0</v>
      </c>
      <c r="K37" s="293">
        <f t="shared" si="6"/>
        <v>0</v>
      </c>
    </row>
    <row r="38" spans="2:11" ht="19.5" customHeight="1" x14ac:dyDescent="0.25">
      <c r="B38" s="292" t="s">
        <v>42</v>
      </c>
      <c r="C38" s="571" t="s">
        <v>37</v>
      </c>
      <c r="D38" s="571"/>
      <c r="E38" s="290">
        <f t="shared" si="1"/>
        <v>5.2391666666666667</v>
      </c>
      <c r="F38" s="290">
        <f t="shared" si="2"/>
        <v>5.2835999999999999</v>
      </c>
      <c r="G38" s="290">
        <f t="shared" si="7"/>
        <v>5.3265666666666664</v>
      </c>
      <c r="H38" s="290">
        <f t="shared" si="3"/>
        <v>4.6513</v>
      </c>
      <c r="I38" s="290">
        <f t="shared" si="4"/>
        <v>4.7187000000000001</v>
      </c>
      <c r="J38" s="290">
        <f t="shared" si="5"/>
        <v>4.8106999999999998</v>
      </c>
      <c r="K38" s="293">
        <f t="shared" si="6"/>
        <v>0</v>
      </c>
    </row>
    <row r="39" spans="2:11" ht="19.5" customHeight="1" x14ac:dyDescent="0.25">
      <c r="B39" s="292" t="s">
        <v>43</v>
      </c>
      <c r="C39" s="571" t="s">
        <v>36</v>
      </c>
      <c r="D39" s="571"/>
      <c r="E39" s="290">
        <f t="shared" si="1"/>
        <v>1.6266666666666665E-2</v>
      </c>
      <c r="F39" s="290">
        <f t="shared" si="2"/>
        <v>1.6433333333333331E-2</v>
      </c>
      <c r="G39" s="290">
        <f t="shared" si="7"/>
        <v>1.6566666666666667E-2</v>
      </c>
      <c r="H39" s="290">
        <f t="shared" si="3"/>
        <v>1.34E-2</v>
      </c>
      <c r="I39" s="290">
        <f t="shared" si="4"/>
        <v>1.3599999999999999E-2</v>
      </c>
      <c r="J39" s="290">
        <f t="shared" si="5"/>
        <v>1.3900000000000001E-2</v>
      </c>
      <c r="K39" s="293">
        <f t="shared" si="6"/>
        <v>0</v>
      </c>
    </row>
    <row r="40" spans="2:11" ht="19.5" customHeight="1" x14ac:dyDescent="0.25">
      <c r="B40" s="294" t="s">
        <v>106</v>
      </c>
      <c r="C40" s="577"/>
      <c r="D40" s="577"/>
      <c r="E40" s="295"/>
      <c r="F40" s="295"/>
      <c r="G40" s="295"/>
      <c r="H40" s="295"/>
      <c r="I40" s="295"/>
      <c r="J40" s="295"/>
      <c r="K40" s="296"/>
    </row>
    <row r="41" spans="2:11" x14ac:dyDescent="0.25">
      <c r="B41" s="47"/>
      <c r="C41" s="47"/>
      <c r="D41" s="47"/>
      <c r="E41" s="47"/>
      <c r="F41" s="47"/>
      <c r="G41" s="47"/>
      <c r="H41" s="47"/>
      <c r="I41" s="47"/>
      <c r="J41" s="47"/>
      <c r="K41" s="47"/>
    </row>
  </sheetData>
  <mergeCells count="16">
    <mergeCell ref="C36:D36"/>
    <mergeCell ref="C37:D37"/>
    <mergeCell ref="C38:D38"/>
    <mergeCell ref="C39:D39"/>
    <mergeCell ref="C40:D40"/>
    <mergeCell ref="C32:D32"/>
    <mergeCell ref="C33:D33"/>
    <mergeCell ref="C34:D34"/>
    <mergeCell ref="C35:D35"/>
    <mergeCell ref="B3:K3"/>
    <mergeCell ref="B7:B8"/>
    <mergeCell ref="C7:D7"/>
    <mergeCell ref="C8:E8"/>
    <mergeCell ref="C5:K5"/>
    <mergeCell ref="C6:K6"/>
    <mergeCell ref="B5:B6"/>
  </mergeCells>
  <pageMargins left="0.37" right="0.2" top="0.53" bottom="0.5" header="0.3" footer="0.3"/>
  <pageSetup scale="60" orientation="landscape" verticalDpi="120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22"/>
  <sheetViews>
    <sheetView view="pageBreakPreview" topLeftCell="A304" zoomScale="80" zoomScaleNormal="90" zoomScaleSheetLayoutView="80" zoomScalePageLayoutView="85" workbookViewId="0">
      <selection activeCell="C132" sqref="C132"/>
    </sheetView>
  </sheetViews>
  <sheetFormatPr defaultRowHeight="15.75" outlineLevelRow="1" x14ac:dyDescent="0.25"/>
  <cols>
    <col min="1" max="1" width="5.140625" style="45" customWidth="1"/>
    <col min="2" max="2" width="4.5703125" style="25" customWidth="1"/>
    <col min="3" max="3" width="37.28515625" style="18" customWidth="1"/>
    <col min="4" max="4" width="17.85546875" style="25" customWidth="1"/>
    <col min="5" max="5" width="12.5703125" style="25" customWidth="1"/>
    <col min="6" max="6" width="19" style="26" customWidth="1"/>
    <col min="7" max="7" width="19.140625" style="26" customWidth="1"/>
    <col min="8" max="8" width="13.85546875" style="26" customWidth="1"/>
    <col min="9" max="9" width="13.42578125" style="26" customWidth="1"/>
    <col min="10" max="10" width="13" style="26" customWidth="1"/>
    <col min="11" max="11" width="15.5703125" style="26" customWidth="1"/>
    <col min="12" max="13" width="10.85546875" style="26" customWidth="1"/>
    <col min="14" max="14" width="13.5703125" style="26" customWidth="1"/>
    <col min="15" max="15" width="9.140625" style="26" customWidth="1"/>
    <col min="16" max="16" width="10.140625" style="26" bestFit="1" customWidth="1"/>
    <col min="17" max="17" width="3.140625" style="26" customWidth="1"/>
    <col min="18" max="18" width="14.85546875" style="26" customWidth="1"/>
    <col min="19" max="19" width="14" style="26" customWidth="1"/>
    <col min="20" max="20" width="9.7109375" style="26" customWidth="1"/>
    <col min="21" max="21" width="11.140625" style="26" customWidth="1"/>
    <col min="22" max="22" width="12.140625" style="26" customWidth="1"/>
    <col min="23" max="23" width="6.42578125" style="26" bestFit="1" customWidth="1"/>
    <col min="24" max="28" width="9.140625" style="26"/>
    <col min="29" max="29" width="6.42578125" style="26" bestFit="1" customWidth="1"/>
    <col min="30" max="16384" width="9.140625" style="26"/>
  </cols>
  <sheetData>
    <row r="1" spans="1:16" ht="164.25" customHeight="1" x14ac:dyDescent="0.25"/>
    <row r="2" spans="1:16" ht="23.25" customHeight="1" x14ac:dyDescent="0.25"/>
    <row r="3" spans="1:16" ht="20.25" x14ac:dyDescent="0.3">
      <c r="A3" s="64"/>
      <c r="B3" s="558" t="s">
        <v>352</v>
      </c>
      <c r="C3" s="558"/>
      <c r="D3" s="558"/>
      <c r="E3" s="558"/>
      <c r="F3" s="558"/>
      <c r="G3" s="558"/>
      <c r="H3" s="558"/>
      <c r="I3" s="558"/>
      <c r="J3" s="558"/>
      <c r="K3" s="558"/>
      <c r="L3" s="558"/>
      <c r="M3" s="558"/>
      <c r="N3" s="558"/>
      <c r="O3" s="558"/>
      <c r="P3" s="558"/>
    </row>
    <row r="4" spans="1:16" ht="18.75" customHeight="1" outlineLevel="1" x14ac:dyDescent="0.3">
      <c r="A4" s="64"/>
      <c r="B4" s="131"/>
      <c r="C4" s="236"/>
      <c r="D4" s="375"/>
      <c r="E4" s="236"/>
      <c r="F4" s="131"/>
      <c r="G4" s="131"/>
      <c r="H4" s="131"/>
      <c r="I4" s="131"/>
      <c r="J4" s="131"/>
      <c r="K4" s="131"/>
      <c r="L4" s="131"/>
      <c r="M4" s="131"/>
      <c r="N4" s="131"/>
      <c r="O4" s="131"/>
      <c r="P4" s="131"/>
    </row>
    <row r="5" spans="1:16" outlineLevel="1" x14ac:dyDescent="0.25">
      <c r="A5" s="64"/>
      <c r="C5" s="373" t="s">
        <v>401</v>
      </c>
      <c r="D5" s="376" t="s">
        <v>417</v>
      </c>
      <c r="E5" s="307"/>
    </row>
    <row r="6" spans="1:16" outlineLevel="1" x14ac:dyDescent="0.25">
      <c r="A6" s="64"/>
      <c r="C6" s="307"/>
      <c r="D6" s="376" t="s">
        <v>487</v>
      </c>
      <c r="E6" s="307"/>
    </row>
    <row r="7" spans="1:16" s="66" customFormat="1" ht="15" outlineLevel="1" x14ac:dyDescent="0.2">
      <c r="A7" s="130"/>
      <c r="B7" s="69"/>
      <c r="C7" s="70"/>
      <c r="D7" s="376" t="s">
        <v>353</v>
      </c>
      <c r="E7" s="377"/>
    </row>
    <row r="8" spans="1:16" outlineLevel="1" x14ac:dyDescent="0.25">
      <c r="A8" s="64"/>
      <c r="C8" s="26"/>
      <c r="D8" s="171" t="s">
        <v>360</v>
      </c>
    </row>
    <row r="9" spans="1:16" s="66" customFormat="1" ht="15" outlineLevel="1" x14ac:dyDescent="0.2">
      <c r="A9" s="130"/>
      <c r="B9" s="69"/>
      <c r="C9" s="69"/>
      <c r="D9" s="171"/>
      <c r="E9" s="69"/>
    </row>
    <row r="10" spans="1:16" outlineLevel="1" x14ac:dyDescent="0.25">
      <c r="A10" s="64"/>
      <c r="C10" s="25"/>
      <c r="D10" s="171" t="s">
        <v>358</v>
      </c>
    </row>
    <row r="11" spans="1:16" outlineLevel="1" x14ac:dyDescent="0.25">
      <c r="A11" s="64"/>
      <c r="C11" s="25"/>
      <c r="D11" s="171" t="s">
        <v>359</v>
      </c>
    </row>
    <row r="12" spans="1:16" outlineLevel="1" x14ac:dyDescent="0.25">
      <c r="A12" s="64"/>
      <c r="C12" s="565" t="s">
        <v>338</v>
      </c>
      <c r="D12" s="170"/>
      <c r="E12" s="47"/>
    </row>
    <row r="13" spans="1:16" outlineLevel="1" x14ac:dyDescent="0.25">
      <c r="A13" s="64"/>
      <c r="C13" s="565"/>
      <c r="D13" s="574" t="s">
        <v>365</v>
      </c>
      <c r="E13" s="574"/>
    </row>
    <row r="14" spans="1:16" outlineLevel="1" x14ac:dyDescent="0.25">
      <c r="A14" s="64"/>
      <c r="C14" s="565"/>
      <c r="D14" s="575" t="s">
        <v>339</v>
      </c>
      <c r="E14" s="575"/>
    </row>
    <row r="15" spans="1:16" outlineLevel="1" x14ac:dyDescent="0.25">
      <c r="A15" s="64"/>
      <c r="C15" s="84"/>
      <c r="D15" s="69"/>
      <c r="E15" s="47"/>
    </row>
    <row r="16" spans="1:16" x14ac:dyDescent="0.25">
      <c r="A16" s="64"/>
      <c r="C16" s="84"/>
      <c r="D16" s="256"/>
      <c r="E16" s="47"/>
    </row>
    <row r="17" spans="1:17" x14ac:dyDescent="0.25">
      <c r="B17" s="581" t="s">
        <v>354</v>
      </c>
      <c r="C17" s="581"/>
      <c r="D17" s="581"/>
      <c r="E17" s="581"/>
      <c r="F17" s="581"/>
      <c r="G17" s="581"/>
      <c r="H17" s="581"/>
      <c r="I17" s="581"/>
      <c r="J17" s="581"/>
      <c r="K17" s="581"/>
      <c r="L17" s="581"/>
      <c r="M17" s="581"/>
      <c r="N17" s="581"/>
      <c r="O17" s="581"/>
      <c r="P17" s="581"/>
    </row>
    <row r="18" spans="1:17" ht="18.75" x14ac:dyDescent="0.3">
      <c r="B18" s="19"/>
      <c r="C18" s="20"/>
      <c r="D18" s="19"/>
      <c r="E18" s="19"/>
      <c r="F18" s="19"/>
      <c r="G18" s="19"/>
      <c r="H18" s="19"/>
      <c r="I18" s="19"/>
      <c r="J18" s="19"/>
      <c r="K18" s="19"/>
      <c r="L18" s="19"/>
      <c r="M18" s="19"/>
      <c r="N18" s="19"/>
      <c r="O18" s="19"/>
      <c r="P18" s="19"/>
    </row>
    <row r="19" spans="1:17" s="27" customFormat="1" ht="50.25" customHeight="1" x14ac:dyDescent="0.25">
      <c r="A19" s="45"/>
      <c r="B19" s="585" t="s">
        <v>59</v>
      </c>
      <c r="C19" s="587" t="s">
        <v>0</v>
      </c>
      <c r="D19" s="587" t="s">
        <v>45</v>
      </c>
      <c r="E19" s="587" t="s">
        <v>206</v>
      </c>
      <c r="F19" s="274" t="s">
        <v>46</v>
      </c>
      <c r="G19" s="274" t="s">
        <v>203</v>
      </c>
      <c r="H19" s="582" t="s">
        <v>60</v>
      </c>
      <c r="I19" s="583"/>
      <c r="J19" s="583"/>
      <c r="K19" s="583"/>
      <c r="L19" s="583"/>
      <c r="M19" s="583"/>
      <c r="N19" s="583"/>
      <c r="O19" s="583"/>
      <c r="P19" s="584"/>
      <c r="Q19" s="4"/>
    </row>
    <row r="20" spans="1:17" s="27" customFormat="1" ht="43.5" customHeight="1" x14ac:dyDescent="0.2">
      <c r="A20" s="273"/>
      <c r="B20" s="597"/>
      <c r="C20" s="596"/>
      <c r="D20" s="596"/>
      <c r="E20" s="596"/>
      <c r="F20" s="217" t="s">
        <v>47</v>
      </c>
      <c r="G20" s="217" t="s">
        <v>48</v>
      </c>
      <c r="H20" s="217" t="str">
        <f>'1.  LRAMVA Summary'!C21</f>
        <v>Residential</v>
      </c>
      <c r="I20" s="217" t="str">
        <f>'1.  LRAMVA Summary'!D21</f>
        <v>General Service &lt;50 kW</v>
      </c>
      <c r="J20" s="217" t="str">
        <f>'1.  LRAMVA Summary'!E21</f>
        <v>General Service &gt; 50 kW</v>
      </c>
      <c r="K20" s="217" t="str">
        <f>'1.  LRAMVA Summary'!F21</f>
        <v>General Service 1,000 - 4,999 kW</v>
      </c>
      <c r="L20" s="217" t="str">
        <f>'1.  LRAMVA Summary'!G21</f>
        <v>Sentinel Lighting</v>
      </c>
      <c r="M20" s="217" t="str">
        <f>'1.  LRAMVA Summary'!H21</f>
        <v>Street Lighting</v>
      </c>
      <c r="N20" s="217" t="str">
        <f>'1.  LRAMVA Summary'!I21</f>
        <v>Unmetered Scattered Load</v>
      </c>
      <c r="O20" s="217" t="s">
        <v>106</v>
      </c>
      <c r="P20" s="275" t="str">
        <f>'1.  LRAMVA Summary'!K21</f>
        <v>Total</v>
      </c>
      <c r="Q20" s="4"/>
    </row>
    <row r="21" spans="1:17" s="21" customFormat="1" ht="21" customHeight="1" outlineLevel="1" x14ac:dyDescent="0.25">
      <c r="A21" s="591">
        <v>2011</v>
      </c>
      <c r="B21" s="250"/>
      <c r="C21" s="590" t="s">
        <v>1</v>
      </c>
      <c r="D21" s="590"/>
      <c r="E21" s="251"/>
      <c r="F21" s="252"/>
      <c r="G21" s="252"/>
      <c r="H21" s="252"/>
      <c r="I21" s="252"/>
      <c r="J21" s="252"/>
      <c r="K21" s="252"/>
      <c r="L21" s="252"/>
      <c r="M21" s="252"/>
      <c r="N21" s="252"/>
      <c r="O21" s="252"/>
      <c r="P21" s="253"/>
      <c r="Q21" s="142"/>
    </row>
    <row r="22" spans="1:17" s="27" customFormat="1" ht="14.25" outlineLevel="1" x14ac:dyDescent="0.2">
      <c r="A22" s="591"/>
      <c r="B22" s="276">
        <v>1</v>
      </c>
      <c r="C22" s="257" t="s">
        <v>2</v>
      </c>
      <c r="D22" s="255" t="s">
        <v>34</v>
      </c>
      <c r="E22" s="255"/>
      <c r="F22" s="300"/>
      <c r="G22" s="300"/>
      <c r="H22" s="299">
        <v>1</v>
      </c>
      <c r="I22" s="298"/>
      <c r="J22" s="298"/>
      <c r="K22" s="298"/>
      <c r="L22" s="298"/>
      <c r="M22" s="298"/>
      <c r="N22" s="298"/>
      <c r="O22" s="298"/>
      <c r="P22" s="254">
        <f>SUM(H22:O22)</f>
        <v>1</v>
      </c>
      <c r="Q22" s="4"/>
    </row>
    <row r="23" spans="1:17" s="27" customFormat="1" ht="14.25" outlineLevel="1" x14ac:dyDescent="0.2">
      <c r="A23" s="591"/>
      <c r="B23" s="276">
        <v>2</v>
      </c>
      <c r="C23" s="257" t="s">
        <v>3</v>
      </c>
      <c r="D23" s="255" t="s">
        <v>34</v>
      </c>
      <c r="E23" s="255"/>
      <c r="F23" s="261"/>
      <c r="G23" s="261"/>
      <c r="H23" s="299">
        <v>1</v>
      </c>
      <c r="I23" s="298"/>
      <c r="J23" s="298"/>
      <c r="K23" s="298"/>
      <c r="L23" s="298"/>
      <c r="M23" s="298"/>
      <c r="N23" s="298"/>
      <c r="O23" s="298"/>
      <c r="P23" s="254">
        <f t="shared" ref="P23:P29" si="0">SUM(H23:O23)</f>
        <v>1</v>
      </c>
      <c r="Q23" s="4"/>
    </row>
    <row r="24" spans="1:17" s="27" customFormat="1" ht="14.25" outlineLevel="1" x14ac:dyDescent="0.2">
      <c r="A24" s="591"/>
      <c r="B24" s="276">
        <v>3</v>
      </c>
      <c r="C24" s="257" t="s">
        <v>4</v>
      </c>
      <c r="D24" s="255" t="s">
        <v>34</v>
      </c>
      <c r="E24" s="255"/>
      <c r="F24" s="261"/>
      <c r="G24" s="261"/>
      <c r="H24" s="299">
        <v>1</v>
      </c>
      <c r="I24" s="298"/>
      <c r="J24" s="298"/>
      <c r="K24" s="298"/>
      <c r="L24" s="298"/>
      <c r="M24" s="298"/>
      <c r="N24" s="298"/>
      <c r="O24" s="298"/>
      <c r="P24" s="254">
        <f t="shared" si="0"/>
        <v>1</v>
      </c>
      <c r="Q24" s="4"/>
    </row>
    <row r="25" spans="1:17" s="27" customFormat="1" ht="14.25" outlineLevel="1" x14ac:dyDescent="0.2">
      <c r="A25" s="591"/>
      <c r="B25" s="276">
        <v>4</v>
      </c>
      <c r="C25" s="257" t="s">
        <v>5</v>
      </c>
      <c r="D25" s="255" t="s">
        <v>34</v>
      </c>
      <c r="E25" s="255"/>
      <c r="F25" s="261"/>
      <c r="G25" s="261"/>
      <c r="H25" s="299">
        <v>1</v>
      </c>
      <c r="I25" s="298"/>
      <c r="J25" s="298"/>
      <c r="K25" s="298"/>
      <c r="L25" s="298"/>
      <c r="M25" s="298"/>
      <c r="N25" s="298"/>
      <c r="O25" s="298"/>
      <c r="P25" s="254">
        <f t="shared" si="0"/>
        <v>1</v>
      </c>
      <c r="Q25" s="4"/>
    </row>
    <row r="26" spans="1:17" s="27" customFormat="1" ht="14.25" outlineLevel="1" x14ac:dyDescent="0.2">
      <c r="A26" s="591"/>
      <c r="B26" s="276">
        <v>5</v>
      </c>
      <c r="C26" s="257" t="s">
        <v>6</v>
      </c>
      <c r="D26" s="255" t="s">
        <v>34</v>
      </c>
      <c r="E26" s="255"/>
      <c r="F26" s="261"/>
      <c r="G26" s="261"/>
      <c r="H26" s="299">
        <v>1</v>
      </c>
      <c r="I26" s="298"/>
      <c r="J26" s="298"/>
      <c r="K26" s="298"/>
      <c r="L26" s="298"/>
      <c r="M26" s="298"/>
      <c r="N26" s="298"/>
      <c r="O26" s="298"/>
      <c r="P26" s="254">
        <f t="shared" si="0"/>
        <v>1</v>
      </c>
      <c r="Q26" s="4"/>
    </row>
    <row r="27" spans="1:17" s="27" customFormat="1" ht="14.25" outlineLevel="1" x14ac:dyDescent="0.2">
      <c r="A27" s="591"/>
      <c r="B27" s="276">
        <v>6</v>
      </c>
      <c r="C27" s="257" t="s">
        <v>7</v>
      </c>
      <c r="D27" s="255" t="s">
        <v>34</v>
      </c>
      <c r="E27" s="255"/>
      <c r="F27" s="261"/>
      <c r="G27" s="261"/>
      <c r="H27" s="299">
        <v>0</v>
      </c>
      <c r="I27" s="298"/>
      <c r="J27" s="298"/>
      <c r="K27" s="298"/>
      <c r="L27" s="298"/>
      <c r="M27" s="298"/>
      <c r="N27" s="298"/>
      <c r="O27" s="298"/>
      <c r="P27" s="254">
        <f t="shared" si="0"/>
        <v>0</v>
      </c>
      <c r="Q27" s="4"/>
    </row>
    <row r="28" spans="1:17" s="27" customFormat="1" ht="14.25" outlineLevel="1" x14ac:dyDescent="0.2">
      <c r="A28" s="591"/>
      <c r="B28" s="276">
        <v>7</v>
      </c>
      <c r="C28" s="257" t="s">
        <v>61</v>
      </c>
      <c r="D28" s="255" t="s">
        <v>34</v>
      </c>
      <c r="E28" s="255"/>
      <c r="F28" s="261"/>
      <c r="G28" s="261"/>
      <c r="H28" s="299">
        <v>0</v>
      </c>
      <c r="I28" s="298"/>
      <c r="J28" s="298"/>
      <c r="K28" s="298"/>
      <c r="L28" s="298"/>
      <c r="M28" s="298"/>
      <c r="N28" s="298"/>
      <c r="O28" s="298"/>
      <c r="P28" s="254">
        <f t="shared" si="0"/>
        <v>0</v>
      </c>
      <c r="Q28" s="4"/>
    </row>
    <row r="29" spans="1:17" s="27" customFormat="1" ht="14.25" outlineLevel="1" x14ac:dyDescent="0.2">
      <c r="A29" s="591"/>
      <c r="B29" s="276">
        <v>8</v>
      </c>
      <c r="C29" s="257" t="s">
        <v>8</v>
      </c>
      <c r="D29" s="255" t="s">
        <v>34</v>
      </c>
      <c r="E29" s="255"/>
      <c r="F29" s="261"/>
      <c r="G29" s="261"/>
      <c r="H29" s="299">
        <v>0</v>
      </c>
      <c r="I29" s="298"/>
      <c r="J29" s="298"/>
      <c r="K29" s="298"/>
      <c r="L29" s="298"/>
      <c r="M29" s="298"/>
      <c r="N29" s="298"/>
      <c r="O29" s="298"/>
      <c r="P29" s="254">
        <f t="shared" si="0"/>
        <v>0</v>
      </c>
      <c r="Q29" s="4"/>
    </row>
    <row r="30" spans="1:17" s="27" customFormat="1" ht="15" outlineLevel="1" x14ac:dyDescent="0.2">
      <c r="A30" s="591"/>
      <c r="B30" s="276"/>
      <c r="C30" s="506" t="s">
        <v>255</v>
      </c>
      <c r="D30" s="255" t="s">
        <v>254</v>
      </c>
      <c r="E30" s="255"/>
      <c r="F30" s="261"/>
      <c r="G30" s="261"/>
      <c r="H30" s="297"/>
      <c r="I30" s="298"/>
      <c r="J30" s="298"/>
      <c r="K30" s="298"/>
      <c r="L30" s="298"/>
      <c r="M30" s="298"/>
      <c r="N30" s="298"/>
      <c r="O30" s="298"/>
      <c r="P30" s="254"/>
      <c r="Q30" s="4"/>
    </row>
    <row r="31" spans="1:17" s="27" customFormat="1" ht="15" outlineLevel="1" x14ac:dyDescent="0.2">
      <c r="A31" s="591"/>
      <c r="B31" s="276"/>
      <c r="C31" s="580"/>
      <c r="D31" s="580"/>
      <c r="E31" s="270"/>
      <c r="F31" s="261"/>
      <c r="G31" s="261"/>
      <c r="H31" s="297"/>
      <c r="I31" s="298"/>
      <c r="J31" s="298"/>
      <c r="K31" s="298"/>
      <c r="L31" s="298"/>
      <c r="M31" s="298"/>
      <c r="N31" s="298"/>
      <c r="O31" s="298"/>
      <c r="P31" s="254"/>
      <c r="Q31" s="4"/>
    </row>
    <row r="32" spans="1:17" s="27" customFormat="1" ht="15" outlineLevel="1" x14ac:dyDescent="0.2">
      <c r="A32" s="591"/>
      <c r="B32" s="276"/>
      <c r="C32" s="580"/>
      <c r="D32" s="580"/>
      <c r="E32" s="270"/>
      <c r="F32" s="301"/>
      <c r="G32" s="301"/>
      <c r="H32" s="297"/>
      <c r="I32" s="298"/>
      <c r="J32" s="298"/>
      <c r="K32" s="298"/>
      <c r="L32" s="298"/>
      <c r="M32" s="298"/>
      <c r="N32" s="298"/>
      <c r="O32" s="298"/>
      <c r="P32" s="254"/>
      <c r="Q32" s="4"/>
    </row>
    <row r="33" spans="1:19" s="21" customFormat="1" ht="20.25" customHeight="1" outlineLevel="1" x14ac:dyDescent="0.25">
      <c r="A33" s="591"/>
      <c r="B33" s="250"/>
      <c r="C33" s="590" t="s">
        <v>9</v>
      </c>
      <c r="D33" s="590"/>
      <c r="E33" s="251"/>
      <c r="F33" s="252"/>
      <c r="G33" s="252"/>
      <c r="H33" s="252"/>
      <c r="I33" s="252"/>
      <c r="J33" s="252"/>
      <c r="K33" s="252"/>
      <c r="L33" s="252"/>
      <c r="M33" s="252"/>
      <c r="N33" s="252"/>
      <c r="O33" s="252"/>
      <c r="P33" s="253"/>
      <c r="Q33" s="142"/>
      <c r="R33" s="27"/>
      <c r="S33" s="27"/>
    </row>
    <row r="34" spans="1:19" s="27" customFormat="1" ht="14.25" outlineLevel="1" x14ac:dyDescent="0.2">
      <c r="A34" s="591"/>
      <c r="B34" s="151">
        <v>9</v>
      </c>
      <c r="C34" s="259" t="s">
        <v>27</v>
      </c>
      <c r="D34" s="255" t="s">
        <v>34</v>
      </c>
      <c r="E34" s="255">
        <v>12</v>
      </c>
      <c r="F34" s="300"/>
      <c r="G34" s="300"/>
      <c r="H34" s="297"/>
      <c r="I34" s="299">
        <v>0.14199999999999999</v>
      </c>
      <c r="J34" s="299">
        <v>0.85799999999999998</v>
      </c>
      <c r="K34" s="299">
        <v>0</v>
      </c>
      <c r="L34" s="298"/>
      <c r="M34" s="298"/>
      <c r="N34" s="298"/>
      <c r="O34" s="298"/>
      <c r="P34" s="254">
        <f t="shared" ref="P34:P40" si="1">SUM(H34:O34)</f>
        <v>1</v>
      </c>
      <c r="Q34" s="4"/>
      <c r="R34" s="27">
        <f>3347968/7822384</f>
        <v>0.42799842094174873</v>
      </c>
    </row>
    <row r="35" spans="1:19" s="27" customFormat="1" ht="14.25" outlineLevel="1" x14ac:dyDescent="0.2">
      <c r="A35" s="591"/>
      <c r="B35" s="151">
        <v>10</v>
      </c>
      <c r="C35" s="257" t="s">
        <v>25</v>
      </c>
      <c r="D35" s="255" t="s">
        <v>34</v>
      </c>
      <c r="E35" s="255">
        <v>12</v>
      </c>
      <c r="F35" s="261"/>
      <c r="G35" s="261"/>
      <c r="H35" s="297"/>
      <c r="I35" s="299">
        <v>1</v>
      </c>
      <c r="J35" s="299">
        <v>0</v>
      </c>
      <c r="K35" s="299">
        <v>0</v>
      </c>
      <c r="L35" s="298"/>
      <c r="M35" s="298"/>
      <c r="N35" s="298"/>
      <c r="O35" s="298"/>
      <c r="P35" s="254">
        <f t="shared" si="1"/>
        <v>1</v>
      </c>
      <c r="Q35" s="4"/>
    </row>
    <row r="36" spans="1:19" s="27" customFormat="1" ht="15" customHeight="1" outlineLevel="1" x14ac:dyDescent="0.2">
      <c r="A36" s="591"/>
      <c r="B36" s="151">
        <v>11</v>
      </c>
      <c r="C36" s="257" t="s">
        <v>28</v>
      </c>
      <c r="D36" s="255" t="s">
        <v>34</v>
      </c>
      <c r="E36" s="260">
        <v>3</v>
      </c>
      <c r="F36" s="261"/>
      <c r="G36" s="261"/>
      <c r="H36" s="297"/>
      <c r="I36" s="299">
        <v>1</v>
      </c>
      <c r="J36" s="299">
        <v>0</v>
      </c>
      <c r="K36" s="299">
        <v>0</v>
      </c>
      <c r="L36" s="298"/>
      <c r="M36" s="298"/>
      <c r="N36" s="298"/>
      <c r="O36" s="298"/>
      <c r="P36" s="254">
        <f t="shared" si="1"/>
        <v>1</v>
      </c>
      <c r="Q36" s="4"/>
    </row>
    <row r="37" spans="1:19" s="27" customFormat="1" ht="14.25" outlineLevel="1" x14ac:dyDescent="0.2">
      <c r="A37" s="591"/>
      <c r="B37" s="151">
        <v>12</v>
      </c>
      <c r="C37" s="257" t="s">
        <v>29</v>
      </c>
      <c r="D37" s="255" t="s">
        <v>34</v>
      </c>
      <c r="E37" s="255">
        <v>12</v>
      </c>
      <c r="F37" s="261"/>
      <c r="G37" s="261"/>
      <c r="H37" s="297"/>
      <c r="I37" s="299">
        <v>0</v>
      </c>
      <c r="J37" s="299">
        <v>0</v>
      </c>
      <c r="K37" s="299">
        <v>0</v>
      </c>
      <c r="L37" s="298"/>
      <c r="M37" s="298"/>
      <c r="N37" s="298"/>
      <c r="O37" s="298"/>
      <c r="P37" s="254">
        <f t="shared" si="1"/>
        <v>0</v>
      </c>
      <c r="Q37" s="4"/>
    </row>
    <row r="38" spans="1:19" s="27" customFormat="1" ht="14.25" outlineLevel="1" x14ac:dyDescent="0.2">
      <c r="A38" s="591"/>
      <c r="B38" s="151">
        <v>13</v>
      </c>
      <c r="C38" s="257" t="s">
        <v>23</v>
      </c>
      <c r="D38" s="255" t="s">
        <v>34</v>
      </c>
      <c r="E38" s="255">
        <v>12</v>
      </c>
      <c r="F38" s="261"/>
      <c r="G38" s="261"/>
      <c r="H38" s="297"/>
      <c r="I38" s="299">
        <v>0</v>
      </c>
      <c r="J38" s="299">
        <v>0</v>
      </c>
      <c r="K38" s="299">
        <v>0</v>
      </c>
      <c r="L38" s="298"/>
      <c r="M38" s="298"/>
      <c r="N38" s="298"/>
      <c r="O38" s="298"/>
      <c r="P38" s="254">
        <f t="shared" si="1"/>
        <v>0</v>
      </c>
      <c r="Q38" s="4"/>
    </row>
    <row r="39" spans="1:19" s="27" customFormat="1" ht="28.5" outlineLevel="1" x14ac:dyDescent="0.2">
      <c r="A39" s="591"/>
      <c r="B39" s="151">
        <v>14</v>
      </c>
      <c r="C39" s="257" t="s">
        <v>62</v>
      </c>
      <c r="D39" s="255" t="s">
        <v>34</v>
      </c>
      <c r="E39" s="255">
        <v>0</v>
      </c>
      <c r="F39" s="261"/>
      <c r="G39" s="261"/>
      <c r="H39" s="297"/>
      <c r="I39" s="299">
        <v>0</v>
      </c>
      <c r="J39" s="299">
        <v>0</v>
      </c>
      <c r="K39" s="299">
        <v>0</v>
      </c>
      <c r="L39" s="298"/>
      <c r="M39" s="298"/>
      <c r="N39" s="298"/>
      <c r="O39" s="298"/>
      <c r="P39" s="254">
        <f t="shared" si="1"/>
        <v>0</v>
      </c>
      <c r="Q39" s="4"/>
    </row>
    <row r="40" spans="1:19" s="27" customFormat="1" ht="14.25" outlineLevel="1" x14ac:dyDescent="0.2">
      <c r="A40" s="591"/>
      <c r="B40" s="276">
        <v>15</v>
      </c>
      <c r="C40" s="257" t="s">
        <v>10</v>
      </c>
      <c r="D40" s="255" t="s">
        <v>34</v>
      </c>
      <c r="E40" s="255">
        <v>0</v>
      </c>
      <c r="F40" s="261"/>
      <c r="G40" s="261"/>
      <c r="H40" s="297"/>
      <c r="I40" s="299">
        <v>1</v>
      </c>
      <c r="J40" s="299">
        <v>0</v>
      </c>
      <c r="K40" s="299">
        <v>0</v>
      </c>
      <c r="L40" s="298"/>
      <c r="M40" s="298"/>
      <c r="N40" s="298"/>
      <c r="O40" s="298"/>
      <c r="P40" s="254">
        <f t="shared" si="1"/>
        <v>1</v>
      </c>
      <c r="Q40" s="4"/>
    </row>
    <row r="41" spans="1:19" s="27" customFormat="1" ht="15" outlineLevel="1" x14ac:dyDescent="0.2">
      <c r="A41" s="591"/>
      <c r="B41" s="276"/>
      <c r="C41" s="258" t="s">
        <v>255</v>
      </c>
      <c r="D41" s="255" t="s">
        <v>254</v>
      </c>
      <c r="E41" s="255"/>
      <c r="F41" s="261"/>
      <c r="G41" s="261"/>
      <c r="H41" s="297"/>
      <c r="I41" s="298"/>
      <c r="J41" s="298"/>
      <c r="K41" s="298"/>
      <c r="L41" s="298"/>
      <c r="M41" s="298"/>
      <c r="N41" s="298"/>
      <c r="O41" s="298"/>
      <c r="P41" s="254"/>
      <c r="Q41" s="4"/>
    </row>
    <row r="42" spans="1:19" s="27" customFormat="1" ht="15" outlineLevel="1" x14ac:dyDescent="0.2">
      <c r="A42" s="591"/>
      <c r="B42" s="276"/>
      <c r="C42" s="580"/>
      <c r="D42" s="580"/>
      <c r="E42" s="270"/>
      <c r="F42" s="261"/>
      <c r="G42" s="261"/>
      <c r="H42" s="297"/>
      <c r="I42" s="298">
        <v>1</v>
      </c>
      <c r="J42" s="298"/>
      <c r="K42" s="298"/>
      <c r="L42" s="298"/>
      <c r="M42" s="298"/>
      <c r="N42" s="298"/>
      <c r="O42" s="298"/>
      <c r="P42" s="254"/>
      <c r="Q42" s="4"/>
    </row>
    <row r="43" spans="1:19" s="27" customFormat="1" ht="15" outlineLevel="1" x14ac:dyDescent="0.2">
      <c r="A43" s="591"/>
      <c r="B43" s="276"/>
      <c r="C43" s="580"/>
      <c r="D43" s="580"/>
      <c r="E43" s="270"/>
      <c r="F43" s="301"/>
      <c r="G43" s="301"/>
      <c r="H43" s="297"/>
      <c r="I43" s="298">
        <v>1</v>
      </c>
      <c r="J43" s="298"/>
      <c r="K43" s="298"/>
      <c r="L43" s="298"/>
      <c r="M43" s="298"/>
      <c r="N43" s="298"/>
      <c r="O43" s="298"/>
      <c r="P43" s="254"/>
      <c r="Q43" s="4"/>
    </row>
    <row r="44" spans="1:19" s="21" customFormat="1" ht="18" customHeight="1" outlineLevel="1" x14ac:dyDescent="0.25">
      <c r="A44" s="591"/>
      <c r="B44" s="250"/>
      <c r="C44" s="590" t="s">
        <v>11</v>
      </c>
      <c r="D44" s="590"/>
      <c r="E44" s="251"/>
      <c r="F44" s="252"/>
      <c r="G44" s="252"/>
      <c r="H44" s="252"/>
      <c r="I44" s="252"/>
      <c r="J44" s="252"/>
      <c r="K44" s="252"/>
      <c r="L44" s="252"/>
      <c r="M44" s="252"/>
      <c r="N44" s="252"/>
      <c r="O44" s="252"/>
      <c r="P44" s="253"/>
      <c r="Q44" s="142"/>
    </row>
    <row r="45" spans="1:19" s="27" customFormat="1" ht="14.25" outlineLevel="1" x14ac:dyDescent="0.2">
      <c r="A45" s="591"/>
      <c r="B45" s="151">
        <v>16</v>
      </c>
      <c r="C45" s="257" t="s">
        <v>12</v>
      </c>
      <c r="D45" s="255" t="s">
        <v>34</v>
      </c>
      <c r="E45" s="255">
        <v>12</v>
      </c>
      <c r="F45" s="300"/>
      <c r="G45" s="300"/>
      <c r="H45" s="297"/>
      <c r="I45" s="299">
        <v>0</v>
      </c>
      <c r="J45" s="299">
        <v>0</v>
      </c>
      <c r="K45" s="299">
        <v>0</v>
      </c>
      <c r="L45" s="298"/>
      <c r="M45" s="298"/>
      <c r="N45" s="298"/>
      <c r="O45" s="298"/>
      <c r="P45" s="254">
        <f t="shared" ref="P45:P49" si="2">SUM(H45:O45)</f>
        <v>0</v>
      </c>
      <c r="Q45" s="4"/>
    </row>
    <row r="46" spans="1:19" s="27" customFormat="1" ht="14.25" outlineLevel="1" x14ac:dyDescent="0.2">
      <c r="A46" s="591"/>
      <c r="B46" s="151">
        <v>17</v>
      </c>
      <c r="C46" s="257" t="s">
        <v>13</v>
      </c>
      <c r="D46" s="255" t="s">
        <v>34</v>
      </c>
      <c r="E46" s="255">
        <v>12</v>
      </c>
      <c r="F46" s="261"/>
      <c r="G46" s="261"/>
      <c r="H46" s="297"/>
      <c r="I46" s="299">
        <v>0</v>
      </c>
      <c r="J46" s="299">
        <v>0</v>
      </c>
      <c r="K46" s="299">
        <v>0</v>
      </c>
      <c r="L46" s="298"/>
      <c r="M46" s="298"/>
      <c r="N46" s="298"/>
      <c r="O46" s="298"/>
      <c r="P46" s="254">
        <f t="shared" si="2"/>
        <v>0</v>
      </c>
      <c r="Q46" s="4"/>
    </row>
    <row r="47" spans="1:19" s="27" customFormat="1" ht="14.25" outlineLevel="1" x14ac:dyDescent="0.2">
      <c r="A47" s="591"/>
      <c r="B47" s="151">
        <v>18</v>
      </c>
      <c r="C47" s="257" t="s">
        <v>14</v>
      </c>
      <c r="D47" s="255" t="s">
        <v>34</v>
      </c>
      <c r="E47" s="255">
        <v>12</v>
      </c>
      <c r="F47" s="261"/>
      <c r="G47" s="261"/>
      <c r="H47" s="297"/>
      <c r="I47" s="299">
        <v>0</v>
      </c>
      <c r="J47" s="299">
        <v>0</v>
      </c>
      <c r="K47" s="299">
        <v>0</v>
      </c>
      <c r="L47" s="298"/>
      <c r="M47" s="298"/>
      <c r="N47" s="298"/>
      <c r="O47" s="298"/>
      <c r="P47" s="254">
        <f t="shared" si="2"/>
        <v>0</v>
      </c>
      <c r="Q47" s="4"/>
    </row>
    <row r="48" spans="1:19" s="27" customFormat="1" ht="14.25" outlineLevel="1" x14ac:dyDescent="0.2">
      <c r="A48" s="591"/>
      <c r="B48" s="151">
        <v>19</v>
      </c>
      <c r="C48" s="259" t="s">
        <v>27</v>
      </c>
      <c r="D48" s="255" t="s">
        <v>34</v>
      </c>
      <c r="E48" s="255">
        <v>12</v>
      </c>
      <c r="F48" s="261"/>
      <c r="G48" s="261"/>
      <c r="H48" s="297"/>
      <c r="I48" s="299">
        <v>0</v>
      </c>
      <c r="J48" s="299">
        <v>1</v>
      </c>
      <c r="K48" s="299">
        <v>0</v>
      </c>
      <c r="L48" s="298"/>
      <c r="M48" s="298"/>
      <c r="N48" s="298"/>
      <c r="O48" s="298"/>
      <c r="P48" s="254">
        <f t="shared" si="2"/>
        <v>1</v>
      </c>
      <c r="Q48" s="4"/>
    </row>
    <row r="49" spans="1:17" s="27" customFormat="1" ht="14.25" outlineLevel="1" x14ac:dyDescent="0.2">
      <c r="A49" s="591"/>
      <c r="B49" s="151">
        <v>20</v>
      </c>
      <c r="C49" s="257" t="s">
        <v>10</v>
      </c>
      <c r="D49" s="255" t="s">
        <v>34</v>
      </c>
      <c r="E49" s="255">
        <v>0</v>
      </c>
      <c r="F49" s="261"/>
      <c r="G49" s="261"/>
      <c r="H49" s="297"/>
      <c r="I49" s="298"/>
      <c r="J49" s="298"/>
      <c r="K49" s="298"/>
      <c r="L49" s="298"/>
      <c r="M49" s="298"/>
      <c r="N49" s="298"/>
      <c r="O49" s="298"/>
      <c r="P49" s="254">
        <f t="shared" si="2"/>
        <v>0</v>
      </c>
      <c r="Q49" s="4"/>
    </row>
    <row r="50" spans="1:17" s="27" customFormat="1" ht="15" outlineLevel="1" x14ac:dyDescent="0.2">
      <c r="A50" s="591"/>
      <c r="B50" s="151"/>
      <c r="C50" s="258" t="s">
        <v>255</v>
      </c>
      <c r="D50" s="255" t="s">
        <v>254</v>
      </c>
      <c r="E50" s="255"/>
      <c r="F50" s="261"/>
      <c r="G50" s="261"/>
      <c r="H50" s="297"/>
      <c r="I50" s="298"/>
      <c r="J50" s="298"/>
      <c r="K50" s="298"/>
      <c r="L50" s="298"/>
      <c r="M50" s="298"/>
      <c r="N50" s="298"/>
      <c r="O50" s="298"/>
      <c r="P50" s="254"/>
      <c r="Q50" s="4"/>
    </row>
    <row r="51" spans="1:17" s="27" customFormat="1" ht="15" outlineLevel="1" x14ac:dyDescent="0.2">
      <c r="A51" s="591"/>
      <c r="B51" s="151"/>
      <c r="C51" s="580"/>
      <c r="D51" s="580"/>
      <c r="E51" s="270"/>
      <c r="F51" s="261"/>
      <c r="G51" s="261"/>
      <c r="H51" s="297"/>
      <c r="I51" s="298"/>
      <c r="J51" s="298"/>
      <c r="K51" s="298"/>
      <c r="L51" s="298"/>
      <c r="M51" s="298"/>
      <c r="N51" s="298"/>
      <c r="O51" s="298"/>
      <c r="P51" s="254"/>
      <c r="Q51" s="4"/>
    </row>
    <row r="52" spans="1:17" s="27" customFormat="1" ht="15" outlineLevel="1" x14ac:dyDescent="0.2">
      <c r="A52" s="591"/>
      <c r="B52" s="151"/>
      <c r="C52" s="580"/>
      <c r="D52" s="580"/>
      <c r="E52" s="270"/>
      <c r="F52" s="301"/>
      <c r="G52" s="301"/>
      <c r="H52" s="297"/>
      <c r="I52" s="298"/>
      <c r="J52" s="298"/>
      <c r="K52" s="298"/>
      <c r="L52" s="298"/>
      <c r="M52" s="298"/>
      <c r="N52" s="298"/>
      <c r="O52" s="298"/>
      <c r="P52" s="254"/>
      <c r="Q52" s="4"/>
    </row>
    <row r="53" spans="1:17" s="21" customFormat="1" ht="20.25" customHeight="1" outlineLevel="1" x14ac:dyDescent="0.25">
      <c r="A53" s="591"/>
      <c r="B53" s="250"/>
      <c r="C53" s="590" t="s">
        <v>15</v>
      </c>
      <c r="D53" s="590"/>
      <c r="E53" s="251"/>
      <c r="F53" s="252"/>
      <c r="G53" s="252"/>
      <c r="H53" s="252"/>
      <c r="I53" s="252"/>
      <c r="J53" s="252"/>
      <c r="K53" s="252"/>
      <c r="L53" s="252"/>
      <c r="M53" s="252"/>
      <c r="N53" s="252"/>
      <c r="O53" s="252"/>
      <c r="P53" s="253"/>
      <c r="Q53" s="142"/>
    </row>
    <row r="54" spans="1:17" s="27" customFormat="1" ht="14.25" outlineLevel="1" x14ac:dyDescent="0.2">
      <c r="A54" s="591"/>
      <c r="B54" s="276">
        <v>21</v>
      </c>
      <c r="C54" s="257" t="s">
        <v>15</v>
      </c>
      <c r="D54" s="255" t="s">
        <v>34</v>
      </c>
      <c r="E54" s="255"/>
      <c r="F54" s="300"/>
      <c r="G54" s="300"/>
      <c r="H54" s="299">
        <v>0</v>
      </c>
      <c r="I54" s="298"/>
      <c r="J54" s="298"/>
      <c r="K54" s="298"/>
      <c r="L54" s="298"/>
      <c r="M54" s="298"/>
      <c r="N54" s="298"/>
      <c r="O54" s="298"/>
      <c r="P54" s="254">
        <f t="shared" ref="P54" si="3">SUM(H54:O54)</f>
        <v>0</v>
      </c>
      <c r="Q54" s="4"/>
    </row>
    <row r="55" spans="1:17" s="27" customFormat="1" ht="15" outlineLevel="1" x14ac:dyDescent="0.2">
      <c r="A55" s="591"/>
      <c r="B55" s="276"/>
      <c r="C55" s="258" t="s">
        <v>255</v>
      </c>
      <c r="D55" s="255" t="s">
        <v>254</v>
      </c>
      <c r="E55" s="255"/>
      <c r="F55" s="261"/>
      <c r="G55" s="261"/>
      <c r="H55" s="297"/>
      <c r="I55" s="298"/>
      <c r="J55" s="298"/>
      <c r="K55" s="298"/>
      <c r="L55" s="298"/>
      <c r="M55" s="298"/>
      <c r="N55" s="298"/>
      <c r="O55" s="298"/>
      <c r="P55" s="254"/>
      <c r="Q55" s="4"/>
    </row>
    <row r="56" spans="1:17" s="27" customFormat="1" ht="15" outlineLevel="1" x14ac:dyDescent="0.2">
      <c r="A56" s="591"/>
      <c r="B56" s="276"/>
      <c r="C56" s="580"/>
      <c r="D56" s="580"/>
      <c r="E56" s="270"/>
      <c r="F56" s="261"/>
      <c r="G56" s="261"/>
      <c r="H56" s="297"/>
      <c r="I56" s="298"/>
      <c r="J56" s="298"/>
      <c r="K56" s="298"/>
      <c r="L56" s="298"/>
      <c r="M56" s="298"/>
      <c r="N56" s="298"/>
      <c r="O56" s="298"/>
      <c r="P56" s="254"/>
      <c r="Q56" s="4"/>
    </row>
    <row r="57" spans="1:17" s="27" customFormat="1" ht="15" outlineLevel="1" x14ac:dyDescent="0.2">
      <c r="A57" s="591"/>
      <c r="B57" s="276"/>
      <c r="C57" s="580"/>
      <c r="D57" s="580"/>
      <c r="E57" s="270"/>
      <c r="F57" s="301"/>
      <c r="G57" s="301"/>
      <c r="H57" s="297"/>
      <c r="I57" s="298"/>
      <c r="J57" s="298"/>
      <c r="K57" s="298"/>
      <c r="L57" s="298"/>
      <c r="M57" s="298"/>
      <c r="N57" s="298"/>
      <c r="O57" s="298"/>
      <c r="P57" s="254"/>
      <c r="Q57" s="4"/>
    </row>
    <row r="58" spans="1:17" s="21" customFormat="1" ht="18.75" customHeight="1" outlineLevel="1" x14ac:dyDescent="0.25">
      <c r="A58" s="591"/>
      <c r="B58" s="250"/>
      <c r="C58" s="590" t="s">
        <v>16</v>
      </c>
      <c r="D58" s="590"/>
      <c r="E58" s="251"/>
      <c r="F58" s="252"/>
      <c r="G58" s="252"/>
      <c r="H58" s="252"/>
      <c r="I58" s="252"/>
      <c r="J58" s="252"/>
      <c r="K58" s="252"/>
      <c r="L58" s="252"/>
      <c r="M58" s="252"/>
      <c r="N58" s="252"/>
      <c r="O58" s="252"/>
      <c r="P58" s="253"/>
      <c r="Q58" s="142"/>
    </row>
    <row r="59" spans="1:17" s="27" customFormat="1" ht="14.25" outlineLevel="1" x14ac:dyDescent="0.2">
      <c r="A59" s="591"/>
      <c r="B59" s="276">
        <v>22</v>
      </c>
      <c r="C59" s="257" t="s">
        <v>17</v>
      </c>
      <c r="D59" s="255" t="s">
        <v>34</v>
      </c>
      <c r="E59" s="255">
        <v>12</v>
      </c>
      <c r="F59" s="300"/>
      <c r="G59" s="300"/>
      <c r="H59" s="297"/>
      <c r="I59" s="298"/>
      <c r="J59" s="299">
        <v>1</v>
      </c>
      <c r="K59" s="299">
        <v>0</v>
      </c>
      <c r="L59" s="298"/>
      <c r="M59" s="298"/>
      <c r="N59" s="298"/>
      <c r="O59" s="298"/>
      <c r="P59" s="254">
        <f t="shared" ref="P59:P62" si="4">SUM(H59:O59)</f>
        <v>1</v>
      </c>
      <c r="Q59" s="4"/>
    </row>
    <row r="60" spans="1:17" s="27" customFormat="1" ht="14.25" outlineLevel="1" x14ac:dyDescent="0.2">
      <c r="A60" s="591"/>
      <c r="B60" s="276">
        <v>23</v>
      </c>
      <c r="C60" s="257" t="s">
        <v>18</v>
      </c>
      <c r="D60" s="255" t="s">
        <v>34</v>
      </c>
      <c r="E60" s="255"/>
      <c r="F60" s="261"/>
      <c r="G60" s="261"/>
      <c r="H60" s="297"/>
      <c r="I60" s="298"/>
      <c r="J60" s="299">
        <v>0</v>
      </c>
      <c r="K60" s="299">
        <v>0</v>
      </c>
      <c r="L60" s="298"/>
      <c r="M60" s="298"/>
      <c r="N60" s="298"/>
      <c r="O60" s="298"/>
      <c r="P60" s="254">
        <f t="shared" si="4"/>
        <v>0</v>
      </c>
      <c r="Q60" s="4"/>
    </row>
    <row r="61" spans="1:17" s="27" customFormat="1" ht="14.25" outlineLevel="1" x14ac:dyDescent="0.2">
      <c r="A61" s="591"/>
      <c r="B61" s="276">
        <v>24</v>
      </c>
      <c r="C61" s="257" t="s">
        <v>19</v>
      </c>
      <c r="D61" s="255" t="s">
        <v>34</v>
      </c>
      <c r="E61" s="255"/>
      <c r="F61" s="261"/>
      <c r="G61" s="261"/>
      <c r="H61" s="297"/>
      <c r="I61" s="298"/>
      <c r="J61" s="299">
        <v>0</v>
      </c>
      <c r="K61" s="299">
        <v>0</v>
      </c>
      <c r="L61" s="298"/>
      <c r="M61" s="298"/>
      <c r="N61" s="298"/>
      <c r="O61" s="298"/>
      <c r="P61" s="254">
        <f t="shared" si="4"/>
        <v>0</v>
      </c>
      <c r="Q61" s="4"/>
    </row>
    <row r="62" spans="1:17" s="27" customFormat="1" ht="14.25" outlineLevel="1" x14ac:dyDescent="0.2">
      <c r="A62" s="591"/>
      <c r="B62" s="276">
        <v>25</v>
      </c>
      <c r="C62" s="257" t="s">
        <v>20</v>
      </c>
      <c r="D62" s="255" t="s">
        <v>34</v>
      </c>
      <c r="E62" s="255"/>
      <c r="F62" s="261"/>
      <c r="G62" s="261"/>
      <c r="H62" s="297"/>
      <c r="I62" s="298"/>
      <c r="J62" s="299">
        <v>0</v>
      </c>
      <c r="K62" s="299">
        <v>0</v>
      </c>
      <c r="L62" s="298"/>
      <c r="M62" s="298"/>
      <c r="N62" s="298"/>
      <c r="O62" s="298"/>
      <c r="P62" s="254">
        <f t="shared" si="4"/>
        <v>0</v>
      </c>
      <c r="Q62" s="4"/>
    </row>
    <row r="63" spans="1:17" s="27" customFormat="1" ht="15" outlineLevel="1" x14ac:dyDescent="0.2">
      <c r="A63" s="591"/>
      <c r="B63" s="276"/>
      <c r="C63" s="258" t="s">
        <v>255</v>
      </c>
      <c r="D63" s="255" t="s">
        <v>254</v>
      </c>
      <c r="E63" s="255"/>
      <c r="F63" s="261"/>
      <c r="G63" s="261"/>
      <c r="H63" s="297"/>
      <c r="I63" s="298"/>
      <c r="J63" s="299"/>
      <c r="K63" s="299"/>
      <c r="L63" s="298"/>
      <c r="M63" s="298"/>
      <c r="N63" s="298"/>
      <c r="O63" s="298"/>
      <c r="P63" s="254"/>
      <c r="Q63" s="4"/>
    </row>
    <row r="64" spans="1:17" s="27" customFormat="1" ht="15" outlineLevel="1" x14ac:dyDescent="0.2">
      <c r="A64" s="591"/>
      <c r="B64" s="276"/>
      <c r="C64" s="580"/>
      <c r="D64" s="580"/>
      <c r="E64" s="270"/>
      <c r="F64" s="261"/>
      <c r="G64" s="261"/>
      <c r="H64" s="297"/>
      <c r="I64" s="298"/>
      <c r="J64" s="298"/>
      <c r="K64" s="298"/>
      <c r="L64" s="298"/>
      <c r="M64" s="298"/>
      <c r="N64" s="298"/>
      <c r="O64" s="298"/>
      <c r="P64" s="254"/>
      <c r="Q64" s="4"/>
    </row>
    <row r="65" spans="1:19" s="27" customFormat="1" ht="15" outlineLevel="1" x14ac:dyDescent="0.2">
      <c r="A65" s="591"/>
      <c r="B65" s="276"/>
      <c r="C65" s="580"/>
      <c r="D65" s="580"/>
      <c r="E65" s="270"/>
      <c r="F65" s="261"/>
      <c r="G65" s="261"/>
      <c r="H65" s="297"/>
      <c r="I65" s="298"/>
      <c r="J65" s="298"/>
      <c r="K65" s="298"/>
      <c r="L65" s="298"/>
      <c r="M65" s="298"/>
      <c r="N65" s="298"/>
      <c r="O65" s="298"/>
      <c r="P65" s="254"/>
      <c r="Q65" s="4"/>
    </row>
    <row r="66" spans="1:19" s="27" customFormat="1" ht="15" outlineLevel="1" x14ac:dyDescent="0.2">
      <c r="A66" s="591"/>
      <c r="B66" s="276"/>
      <c r="C66" s="589"/>
      <c r="D66" s="589"/>
      <c r="E66" s="356"/>
      <c r="F66" s="301"/>
      <c r="G66" s="301"/>
      <c r="H66" s="297"/>
      <c r="I66" s="298"/>
      <c r="J66" s="298"/>
      <c r="K66" s="298"/>
      <c r="L66" s="298"/>
      <c r="M66" s="298"/>
      <c r="N66" s="298"/>
      <c r="O66" s="298"/>
      <c r="P66" s="254"/>
      <c r="Q66" s="4"/>
    </row>
    <row r="67" spans="1:19" s="27" customFormat="1" ht="15" x14ac:dyDescent="0.2">
      <c r="A67" s="591"/>
      <c r="B67" s="357"/>
      <c r="C67" s="594" t="s">
        <v>222</v>
      </c>
      <c r="D67" s="594"/>
      <c r="E67" s="358"/>
      <c r="F67" s="359"/>
      <c r="G67" s="359"/>
      <c r="H67" s="360">
        <f>SUM(G22*H22,G23*H23,G24*H24,G25*H25,G26*H26,G27*H27,G29*H29,G54*H54,G28*H28)</f>
        <v>0</v>
      </c>
      <c r="I67" s="360">
        <f>SUM(G34*I34,G35*I35,G39*I39,G40*I40,G36*I36,G37*I37,G38*I38,G42*I42,G43*I43)</f>
        <v>0</v>
      </c>
      <c r="J67" s="361"/>
      <c r="K67" s="358"/>
      <c r="L67" s="358"/>
      <c r="M67" s="358"/>
      <c r="N67" s="360"/>
      <c r="O67" s="358"/>
      <c r="P67" s="362">
        <f>SUM(H67:O67)</f>
        <v>0</v>
      </c>
      <c r="Q67" s="4"/>
    </row>
    <row r="68" spans="1:19" s="27" customFormat="1" ht="15" x14ac:dyDescent="0.2">
      <c r="A68" s="591"/>
      <c r="B68" s="499"/>
      <c r="C68" s="500" t="s">
        <v>505</v>
      </c>
      <c r="D68" s="500"/>
      <c r="E68" s="501"/>
      <c r="F68" s="502"/>
      <c r="G68" s="502"/>
      <c r="H68" s="503">
        <f>H67-(G28*H28)</f>
        <v>0</v>
      </c>
      <c r="I68" s="503">
        <f>I67-SUM(G39*I39,G40*I40)</f>
        <v>0</v>
      </c>
      <c r="J68" s="504"/>
      <c r="K68" s="501"/>
      <c r="L68" s="501"/>
      <c r="M68" s="501"/>
      <c r="N68" s="501"/>
      <c r="O68" s="501"/>
      <c r="P68" s="505"/>
      <c r="Q68" s="4"/>
    </row>
    <row r="69" spans="1:19" s="27" customFormat="1" ht="15" x14ac:dyDescent="0.2">
      <c r="A69" s="591"/>
      <c r="B69" s="277"/>
      <c r="C69" s="580" t="s">
        <v>319</v>
      </c>
      <c r="D69" s="580"/>
      <c r="E69" s="271"/>
      <c r="F69" s="269"/>
      <c r="G69" s="269"/>
      <c r="H69" s="271"/>
      <c r="I69" s="271"/>
      <c r="J69" s="272">
        <f>SUM($E$34*$F$34*J34,$E$35*$F$35*J35,$E$36*$F$36*J36,$E$37*$F$37*J37,$E$38*$F$38*J38,$E$45*$F$45*J45,$E$46*$F$46*J46,$E$47*$F$47*J47,$E$48*$F$48*J48,$F$59*J59*E59,$F$60*J60,$F$61*J61,$F$62*J62)</f>
        <v>0</v>
      </c>
      <c r="K69" s="272">
        <f>SUM($E$34*$F$34*K34,$E$35*$F$35*K35,$E$36*$F$36*K36,$E$37*$F$37*K37,$E$38*$F$38*K38,$E$45*$F$45*K45,$E$46*$F$46*K46,$E$47*$F$47*K47,$E$48*$F$48*K48,$F$59*K59,$F$60*K60,$F$61*K61,$F$62*K62)</f>
        <v>0</v>
      </c>
      <c r="L69" s="272"/>
      <c r="M69" s="272"/>
      <c r="N69" s="271"/>
      <c r="O69" s="271"/>
      <c r="P69" s="278">
        <f>SUM(H69:O69)</f>
        <v>0</v>
      </c>
      <c r="Q69" s="4"/>
    </row>
    <row r="70" spans="1:19" s="27" customFormat="1" ht="15" x14ac:dyDescent="0.2">
      <c r="A70" s="591"/>
      <c r="B70" s="277"/>
      <c r="C70" s="580" t="s">
        <v>501</v>
      </c>
      <c r="D70" s="580"/>
      <c r="E70" s="271"/>
      <c r="F70" s="269"/>
      <c r="G70" s="269"/>
      <c r="H70" s="271"/>
      <c r="I70" s="271"/>
      <c r="J70" s="272">
        <f>J69-($E$36*$F$36*J36)</f>
        <v>0</v>
      </c>
      <c r="K70" s="272">
        <f>K69-($E$36*$F$36*K36)</f>
        <v>0</v>
      </c>
      <c r="L70" s="271"/>
      <c r="M70" s="271"/>
      <c r="N70" s="271"/>
      <c r="O70" s="271"/>
      <c r="P70" s="278"/>
      <c r="Q70" s="4"/>
    </row>
    <row r="71" spans="1:19" s="27" customFormat="1" ht="15" x14ac:dyDescent="0.2">
      <c r="A71" s="591"/>
      <c r="B71" s="279"/>
      <c r="C71" s="595"/>
      <c r="D71" s="595"/>
      <c r="E71" s="264"/>
      <c r="F71" s="262"/>
      <c r="G71" s="262"/>
      <c r="H71" s="262"/>
      <c r="I71" s="262"/>
      <c r="J71" s="262"/>
      <c r="K71" s="264"/>
      <c r="L71" s="264"/>
      <c r="M71" s="264"/>
      <c r="N71" s="264"/>
      <c r="O71" s="264"/>
      <c r="P71" s="280"/>
      <c r="Q71" s="4"/>
    </row>
    <row r="72" spans="1:19" s="6" customFormat="1" ht="15" x14ac:dyDescent="0.2">
      <c r="A72" s="591"/>
      <c r="B72" s="279"/>
      <c r="C72" s="578" t="s">
        <v>321</v>
      </c>
      <c r="D72" s="578"/>
      <c r="E72" s="255"/>
      <c r="F72" s="266"/>
      <c r="G72" s="255"/>
      <c r="H72" s="267">
        <f>'3.  Distribution Rates'!E33</f>
        <v>1.6966666666666668E-2</v>
      </c>
      <c r="I72" s="267">
        <f>'3.  Distribution Rates'!E34</f>
        <v>1.2200000000000001E-2</v>
      </c>
      <c r="J72" s="267">
        <f>'3.  Distribution Rates'!E35</f>
        <v>3.9837666666666665</v>
      </c>
      <c r="K72" s="267">
        <f>'3.  Distribution Rates'!E36</f>
        <v>0</v>
      </c>
      <c r="L72" s="267">
        <f>'3.  Distribution Rates'!E37</f>
        <v>0</v>
      </c>
      <c r="M72" s="267">
        <f>'3.  Distribution Rates'!E38</f>
        <v>5.2391666666666667</v>
      </c>
      <c r="N72" s="267">
        <f>'3.  Distribution Rates'!E39</f>
        <v>1.6266666666666665E-2</v>
      </c>
      <c r="O72" s="267"/>
      <c r="P72" s="281"/>
      <c r="Q72" s="143"/>
      <c r="S72" s="6">
        <f>3.9737*4/12+3.9888*8/12</f>
        <v>3.9837666666666665</v>
      </c>
    </row>
    <row r="73" spans="1:19" s="27" customFormat="1" ht="15" x14ac:dyDescent="0.2">
      <c r="A73" s="591"/>
      <c r="B73" s="279"/>
      <c r="C73" s="595" t="s">
        <v>63</v>
      </c>
      <c r="D73" s="595"/>
      <c r="E73" s="264"/>
      <c r="F73" s="266"/>
      <c r="G73" s="255"/>
      <c r="H73" s="268">
        <f>H67*H72</f>
        <v>0</v>
      </c>
      <c r="I73" s="268">
        <f>I67*I72</f>
        <v>0</v>
      </c>
      <c r="J73" s="268">
        <f>J69*J72</f>
        <v>0</v>
      </c>
      <c r="K73" s="268">
        <f>K69*K72</f>
        <v>0</v>
      </c>
      <c r="L73" s="268">
        <f>L69*L72</f>
        <v>0</v>
      </c>
      <c r="M73" s="268">
        <f>M69*M72</f>
        <v>0</v>
      </c>
      <c r="N73" s="268">
        <f>N67*N72</f>
        <v>0</v>
      </c>
      <c r="O73" s="264"/>
      <c r="P73" s="282">
        <f>SUM(H73:O73)</f>
        <v>0</v>
      </c>
      <c r="Q73" s="4"/>
    </row>
    <row r="74" spans="1:19" s="27" customFormat="1" ht="15" x14ac:dyDescent="0.2">
      <c r="A74" s="591"/>
      <c r="B74" s="279"/>
      <c r="C74" s="578" t="s">
        <v>64</v>
      </c>
      <c r="D74" s="578"/>
      <c r="E74" s="264"/>
      <c r="F74" s="262"/>
      <c r="G74" s="262"/>
      <c r="H74" s="255">
        <f>H68*'6.  Persistence Rates'!$E$25</f>
        <v>0</v>
      </c>
      <c r="I74" s="255">
        <f>I68*'6.  Persistence Rates'!$E$25</f>
        <v>0</v>
      </c>
      <c r="J74" s="255">
        <f>J70*'6.  Persistence Rates'!Q25</f>
        <v>0</v>
      </c>
      <c r="K74" s="264">
        <f>K70*'6.  Persistence Rates'!Q25</f>
        <v>0</v>
      </c>
      <c r="L74" s="264">
        <f>L69*'6.  Persistence Rates'!Q25</f>
        <v>0</v>
      </c>
      <c r="M74" s="264">
        <f>M69*'6.  Persistence Rates'!Q25</f>
        <v>0</v>
      </c>
      <c r="N74" s="264">
        <f>N67*'6.  Persistence Rates'!E25</f>
        <v>0</v>
      </c>
      <c r="O74" s="264"/>
      <c r="P74" s="280"/>
      <c r="Q74" s="4"/>
    </row>
    <row r="75" spans="1:19" s="27" customFormat="1" ht="15" x14ac:dyDescent="0.2">
      <c r="A75" s="591"/>
      <c r="B75" s="279"/>
      <c r="C75" s="578" t="s">
        <v>65</v>
      </c>
      <c r="D75" s="578"/>
      <c r="E75" s="264"/>
      <c r="F75" s="262"/>
      <c r="G75" s="262"/>
      <c r="H75" s="255">
        <f>H68*'6.  Persistence Rates'!$F$25</f>
        <v>0</v>
      </c>
      <c r="I75" s="255">
        <f>I68*'6.  Persistence Rates'!$F$25</f>
        <v>0</v>
      </c>
      <c r="J75" s="255">
        <f>J70*'6.  Persistence Rates'!R25</f>
        <v>0</v>
      </c>
      <c r="K75" s="264">
        <f>K70*'6.  Persistence Rates'!R25</f>
        <v>0</v>
      </c>
      <c r="L75" s="264">
        <f>L69*'6.  Persistence Rates'!R25</f>
        <v>0</v>
      </c>
      <c r="M75" s="264">
        <f>M69*'6.  Persistence Rates'!R25</f>
        <v>0</v>
      </c>
      <c r="N75" s="264">
        <f>N67*'6.  Persistence Rates'!F25</f>
        <v>0</v>
      </c>
      <c r="O75" s="264"/>
      <c r="P75" s="280"/>
      <c r="Q75" s="4"/>
    </row>
    <row r="76" spans="1:19" s="27" customFormat="1" ht="15" x14ac:dyDescent="0.2">
      <c r="A76" s="591"/>
      <c r="B76" s="279"/>
      <c r="C76" s="578" t="s">
        <v>66</v>
      </c>
      <c r="D76" s="578"/>
      <c r="E76" s="264"/>
      <c r="F76" s="262"/>
      <c r="G76" s="262"/>
      <c r="H76" s="255">
        <f>$H$68*'6.  Persistence Rates'!$G$25</f>
        <v>0</v>
      </c>
      <c r="I76" s="255">
        <f>$I$68*'6.  Persistence Rates'!$G$25</f>
        <v>0</v>
      </c>
      <c r="J76" s="255">
        <f>$J$70*'6.  Persistence Rates'!$S$25</f>
        <v>0</v>
      </c>
      <c r="K76" s="264">
        <f>$K$70*'6.  Persistence Rates'!$S$25</f>
        <v>0</v>
      </c>
      <c r="L76" s="264">
        <f>$L$69*'6.  Persistence Rates'!$S$25</f>
        <v>0</v>
      </c>
      <c r="M76" s="264">
        <f>$M$69*'6.  Persistence Rates'!$S$25</f>
        <v>0</v>
      </c>
      <c r="N76" s="264">
        <f>$N$67*'6.  Persistence Rates'!$G$25</f>
        <v>0</v>
      </c>
      <c r="O76" s="264"/>
      <c r="P76" s="280"/>
      <c r="Q76" s="4"/>
    </row>
    <row r="77" spans="1:19" s="27" customFormat="1" ht="15" x14ac:dyDescent="0.2">
      <c r="A77" s="249"/>
      <c r="B77" s="279"/>
      <c r="C77" s="523" t="s">
        <v>419</v>
      </c>
      <c r="D77" s="523"/>
      <c r="E77" s="264"/>
      <c r="F77" s="262"/>
      <c r="G77" s="262"/>
      <c r="H77" s="255">
        <f>$H$68*'6.  Persistence Rates'!$H$25</f>
        <v>0</v>
      </c>
      <c r="I77" s="255">
        <f>$I$68*'6.  Persistence Rates'!$H$25</f>
        <v>0</v>
      </c>
      <c r="J77" s="255">
        <f>$J$70*'6.  Persistence Rates'!$T$25</f>
        <v>0</v>
      </c>
      <c r="K77" s="255">
        <f>$K$70*'6.  Persistence Rates'!$T$25</f>
        <v>0</v>
      </c>
      <c r="L77" s="255">
        <f>$L$69*'6.  Persistence Rates'!$T$25</f>
        <v>0</v>
      </c>
      <c r="M77" s="255">
        <f>$M$69*'6.  Persistence Rates'!$T$25</f>
        <v>0</v>
      </c>
      <c r="N77" s="255">
        <f>$N$67*'6.  Persistence Rates'!$H$25</f>
        <v>0</v>
      </c>
      <c r="O77" s="264"/>
      <c r="P77" s="280"/>
      <c r="Q77" s="4"/>
    </row>
    <row r="78" spans="1:19" s="27" customFormat="1" ht="15" x14ac:dyDescent="0.2">
      <c r="A78" s="249"/>
      <c r="B78" s="279"/>
      <c r="C78" s="523" t="s">
        <v>420</v>
      </c>
      <c r="D78" s="523"/>
      <c r="E78" s="264"/>
      <c r="F78" s="262"/>
      <c r="G78" s="262"/>
      <c r="H78" s="255">
        <f>$H$68*'6.  Persistence Rates'!$I$25</f>
        <v>0</v>
      </c>
      <c r="I78" s="255">
        <f>$I$68*'6.  Persistence Rates'!$I$25</f>
        <v>0</v>
      </c>
      <c r="J78" s="255">
        <f>$J$70*'6.  Persistence Rates'!$U$25</f>
        <v>0</v>
      </c>
      <c r="K78" s="255">
        <f>$K$70*'6.  Persistence Rates'!$U$25</f>
        <v>0</v>
      </c>
      <c r="L78" s="255">
        <f>$L$69*'6.  Persistence Rates'!$U$25</f>
        <v>0</v>
      </c>
      <c r="M78" s="255">
        <f>$M$69*'6.  Persistence Rates'!$U$25</f>
        <v>0</v>
      </c>
      <c r="N78" s="255">
        <f>$N$67*'6.  Persistence Rates'!$I$25</f>
        <v>0</v>
      </c>
      <c r="O78" s="264"/>
      <c r="P78" s="280"/>
      <c r="Q78" s="4"/>
    </row>
    <row r="79" spans="1:19" s="27" customFormat="1" ht="15" x14ac:dyDescent="0.2">
      <c r="A79" s="249"/>
      <c r="B79" s="279"/>
      <c r="C79" s="523" t="s">
        <v>421</v>
      </c>
      <c r="D79" s="523"/>
      <c r="E79" s="264"/>
      <c r="F79" s="262"/>
      <c r="G79" s="262"/>
      <c r="H79" s="255">
        <f>$H$68*'6.  Persistence Rates'!$J$25</f>
        <v>0</v>
      </c>
      <c r="I79" s="255">
        <f>$I$68*'6.  Persistence Rates'!$J$25</f>
        <v>0</v>
      </c>
      <c r="J79" s="255">
        <f>$J$70*'6.  Persistence Rates'!$V$25</f>
        <v>0</v>
      </c>
      <c r="K79" s="255">
        <f>$K$70*'6.  Persistence Rates'!$V$25</f>
        <v>0</v>
      </c>
      <c r="L79" s="255">
        <f>$L$69*'6.  Persistence Rates'!$V$25</f>
        <v>0</v>
      </c>
      <c r="M79" s="255">
        <f>$M$69*'6.  Persistence Rates'!$V$25</f>
        <v>0</v>
      </c>
      <c r="N79" s="255">
        <f>$N$67*'6.  Persistence Rates'!$J$25</f>
        <v>0</v>
      </c>
      <c r="O79" s="264"/>
      <c r="P79" s="280"/>
      <c r="Q79" s="4"/>
    </row>
    <row r="80" spans="1:19" s="27" customFormat="1" ht="15" x14ac:dyDescent="0.2">
      <c r="A80" s="249"/>
      <c r="B80" s="279"/>
      <c r="C80" s="523" t="s">
        <v>422</v>
      </c>
      <c r="D80" s="523"/>
      <c r="E80" s="264"/>
      <c r="F80" s="262"/>
      <c r="G80" s="262"/>
      <c r="H80" s="255">
        <f>$H$68*'6.  Persistence Rates'!$K$25</f>
        <v>0</v>
      </c>
      <c r="I80" s="255">
        <f>$I$68*'6.  Persistence Rates'!$K$25</f>
        <v>0</v>
      </c>
      <c r="J80" s="255">
        <f>$J$70*'6.  Persistence Rates'!$W$25</f>
        <v>0</v>
      </c>
      <c r="K80" s="255">
        <f>$K$70*'6.  Persistence Rates'!$W$25</f>
        <v>0</v>
      </c>
      <c r="L80" s="255">
        <f>$L$69*'6.  Persistence Rates'!$W$25</f>
        <v>0</v>
      </c>
      <c r="M80" s="255">
        <f>$M$69*'6.  Persistence Rates'!$W$25</f>
        <v>0</v>
      </c>
      <c r="N80" s="255">
        <f>$N$67*'6.  Persistence Rates'!$K$25</f>
        <v>0</v>
      </c>
      <c r="O80" s="264"/>
      <c r="P80" s="280"/>
      <c r="Q80" s="4"/>
    </row>
    <row r="81" spans="1:17" s="27" customFormat="1" ht="15" x14ac:dyDescent="0.2">
      <c r="A81" s="249"/>
      <c r="B81" s="279"/>
      <c r="C81" s="523" t="s">
        <v>423</v>
      </c>
      <c r="D81" s="523"/>
      <c r="E81" s="264"/>
      <c r="F81" s="262"/>
      <c r="G81" s="262"/>
      <c r="H81" s="255">
        <f>$H$68*'6.  Persistence Rates'!$L$25</f>
        <v>0</v>
      </c>
      <c r="I81" s="255">
        <f>$I$68*'6.  Persistence Rates'!$L$25</f>
        <v>0</v>
      </c>
      <c r="J81" s="255">
        <f>$J$70*'6.  Persistence Rates'!$X$25</f>
        <v>0</v>
      </c>
      <c r="K81" s="255">
        <f>$K$70*'6.  Persistence Rates'!$X$25</f>
        <v>0</v>
      </c>
      <c r="L81" s="255">
        <f>$L$69*'6.  Persistence Rates'!$X$25</f>
        <v>0</v>
      </c>
      <c r="M81" s="255">
        <f>$M$69*'6.  Persistence Rates'!$X$25</f>
        <v>0</v>
      </c>
      <c r="N81" s="255">
        <f>$N$67*'6.  Persistence Rates'!$L$25</f>
        <v>0</v>
      </c>
      <c r="O81" s="264"/>
      <c r="P81" s="280"/>
      <c r="Q81" s="4"/>
    </row>
    <row r="82" spans="1:17" x14ac:dyDescent="0.25">
      <c r="B82" s="401"/>
      <c r="C82" s="524" t="s">
        <v>424</v>
      </c>
      <c r="D82" s="402"/>
      <c r="E82" s="402"/>
      <c r="F82" s="403"/>
      <c r="G82" s="403"/>
      <c r="H82" s="531">
        <f>$H$68*'6.  Persistence Rates'!$M$25</f>
        <v>0</v>
      </c>
      <c r="I82" s="531">
        <f>$I$68*'6.  Persistence Rates'!$M$25</f>
        <v>0</v>
      </c>
      <c r="J82" s="531">
        <f>$J$70*'6.  Persistence Rates'!$Y$25</f>
        <v>0</v>
      </c>
      <c r="K82" s="531">
        <f>$K$70*'6.  Persistence Rates'!$Y$25</f>
        <v>0</v>
      </c>
      <c r="L82" s="531">
        <f>$L$69*'6.  Persistence Rates'!$Y$25</f>
        <v>0</v>
      </c>
      <c r="M82" s="531">
        <f>$M$69*'6.  Persistence Rates'!$Y$25</f>
        <v>0</v>
      </c>
      <c r="N82" s="531">
        <f>$N$67*'6.  Persistence Rates'!$M$25</f>
        <v>0</v>
      </c>
      <c r="O82" s="334"/>
      <c r="P82" s="404"/>
      <c r="Q82" s="147"/>
    </row>
    <row r="83" spans="1:17" x14ac:dyDescent="0.25">
      <c r="B83" s="69"/>
      <c r="C83" s="265"/>
      <c r="D83" s="145"/>
      <c r="E83" s="145"/>
      <c r="F83" s="146"/>
      <c r="G83" s="146"/>
      <c r="H83" s="66"/>
      <c r="I83" s="66"/>
      <c r="J83" s="66"/>
      <c r="K83" s="66"/>
      <c r="L83" s="66"/>
      <c r="M83" s="66"/>
      <c r="N83" s="66"/>
      <c r="O83" s="66"/>
      <c r="P83" s="66"/>
      <c r="Q83" s="147"/>
    </row>
    <row r="84" spans="1:17" x14ac:dyDescent="0.25">
      <c r="B84" s="69"/>
      <c r="C84" s="144"/>
      <c r="D84" s="69"/>
      <c r="E84" s="69"/>
      <c r="F84" s="66"/>
      <c r="G84" s="66"/>
      <c r="H84" s="66"/>
      <c r="I84" s="66"/>
      <c r="J84" s="66"/>
      <c r="K84" s="66"/>
      <c r="L84" s="66"/>
      <c r="M84" s="66"/>
      <c r="N84" s="66"/>
      <c r="O84" s="66"/>
      <c r="P84" s="66"/>
      <c r="Q84" s="66"/>
    </row>
    <row r="85" spans="1:17" x14ac:dyDescent="0.25">
      <c r="B85" s="581" t="s">
        <v>355</v>
      </c>
      <c r="C85" s="581"/>
      <c r="D85" s="581"/>
      <c r="E85" s="581"/>
      <c r="F85" s="581"/>
      <c r="G85" s="581"/>
      <c r="H85" s="581"/>
      <c r="I85" s="581"/>
      <c r="J85" s="581"/>
      <c r="K85" s="581"/>
      <c r="L85" s="581"/>
      <c r="M85" s="581"/>
      <c r="N85" s="581"/>
      <c r="O85" s="581"/>
      <c r="P85" s="581"/>
      <c r="Q85" s="66"/>
    </row>
    <row r="86" spans="1:17" ht="18" x14ac:dyDescent="0.25">
      <c r="B86" s="148"/>
      <c r="C86" s="149"/>
      <c r="D86" s="148"/>
      <c r="E86" s="148"/>
      <c r="F86" s="101"/>
      <c r="G86" s="148"/>
      <c r="H86" s="148"/>
      <c r="I86" s="148"/>
      <c r="J86" s="148"/>
      <c r="K86" s="148"/>
      <c r="L86" s="148"/>
      <c r="M86" s="148"/>
      <c r="N86" s="148"/>
      <c r="O86" s="148"/>
      <c r="P86" s="148"/>
      <c r="Q86" s="66"/>
    </row>
    <row r="87" spans="1:17" ht="45" x14ac:dyDescent="0.25">
      <c r="B87" s="585" t="s">
        <v>59</v>
      </c>
      <c r="C87" s="587" t="s">
        <v>0</v>
      </c>
      <c r="D87" s="587" t="s">
        <v>45</v>
      </c>
      <c r="E87" s="587" t="s">
        <v>206</v>
      </c>
      <c r="F87" s="274" t="s">
        <v>46</v>
      </c>
      <c r="G87" s="274" t="s">
        <v>203</v>
      </c>
      <c r="H87" s="582" t="s">
        <v>60</v>
      </c>
      <c r="I87" s="583"/>
      <c r="J87" s="583"/>
      <c r="K87" s="583"/>
      <c r="L87" s="583"/>
      <c r="M87" s="583"/>
      <c r="N87" s="583"/>
      <c r="O87" s="583"/>
      <c r="P87" s="584"/>
      <c r="Q87" s="66"/>
    </row>
    <row r="88" spans="1:17" ht="45" x14ac:dyDescent="0.25">
      <c r="B88" s="586"/>
      <c r="C88" s="588"/>
      <c r="D88" s="588"/>
      <c r="E88" s="588"/>
      <c r="F88" s="140" t="s">
        <v>94</v>
      </c>
      <c r="G88" s="140" t="s">
        <v>95</v>
      </c>
      <c r="H88" s="140" t="s">
        <v>38</v>
      </c>
      <c r="I88" s="140" t="s">
        <v>40</v>
      </c>
      <c r="J88" s="140" t="s">
        <v>109</v>
      </c>
      <c r="K88" s="140" t="s">
        <v>110</v>
      </c>
      <c r="L88" s="140" t="s">
        <v>41</v>
      </c>
      <c r="M88" s="140" t="s">
        <v>42</v>
      </c>
      <c r="N88" s="140" t="s">
        <v>43</v>
      </c>
      <c r="O88" s="140" t="s">
        <v>106</v>
      </c>
      <c r="P88" s="384" t="s">
        <v>35</v>
      </c>
      <c r="Q88" s="66"/>
    </row>
    <row r="89" spans="1:17" s="21" customFormat="1" ht="19.5" customHeight="1" outlineLevel="1" x14ac:dyDescent="0.25">
      <c r="A89" s="45"/>
      <c r="B89" s="378"/>
      <c r="C89" s="592" t="s">
        <v>1</v>
      </c>
      <c r="D89" s="592"/>
      <c r="E89" s="379"/>
      <c r="F89" s="380"/>
      <c r="G89" s="380"/>
      <c r="H89" s="380"/>
      <c r="I89" s="380"/>
      <c r="J89" s="380"/>
      <c r="K89" s="380"/>
      <c r="L89" s="380"/>
      <c r="M89" s="380"/>
      <c r="N89" s="380"/>
      <c r="O89" s="380"/>
      <c r="P89" s="381"/>
      <c r="Q89" s="142"/>
    </row>
    <row r="90" spans="1:17" ht="15" outlineLevel="1" x14ac:dyDescent="0.25">
      <c r="A90" s="591"/>
      <c r="B90" s="276">
        <v>1</v>
      </c>
      <c r="C90" s="257" t="s">
        <v>2</v>
      </c>
      <c r="D90" s="255" t="s">
        <v>34</v>
      </c>
      <c r="E90" s="255"/>
      <c r="F90" s="300"/>
      <c r="G90" s="300"/>
      <c r="H90" s="299">
        <v>1</v>
      </c>
      <c r="I90" s="298"/>
      <c r="J90" s="298"/>
      <c r="K90" s="298"/>
      <c r="L90" s="298"/>
      <c r="M90" s="298"/>
      <c r="N90" s="298"/>
      <c r="O90" s="298"/>
      <c r="P90" s="254">
        <f>SUM(H90:O90)</f>
        <v>1</v>
      </c>
      <c r="Q90" s="66"/>
    </row>
    <row r="91" spans="1:17" ht="15" outlineLevel="1" x14ac:dyDescent="0.25">
      <c r="A91" s="591"/>
      <c r="B91" s="276">
        <v>2</v>
      </c>
      <c r="C91" s="257" t="s">
        <v>3</v>
      </c>
      <c r="D91" s="255" t="s">
        <v>34</v>
      </c>
      <c r="E91" s="255"/>
      <c r="F91" s="300"/>
      <c r="G91" s="261"/>
      <c r="H91" s="299">
        <v>1</v>
      </c>
      <c r="I91" s="298"/>
      <c r="J91" s="298"/>
      <c r="K91" s="298"/>
      <c r="L91" s="298"/>
      <c r="M91" s="298"/>
      <c r="N91" s="298"/>
      <c r="O91" s="298"/>
      <c r="P91" s="254">
        <f t="shared" ref="P91:P98" si="5">SUM(H91:O91)</f>
        <v>1</v>
      </c>
      <c r="Q91" s="66"/>
    </row>
    <row r="92" spans="1:17" ht="15" outlineLevel="1" x14ac:dyDescent="0.25">
      <c r="A92" s="591"/>
      <c r="B92" s="276">
        <v>3</v>
      </c>
      <c r="C92" s="257" t="s">
        <v>4</v>
      </c>
      <c r="D92" s="255" t="s">
        <v>34</v>
      </c>
      <c r="E92" s="255"/>
      <c r="F92" s="300"/>
      <c r="G92" s="261"/>
      <c r="H92" s="299">
        <v>1</v>
      </c>
      <c r="I92" s="298"/>
      <c r="J92" s="298"/>
      <c r="K92" s="298"/>
      <c r="L92" s="298"/>
      <c r="M92" s="298"/>
      <c r="N92" s="298"/>
      <c r="O92" s="298"/>
      <c r="P92" s="254">
        <f t="shared" si="5"/>
        <v>1</v>
      </c>
      <c r="Q92" s="66"/>
    </row>
    <row r="93" spans="1:17" ht="15" outlineLevel="1" x14ac:dyDescent="0.25">
      <c r="A93" s="591"/>
      <c r="B93" s="276">
        <v>4</v>
      </c>
      <c r="C93" s="257" t="s">
        <v>5</v>
      </c>
      <c r="D93" s="255" t="s">
        <v>34</v>
      </c>
      <c r="E93" s="255"/>
      <c r="F93" s="300"/>
      <c r="G93" s="261"/>
      <c r="H93" s="299">
        <v>1</v>
      </c>
      <c r="I93" s="298"/>
      <c r="J93" s="298"/>
      <c r="K93" s="298"/>
      <c r="L93" s="298"/>
      <c r="M93" s="298"/>
      <c r="N93" s="298"/>
      <c r="O93" s="298"/>
      <c r="P93" s="254">
        <f t="shared" si="5"/>
        <v>1</v>
      </c>
      <c r="Q93" s="66"/>
    </row>
    <row r="94" spans="1:17" ht="15" outlineLevel="1" x14ac:dyDescent="0.25">
      <c r="A94" s="591"/>
      <c r="B94" s="276">
        <v>5</v>
      </c>
      <c r="C94" s="257" t="s">
        <v>6</v>
      </c>
      <c r="D94" s="255" t="s">
        <v>34</v>
      </c>
      <c r="E94" s="255"/>
      <c r="F94" s="300"/>
      <c r="G94" s="261"/>
      <c r="H94" s="299">
        <v>1</v>
      </c>
      <c r="I94" s="298"/>
      <c r="J94" s="298"/>
      <c r="K94" s="298"/>
      <c r="L94" s="298"/>
      <c r="M94" s="298"/>
      <c r="N94" s="298"/>
      <c r="O94" s="298"/>
      <c r="P94" s="254">
        <f t="shared" si="5"/>
        <v>1</v>
      </c>
      <c r="Q94" s="66"/>
    </row>
    <row r="95" spans="1:17" ht="15" outlineLevel="1" x14ac:dyDescent="0.25">
      <c r="A95" s="591"/>
      <c r="B95" s="276">
        <v>6</v>
      </c>
      <c r="C95" s="257" t="s">
        <v>7</v>
      </c>
      <c r="D95" s="255" t="s">
        <v>34</v>
      </c>
      <c r="E95" s="255"/>
      <c r="F95" s="300"/>
      <c r="G95" s="300"/>
      <c r="H95" s="299">
        <v>0</v>
      </c>
      <c r="I95" s="298"/>
      <c r="J95" s="298"/>
      <c r="K95" s="298"/>
      <c r="L95" s="298"/>
      <c r="M95" s="298"/>
      <c r="N95" s="298"/>
      <c r="O95" s="298"/>
      <c r="P95" s="254">
        <f t="shared" si="5"/>
        <v>0</v>
      </c>
      <c r="Q95" s="66"/>
    </row>
    <row r="96" spans="1:17" ht="28.5" outlineLevel="1" x14ac:dyDescent="0.25">
      <c r="A96" s="591"/>
      <c r="B96" s="276">
        <v>7</v>
      </c>
      <c r="C96" s="257" t="s">
        <v>33</v>
      </c>
      <c r="D96" s="255" t="s">
        <v>34</v>
      </c>
      <c r="E96" s="255"/>
      <c r="F96" s="300"/>
      <c r="G96" s="300"/>
      <c r="H96" s="299">
        <v>0</v>
      </c>
      <c r="I96" s="298"/>
      <c r="J96" s="298"/>
      <c r="K96" s="298"/>
      <c r="L96" s="298"/>
      <c r="M96" s="298"/>
      <c r="N96" s="298"/>
      <c r="O96" s="298"/>
      <c r="P96" s="254">
        <f t="shared" si="5"/>
        <v>0</v>
      </c>
      <c r="Q96" s="66"/>
    </row>
    <row r="97" spans="1:19" ht="26.25" customHeight="1" outlineLevel="1" x14ac:dyDescent="0.25">
      <c r="A97" s="591"/>
      <c r="B97" s="276">
        <v>8</v>
      </c>
      <c r="C97" s="257" t="s">
        <v>26</v>
      </c>
      <c r="D97" s="255" t="s">
        <v>34</v>
      </c>
      <c r="E97" s="255"/>
      <c r="F97" s="300"/>
      <c r="G97" s="300"/>
      <c r="H97" s="299">
        <v>0</v>
      </c>
      <c r="I97" s="298"/>
      <c r="J97" s="298"/>
      <c r="K97" s="298"/>
      <c r="L97" s="298"/>
      <c r="M97" s="298"/>
      <c r="N97" s="298"/>
      <c r="O97" s="298"/>
      <c r="P97" s="254">
        <f t="shared" si="5"/>
        <v>0</v>
      </c>
      <c r="Q97" s="66"/>
    </row>
    <row r="98" spans="1:19" ht="15" outlineLevel="1" x14ac:dyDescent="0.25">
      <c r="A98" s="591"/>
      <c r="B98" s="276">
        <v>9</v>
      </c>
      <c r="C98" s="257" t="s">
        <v>8</v>
      </c>
      <c r="D98" s="255" t="s">
        <v>34</v>
      </c>
      <c r="E98" s="255"/>
      <c r="F98" s="300"/>
      <c r="G98" s="300"/>
      <c r="H98" s="299">
        <v>0</v>
      </c>
      <c r="I98" s="298"/>
      <c r="J98" s="298"/>
      <c r="K98" s="298"/>
      <c r="L98" s="298"/>
      <c r="M98" s="298"/>
      <c r="N98" s="298"/>
      <c r="O98" s="298"/>
      <c r="P98" s="254">
        <f t="shared" si="5"/>
        <v>0</v>
      </c>
      <c r="Q98" s="66"/>
    </row>
    <row r="99" spans="1:19" ht="15" outlineLevel="1" x14ac:dyDescent="0.25">
      <c r="A99" s="591"/>
      <c r="B99" s="276"/>
      <c r="C99" s="258" t="s">
        <v>256</v>
      </c>
      <c r="D99" s="255" t="s">
        <v>254</v>
      </c>
      <c r="E99" s="255"/>
      <c r="F99" s="300"/>
      <c r="G99" s="300"/>
      <c r="H99" s="297"/>
      <c r="I99" s="298"/>
      <c r="J99" s="298"/>
      <c r="K99" s="298"/>
      <c r="L99" s="298"/>
      <c r="M99" s="298"/>
      <c r="N99" s="298"/>
      <c r="O99" s="298"/>
      <c r="P99" s="254"/>
      <c r="Q99" s="66"/>
    </row>
    <row r="100" spans="1:19" ht="15" outlineLevel="1" x14ac:dyDescent="0.25">
      <c r="A100" s="591"/>
      <c r="B100" s="276"/>
      <c r="C100" s="580"/>
      <c r="D100" s="580"/>
      <c r="E100" s="270"/>
      <c r="F100" s="300"/>
      <c r="G100" s="300"/>
      <c r="H100" s="297"/>
      <c r="I100" s="298"/>
      <c r="J100" s="298"/>
      <c r="K100" s="298"/>
      <c r="L100" s="298"/>
      <c r="M100" s="298"/>
      <c r="N100" s="298"/>
      <c r="O100" s="298"/>
      <c r="P100" s="254"/>
      <c r="Q100" s="66"/>
    </row>
    <row r="101" spans="1:19" ht="15" outlineLevel="1" x14ac:dyDescent="0.25">
      <c r="A101" s="591"/>
      <c r="B101" s="276"/>
      <c r="C101" s="580"/>
      <c r="D101" s="580"/>
      <c r="E101" s="270"/>
      <c r="F101" s="300"/>
      <c r="G101" s="300"/>
      <c r="H101" s="297"/>
      <c r="I101" s="298"/>
      <c r="J101" s="298"/>
      <c r="K101" s="298"/>
      <c r="L101" s="298"/>
      <c r="M101" s="298"/>
      <c r="N101" s="298"/>
      <c r="O101" s="298"/>
      <c r="P101" s="254"/>
      <c r="Q101" s="66"/>
    </row>
    <row r="102" spans="1:19" s="21" customFormat="1" ht="18.75" customHeight="1" outlineLevel="1" x14ac:dyDescent="0.25">
      <c r="A102" s="591"/>
      <c r="B102" s="250"/>
      <c r="C102" s="590" t="s">
        <v>9</v>
      </c>
      <c r="D102" s="590"/>
      <c r="E102" s="251"/>
      <c r="F102" s="252"/>
      <c r="G102" s="252"/>
      <c r="H102" s="252"/>
      <c r="I102" s="252"/>
      <c r="J102" s="252"/>
      <c r="K102" s="252"/>
      <c r="L102" s="252"/>
      <c r="M102" s="252"/>
      <c r="N102" s="252"/>
      <c r="O102" s="252"/>
      <c r="P102" s="253"/>
      <c r="Q102" s="142"/>
      <c r="R102" s="27"/>
      <c r="S102" s="27"/>
    </row>
    <row r="103" spans="1:19" ht="15" outlineLevel="1" x14ac:dyDescent="0.25">
      <c r="A103" s="591"/>
      <c r="B103" s="151">
        <v>10</v>
      </c>
      <c r="C103" s="259" t="s">
        <v>27</v>
      </c>
      <c r="D103" s="255" t="s">
        <v>34</v>
      </c>
      <c r="E103" s="255">
        <v>12</v>
      </c>
      <c r="F103" s="300"/>
      <c r="G103" s="300"/>
      <c r="H103" s="297"/>
      <c r="I103" s="299">
        <v>1</v>
      </c>
      <c r="J103" s="299">
        <v>0</v>
      </c>
      <c r="K103" s="299">
        <v>0</v>
      </c>
      <c r="L103" s="298"/>
      <c r="M103" s="298"/>
      <c r="N103" s="298"/>
      <c r="O103" s="298"/>
      <c r="P103" s="254">
        <f>SUM(H103:O103)</f>
        <v>1</v>
      </c>
      <c r="Q103" s="66"/>
    </row>
    <row r="104" spans="1:19" ht="15" outlineLevel="1" x14ac:dyDescent="0.25">
      <c r="A104" s="591"/>
      <c r="B104" s="151">
        <v>11</v>
      </c>
      <c r="C104" s="257" t="s">
        <v>25</v>
      </c>
      <c r="D104" s="255" t="s">
        <v>34</v>
      </c>
      <c r="E104" s="255">
        <v>12</v>
      </c>
      <c r="F104" s="300"/>
      <c r="G104" s="300"/>
      <c r="H104" s="297"/>
      <c r="I104" s="299">
        <v>1</v>
      </c>
      <c r="J104" s="299">
        <v>0</v>
      </c>
      <c r="K104" s="299">
        <v>0</v>
      </c>
      <c r="L104" s="298"/>
      <c r="M104" s="298"/>
      <c r="N104" s="298"/>
      <c r="O104" s="298"/>
      <c r="P104" s="254">
        <f>SUM(H104:O104)</f>
        <v>1</v>
      </c>
      <c r="Q104" s="66"/>
    </row>
    <row r="105" spans="1:19" ht="15" outlineLevel="1" x14ac:dyDescent="0.25">
      <c r="A105" s="591"/>
      <c r="B105" s="151">
        <v>12</v>
      </c>
      <c r="C105" s="257" t="s">
        <v>28</v>
      </c>
      <c r="D105" s="255" t="s">
        <v>34</v>
      </c>
      <c r="E105" s="255">
        <v>3</v>
      </c>
      <c r="F105" s="300"/>
      <c r="G105" s="300"/>
      <c r="H105" s="297"/>
      <c r="I105" s="299">
        <v>0</v>
      </c>
      <c r="J105" s="299">
        <v>0</v>
      </c>
      <c r="K105" s="299">
        <v>0</v>
      </c>
      <c r="L105" s="298"/>
      <c r="M105" s="298"/>
      <c r="N105" s="298"/>
      <c r="O105" s="298"/>
      <c r="P105" s="254">
        <f t="shared" ref="P105:P110" si="6">SUM(H105:O105)</f>
        <v>0</v>
      </c>
      <c r="Q105" s="66"/>
    </row>
    <row r="106" spans="1:19" ht="15" outlineLevel="1" x14ac:dyDescent="0.25">
      <c r="A106" s="591"/>
      <c r="B106" s="151">
        <v>13</v>
      </c>
      <c r="C106" s="257" t="s">
        <v>29</v>
      </c>
      <c r="D106" s="255" t="s">
        <v>34</v>
      </c>
      <c r="E106" s="255">
        <v>12</v>
      </c>
      <c r="F106" s="300"/>
      <c r="G106" s="300"/>
      <c r="H106" s="297"/>
      <c r="I106" s="299">
        <v>1</v>
      </c>
      <c r="J106" s="299">
        <v>0</v>
      </c>
      <c r="K106" s="299">
        <v>0</v>
      </c>
      <c r="L106" s="298"/>
      <c r="M106" s="298"/>
      <c r="N106" s="298"/>
      <c r="O106" s="298"/>
      <c r="P106" s="254">
        <f t="shared" si="6"/>
        <v>1</v>
      </c>
      <c r="Q106" s="66"/>
    </row>
    <row r="107" spans="1:19" ht="15" outlineLevel="1" x14ac:dyDescent="0.25">
      <c r="A107" s="591"/>
      <c r="B107" s="151">
        <v>14</v>
      </c>
      <c r="C107" s="257" t="s">
        <v>23</v>
      </c>
      <c r="D107" s="255" t="s">
        <v>34</v>
      </c>
      <c r="E107" s="255">
        <v>12</v>
      </c>
      <c r="F107" s="300"/>
      <c r="G107" s="300"/>
      <c r="H107" s="297"/>
      <c r="I107" s="299">
        <v>1</v>
      </c>
      <c r="J107" s="299">
        <v>0</v>
      </c>
      <c r="K107" s="299">
        <v>0</v>
      </c>
      <c r="L107" s="298"/>
      <c r="M107" s="298"/>
      <c r="N107" s="298"/>
      <c r="O107" s="298"/>
      <c r="P107" s="254">
        <f t="shared" si="6"/>
        <v>1</v>
      </c>
      <c r="Q107" s="66"/>
    </row>
    <row r="108" spans="1:19" ht="28.5" outlineLevel="1" x14ac:dyDescent="0.25">
      <c r="A108" s="591"/>
      <c r="B108" s="276">
        <v>15</v>
      </c>
      <c r="C108" s="257" t="s">
        <v>30</v>
      </c>
      <c r="D108" s="255" t="s">
        <v>34</v>
      </c>
      <c r="E108" s="255">
        <v>0</v>
      </c>
      <c r="F108" s="300"/>
      <c r="G108" s="300"/>
      <c r="H108" s="297"/>
      <c r="I108" s="299">
        <v>0</v>
      </c>
      <c r="J108" s="299">
        <v>0</v>
      </c>
      <c r="K108" s="299">
        <v>0</v>
      </c>
      <c r="L108" s="298"/>
      <c r="M108" s="298"/>
      <c r="N108" s="298"/>
      <c r="O108" s="298"/>
      <c r="P108" s="254">
        <f t="shared" si="6"/>
        <v>0</v>
      </c>
      <c r="Q108" s="66"/>
    </row>
    <row r="109" spans="1:19" ht="28.5" outlineLevel="1" x14ac:dyDescent="0.25">
      <c r="A109" s="591"/>
      <c r="B109" s="276">
        <v>16</v>
      </c>
      <c r="C109" s="257" t="s">
        <v>31</v>
      </c>
      <c r="D109" s="255" t="s">
        <v>34</v>
      </c>
      <c r="E109" s="255">
        <v>0</v>
      </c>
      <c r="F109" s="300"/>
      <c r="G109" s="300"/>
      <c r="H109" s="297"/>
      <c r="I109" s="299">
        <v>0</v>
      </c>
      <c r="J109" s="299">
        <v>0</v>
      </c>
      <c r="K109" s="299">
        <v>0</v>
      </c>
      <c r="L109" s="298"/>
      <c r="M109" s="298"/>
      <c r="N109" s="298"/>
      <c r="O109" s="298"/>
      <c r="P109" s="254">
        <f t="shared" si="6"/>
        <v>0</v>
      </c>
      <c r="Q109" s="66"/>
    </row>
    <row r="110" spans="1:19" ht="15" outlineLevel="1" x14ac:dyDescent="0.25">
      <c r="A110" s="591"/>
      <c r="B110" s="276">
        <v>17</v>
      </c>
      <c r="C110" s="257" t="s">
        <v>10</v>
      </c>
      <c r="D110" s="255" t="s">
        <v>34</v>
      </c>
      <c r="E110" s="255">
        <v>0</v>
      </c>
      <c r="F110" s="300"/>
      <c r="G110" s="300"/>
      <c r="H110" s="297"/>
      <c r="I110" s="299">
        <v>1</v>
      </c>
      <c r="J110" s="299">
        <v>0</v>
      </c>
      <c r="K110" s="299">
        <v>0</v>
      </c>
      <c r="L110" s="298"/>
      <c r="M110" s="298"/>
      <c r="N110" s="298"/>
      <c r="O110" s="298"/>
      <c r="P110" s="254">
        <f t="shared" si="6"/>
        <v>1</v>
      </c>
      <c r="Q110" s="66"/>
    </row>
    <row r="111" spans="1:19" ht="15" outlineLevel="1" x14ac:dyDescent="0.25">
      <c r="A111" s="591"/>
      <c r="B111" s="276"/>
      <c r="C111" s="258" t="s">
        <v>256</v>
      </c>
      <c r="D111" s="255" t="s">
        <v>254</v>
      </c>
      <c r="E111" s="255"/>
      <c r="F111" s="300"/>
      <c r="G111" s="300"/>
      <c r="H111" s="297"/>
      <c r="I111" s="299"/>
      <c r="J111" s="299"/>
      <c r="K111" s="298"/>
      <c r="L111" s="298"/>
      <c r="M111" s="298"/>
      <c r="N111" s="298"/>
      <c r="O111" s="298"/>
      <c r="P111" s="254"/>
      <c r="Q111" s="66"/>
    </row>
    <row r="112" spans="1:19" ht="15" outlineLevel="1" x14ac:dyDescent="0.25">
      <c r="A112" s="591"/>
      <c r="B112" s="276"/>
      <c r="C112" s="580"/>
      <c r="D112" s="580"/>
      <c r="E112" s="270"/>
      <c r="F112" s="300"/>
      <c r="G112" s="300"/>
      <c r="H112" s="297"/>
      <c r="I112" s="299"/>
      <c r="J112" s="299"/>
      <c r="K112" s="298"/>
      <c r="L112" s="298"/>
      <c r="M112" s="298"/>
      <c r="N112" s="298"/>
      <c r="O112" s="298"/>
      <c r="P112" s="254"/>
      <c r="Q112" s="66"/>
    </row>
    <row r="113" spans="1:17" ht="15" outlineLevel="1" x14ac:dyDescent="0.25">
      <c r="A113" s="591"/>
      <c r="B113" s="276"/>
      <c r="C113" s="580"/>
      <c r="D113" s="580"/>
      <c r="E113" s="270"/>
      <c r="F113" s="300"/>
      <c r="G113" s="300"/>
      <c r="H113" s="297"/>
      <c r="I113" s="299"/>
      <c r="J113" s="299"/>
      <c r="K113" s="298"/>
      <c r="L113" s="298"/>
      <c r="M113" s="298"/>
      <c r="N113" s="298"/>
      <c r="O113" s="298"/>
      <c r="P113" s="254"/>
      <c r="Q113" s="66"/>
    </row>
    <row r="114" spans="1:17" s="21" customFormat="1" ht="18" customHeight="1" outlineLevel="1" x14ac:dyDescent="0.25">
      <c r="A114" s="591"/>
      <c r="B114" s="250"/>
      <c r="C114" s="590" t="s">
        <v>11</v>
      </c>
      <c r="D114" s="590"/>
      <c r="E114" s="251"/>
      <c r="F114" s="252"/>
      <c r="G114" s="252"/>
      <c r="H114" s="252"/>
      <c r="I114" s="252"/>
      <c r="J114" s="252"/>
      <c r="K114" s="252"/>
      <c r="L114" s="252"/>
      <c r="M114" s="252"/>
      <c r="N114" s="252"/>
      <c r="O114" s="252"/>
      <c r="P114" s="253"/>
      <c r="Q114" s="142"/>
    </row>
    <row r="115" spans="1:17" ht="15" outlineLevel="1" x14ac:dyDescent="0.25">
      <c r="A115" s="591"/>
      <c r="B115" s="151">
        <v>18</v>
      </c>
      <c r="C115" s="257" t="s">
        <v>12</v>
      </c>
      <c r="D115" s="255" t="s">
        <v>34</v>
      </c>
      <c r="E115" s="255">
        <v>12</v>
      </c>
      <c r="F115" s="300"/>
      <c r="G115" s="300"/>
      <c r="H115" s="297"/>
      <c r="I115" s="298"/>
      <c r="J115" s="299">
        <v>1</v>
      </c>
      <c r="K115" s="299">
        <v>0</v>
      </c>
      <c r="L115" s="298"/>
      <c r="M115" s="298"/>
      <c r="N115" s="298"/>
      <c r="O115" s="298"/>
      <c r="P115" s="254">
        <f t="shared" ref="P115:P119" si="7">SUM(H115:O115)</f>
        <v>1</v>
      </c>
      <c r="Q115" s="66"/>
    </row>
    <row r="116" spans="1:17" ht="15" outlineLevel="1" x14ac:dyDescent="0.25">
      <c r="A116" s="591"/>
      <c r="B116" s="151">
        <v>19</v>
      </c>
      <c r="C116" s="257" t="s">
        <v>13</v>
      </c>
      <c r="D116" s="255" t="s">
        <v>34</v>
      </c>
      <c r="E116" s="255">
        <v>12</v>
      </c>
      <c r="F116" s="300"/>
      <c r="G116" s="300"/>
      <c r="H116" s="297"/>
      <c r="I116" s="298"/>
      <c r="J116" s="299">
        <v>0</v>
      </c>
      <c r="K116" s="299">
        <v>0</v>
      </c>
      <c r="L116" s="298"/>
      <c r="M116" s="298"/>
      <c r="N116" s="298"/>
      <c r="O116" s="298"/>
      <c r="P116" s="254">
        <f t="shared" si="7"/>
        <v>0</v>
      </c>
      <c r="Q116" s="66"/>
    </row>
    <row r="117" spans="1:17" ht="15" outlineLevel="1" x14ac:dyDescent="0.25">
      <c r="A117" s="591"/>
      <c r="B117" s="151">
        <v>20</v>
      </c>
      <c r="C117" s="257" t="s">
        <v>14</v>
      </c>
      <c r="D117" s="255" t="s">
        <v>34</v>
      </c>
      <c r="E117" s="255">
        <v>12</v>
      </c>
      <c r="F117" s="300"/>
      <c r="G117" s="300"/>
      <c r="H117" s="297"/>
      <c r="I117" s="298"/>
      <c r="J117" s="299">
        <v>0</v>
      </c>
      <c r="K117" s="299">
        <v>0</v>
      </c>
      <c r="L117" s="298"/>
      <c r="M117" s="298"/>
      <c r="N117" s="298"/>
      <c r="O117" s="298"/>
      <c r="P117" s="254">
        <f t="shared" si="7"/>
        <v>0</v>
      </c>
      <c r="Q117" s="66"/>
    </row>
    <row r="118" spans="1:17" ht="15" outlineLevel="1" x14ac:dyDescent="0.25">
      <c r="A118" s="591"/>
      <c r="B118" s="151">
        <v>21</v>
      </c>
      <c r="C118" s="259" t="s">
        <v>27</v>
      </c>
      <c r="D118" s="255" t="s">
        <v>34</v>
      </c>
      <c r="E118" s="255">
        <v>12</v>
      </c>
      <c r="F118" s="300"/>
      <c r="G118" s="300"/>
      <c r="H118" s="297"/>
      <c r="I118" s="298"/>
      <c r="J118" s="299">
        <v>0</v>
      </c>
      <c r="K118" s="299">
        <v>0</v>
      </c>
      <c r="L118" s="298"/>
      <c r="M118" s="298"/>
      <c r="N118" s="298"/>
      <c r="O118" s="298"/>
      <c r="P118" s="254">
        <f t="shared" si="7"/>
        <v>0</v>
      </c>
      <c r="Q118" s="66"/>
    </row>
    <row r="119" spans="1:17" ht="15" outlineLevel="1" x14ac:dyDescent="0.25">
      <c r="A119" s="591"/>
      <c r="B119" s="151">
        <v>22</v>
      </c>
      <c r="C119" s="257" t="s">
        <v>10</v>
      </c>
      <c r="D119" s="255" t="s">
        <v>34</v>
      </c>
      <c r="E119" s="255">
        <v>0</v>
      </c>
      <c r="F119" s="300"/>
      <c r="G119" s="300"/>
      <c r="H119" s="297"/>
      <c r="I119" s="298"/>
      <c r="J119" s="299">
        <v>0</v>
      </c>
      <c r="K119" s="299">
        <v>0</v>
      </c>
      <c r="L119" s="298"/>
      <c r="M119" s="298"/>
      <c r="N119" s="298"/>
      <c r="O119" s="298"/>
      <c r="P119" s="254">
        <f t="shared" si="7"/>
        <v>0</v>
      </c>
      <c r="Q119" s="66"/>
    </row>
    <row r="120" spans="1:17" ht="15" outlineLevel="1" x14ac:dyDescent="0.25">
      <c r="A120" s="591"/>
      <c r="B120" s="151"/>
      <c r="C120" s="258" t="s">
        <v>256</v>
      </c>
      <c r="D120" s="255" t="s">
        <v>254</v>
      </c>
      <c r="E120" s="255"/>
      <c r="F120" s="300"/>
      <c r="G120" s="300"/>
      <c r="H120" s="297"/>
      <c r="I120" s="298"/>
      <c r="J120" s="298"/>
      <c r="K120" s="298"/>
      <c r="L120" s="298"/>
      <c r="M120" s="298"/>
      <c r="N120" s="298"/>
      <c r="O120" s="298"/>
      <c r="P120" s="254"/>
      <c r="Q120" s="66"/>
    </row>
    <row r="121" spans="1:17" ht="15" outlineLevel="1" x14ac:dyDescent="0.25">
      <c r="A121" s="591"/>
      <c r="B121" s="151"/>
      <c r="C121" s="580"/>
      <c r="D121" s="580"/>
      <c r="E121" s="270"/>
      <c r="F121" s="300"/>
      <c r="G121" s="300"/>
      <c r="H121" s="297"/>
      <c r="I121" s="298"/>
      <c r="J121" s="298"/>
      <c r="K121" s="298"/>
      <c r="L121" s="298"/>
      <c r="M121" s="298"/>
      <c r="N121" s="298"/>
      <c r="O121" s="298"/>
      <c r="P121" s="254"/>
      <c r="Q121" s="66"/>
    </row>
    <row r="122" spans="1:17" ht="15" outlineLevel="1" x14ac:dyDescent="0.25">
      <c r="A122" s="591"/>
      <c r="B122" s="151"/>
      <c r="C122" s="580"/>
      <c r="D122" s="580"/>
      <c r="E122" s="270"/>
      <c r="F122" s="300"/>
      <c r="G122" s="300"/>
      <c r="H122" s="297"/>
      <c r="I122" s="298"/>
      <c r="J122" s="298"/>
      <c r="K122" s="298"/>
      <c r="L122" s="298"/>
      <c r="M122" s="298"/>
      <c r="N122" s="298"/>
      <c r="O122" s="298"/>
      <c r="P122" s="254"/>
      <c r="Q122" s="66"/>
    </row>
    <row r="123" spans="1:17" ht="15" outlineLevel="1" x14ac:dyDescent="0.25">
      <c r="A123" s="591"/>
      <c r="B123" s="151"/>
      <c r="C123" s="580"/>
      <c r="D123" s="580"/>
      <c r="E123" s="270"/>
      <c r="F123" s="300"/>
      <c r="G123" s="300"/>
      <c r="H123" s="297"/>
      <c r="I123" s="298"/>
      <c r="J123" s="298"/>
      <c r="K123" s="298"/>
      <c r="L123" s="298"/>
      <c r="M123" s="298"/>
      <c r="N123" s="298"/>
      <c r="O123" s="298"/>
      <c r="P123" s="254"/>
      <c r="Q123" s="66"/>
    </row>
    <row r="124" spans="1:17" s="42" customFormat="1" ht="15" outlineLevel="1" x14ac:dyDescent="0.25">
      <c r="A124" s="591"/>
      <c r="B124" s="250"/>
      <c r="C124" s="590" t="s">
        <v>15</v>
      </c>
      <c r="D124" s="590"/>
      <c r="E124" s="251"/>
      <c r="F124" s="252"/>
      <c r="G124" s="252"/>
      <c r="H124" s="252"/>
      <c r="I124" s="252"/>
      <c r="J124" s="252"/>
      <c r="K124" s="252"/>
      <c r="L124" s="252"/>
      <c r="M124" s="252"/>
      <c r="N124" s="252"/>
      <c r="O124" s="252"/>
      <c r="P124" s="253"/>
      <c r="Q124" s="150"/>
    </row>
    <row r="125" spans="1:17" ht="15" outlineLevel="1" x14ac:dyDescent="0.25">
      <c r="A125" s="591"/>
      <c r="B125" s="276">
        <v>23</v>
      </c>
      <c r="C125" s="257" t="s">
        <v>15</v>
      </c>
      <c r="D125" s="255" t="s">
        <v>34</v>
      </c>
      <c r="E125" s="255"/>
      <c r="F125" s="300"/>
      <c r="G125" s="300"/>
      <c r="H125" s="299">
        <v>1</v>
      </c>
      <c r="I125" s="298"/>
      <c r="J125" s="298"/>
      <c r="K125" s="298"/>
      <c r="L125" s="298"/>
      <c r="M125" s="298"/>
      <c r="N125" s="298"/>
      <c r="O125" s="298"/>
      <c r="P125" s="254">
        <f t="shared" ref="P125" si="8">SUM(H125:O125)</f>
        <v>1</v>
      </c>
      <c r="Q125" s="66"/>
    </row>
    <row r="126" spans="1:17" ht="15" outlineLevel="1" x14ac:dyDescent="0.25">
      <c r="A126" s="591"/>
      <c r="B126" s="276"/>
      <c r="C126" s="258" t="s">
        <v>256</v>
      </c>
      <c r="D126" s="255" t="s">
        <v>254</v>
      </c>
      <c r="E126" s="255"/>
      <c r="F126" s="300"/>
      <c r="G126" s="300"/>
      <c r="H126" s="297"/>
      <c r="I126" s="298"/>
      <c r="J126" s="298"/>
      <c r="K126" s="298"/>
      <c r="L126" s="298"/>
      <c r="M126" s="298"/>
      <c r="N126" s="298"/>
      <c r="O126" s="298"/>
      <c r="P126" s="254"/>
      <c r="Q126" s="66"/>
    </row>
    <row r="127" spans="1:17" ht="15" outlineLevel="1" x14ac:dyDescent="0.25">
      <c r="A127" s="591"/>
      <c r="B127" s="276"/>
      <c r="C127" s="580"/>
      <c r="D127" s="580"/>
      <c r="E127" s="270"/>
      <c r="F127" s="300"/>
      <c r="G127" s="300"/>
      <c r="H127" s="297"/>
      <c r="I127" s="298"/>
      <c r="J127" s="298"/>
      <c r="K127" s="298"/>
      <c r="L127" s="298"/>
      <c r="M127" s="298"/>
      <c r="N127" s="298"/>
      <c r="O127" s="298"/>
      <c r="P127" s="254"/>
      <c r="Q127" s="66"/>
    </row>
    <row r="128" spans="1:17" ht="15" outlineLevel="1" x14ac:dyDescent="0.25">
      <c r="A128" s="591"/>
      <c r="B128" s="276"/>
      <c r="C128" s="580"/>
      <c r="D128" s="580"/>
      <c r="E128" s="270"/>
      <c r="F128" s="300"/>
      <c r="G128" s="300"/>
      <c r="H128" s="297"/>
      <c r="I128" s="298"/>
      <c r="J128" s="298"/>
      <c r="K128" s="298"/>
      <c r="L128" s="298"/>
      <c r="M128" s="298"/>
      <c r="N128" s="298"/>
      <c r="O128" s="298"/>
      <c r="P128" s="254"/>
      <c r="Q128" s="66"/>
    </row>
    <row r="129" spans="1:17" s="42" customFormat="1" ht="15" outlineLevel="1" x14ac:dyDescent="0.25">
      <c r="A129" s="591"/>
      <c r="B129" s="250"/>
      <c r="C129" s="590" t="s">
        <v>16</v>
      </c>
      <c r="D129" s="590"/>
      <c r="E129" s="251"/>
      <c r="F129" s="252"/>
      <c r="G129" s="252"/>
      <c r="H129" s="252"/>
      <c r="I129" s="252"/>
      <c r="J129" s="252"/>
      <c r="K129" s="252"/>
      <c r="L129" s="252"/>
      <c r="M129" s="252"/>
      <c r="N129" s="252"/>
      <c r="O129" s="252"/>
      <c r="P129" s="253"/>
      <c r="Q129" s="150"/>
    </row>
    <row r="130" spans="1:17" ht="15" outlineLevel="1" x14ac:dyDescent="0.25">
      <c r="A130" s="591"/>
      <c r="B130" s="276">
        <v>24</v>
      </c>
      <c r="C130" s="257" t="s">
        <v>17</v>
      </c>
      <c r="D130" s="255" t="s">
        <v>34</v>
      </c>
      <c r="E130" s="255"/>
      <c r="F130" s="300"/>
      <c r="G130" s="300"/>
      <c r="H130" s="297"/>
      <c r="I130" s="298"/>
      <c r="J130" s="299">
        <v>0</v>
      </c>
      <c r="K130" s="299">
        <v>0</v>
      </c>
      <c r="L130" s="298"/>
      <c r="M130" s="298"/>
      <c r="N130" s="298"/>
      <c r="O130" s="298"/>
      <c r="P130" s="254">
        <f t="shared" ref="P130:P134" si="9">SUM(H130:O130)</f>
        <v>0</v>
      </c>
      <c r="Q130" s="66"/>
    </row>
    <row r="131" spans="1:17" ht="15" outlineLevel="1" x14ac:dyDescent="0.25">
      <c r="A131" s="591"/>
      <c r="B131" s="276">
        <v>25</v>
      </c>
      <c r="C131" s="257" t="s">
        <v>18</v>
      </c>
      <c r="D131" s="255" t="s">
        <v>34</v>
      </c>
      <c r="E131" s="255"/>
      <c r="F131" s="300"/>
      <c r="G131" s="300"/>
      <c r="H131" s="297"/>
      <c r="I131" s="298"/>
      <c r="J131" s="299">
        <v>0</v>
      </c>
      <c r="K131" s="299">
        <v>0</v>
      </c>
      <c r="L131" s="298"/>
      <c r="M131" s="298"/>
      <c r="N131" s="298"/>
      <c r="O131" s="298"/>
      <c r="P131" s="254">
        <f t="shared" si="9"/>
        <v>0</v>
      </c>
      <c r="Q131" s="66"/>
    </row>
    <row r="132" spans="1:17" ht="15" outlineLevel="1" x14ac:dyDescent="0.25">
      <c r="A132" s="591"/>
      <c r="B132" s="276">
        <v>26</v>
      </c>
      <c r="C132" s="257" t="s">
        <v>19</v>
      </c>
      <c r="D132" s="255" t="s">
        <v>34</v>
      </c>
      <c r="E132" s="255"/>
      <c r="F132" s="300"/>
      <c r="G132" s="300"/>
      <c r="H132" s="297"/>
      <c r="I132" s="298"/>
      <c r="J132" s="299">
        <v>0</v>
      </c>
      <c r="K132" s="299">
        <v>0</v>
      </c>
      <c r="L132" s="298"/>
      <c r="M132" s="298"/>
      <c r="N132" s="298"/>
      <c r="O132" s="298"/>
      <c r="P132" s="254">
        <f t="shared" si="9"/>
        <v>0</v>
      </c>
      <c r="Q132" s="66"/>
    </row>
    <row r="133" spans="1:17" ht="15" outlineLevel="1" x14ac:dyDescent="0.25">
      <c r="A133" s="591"/>
      <c r="B133" s="276">
        <v>27</v>
      </c>
      <c r="C133" s="257" t="s">
        <v>20</v>
      </c>
      <c r="D133" s="255" t="s">
        <v>34</v>
      </c>
      <c r="E133" s="255"/>
      <c r="F133" s="300"/>
      <c r="G133" s="300"/>
      <c r="H133" s="297"/>
      <c r="I133" s="298"/>
      <c r="J133" s="299">
        <v>0</v>
      </c>
      <c r="K133" s="299">
        <v>0</v>
      </c>
      <c r="L133" s="298"/>
      <c r="M133" s="298"/>
      <c r="N133" s="298"/>
      <c r="O133" s="298"/>
      <c r="P133" s="254">
        <f t="shared" si="9"/>
        <v>0</v>
      </c>
      <c r="Q133" s="66"/>
    </row>
    <row r="134" spans="1:17" ht="15" outlineLevel="1" x14ac:dyDescent="0.25">
      <c r="A134" s="591"/>
      <c r="B134" s="276">
        <v>28</v>
      </c>
      <c r="C134" s="257" t="s">
        <v>105</v>
      </c>
      <c r="D134" s="255" t="s">
        <v>34</v>
      </c>
      <c r="E134" s="255"/>
      <c r="F134" s="300"/>
      <c r="G134" s="300"/>
      <c r="H134" s="297"/>
      <c r="I134" s="298"/>
      <c r="J134" s="299">
        <v>0</v>
      </c>
      <c r="K134" s="299">
        <v>0</v>
      </c>
      <c r="L134" s="298"/>
      <c r="M134" s="298"/>
      <c r="N134" s="298"/>
      <c r="O134" s="298"/>
      <c r="P134" s="254">
        <f t="shared" si="9"/>
        <v>0</v>
      </c>
      <c r="Q134" s="66"/>
    </row>
    <row r="135" spans="1:17" ht="15" outlineLevel="1" x14ac:dyDescent="0.25">
      <c r="A135" s="591"/>
      <c r="B135" s="276"/>
      <c r="C135" s="258" t="s">
        <v>256</v>
      </c>
      <c r="D135" s="255" t="s">
        <v>254</v>
      </c>
      <c r="E135" s="255"/>
      <c r="F135" s="300"/>
      <c r="G135" s="300"/>
      <c r="H135" s="297"/>
      <c r="I135" s="298"/>
      <c r="J135" s="299"/>
      <c r="K135" s="298"/>
      <c r="L135" s="298"/>
      <c r="M135" s="298"/>
      <c r="N135" s="298"/>
      <c r="O135" s="298"/>
      <c r="P135" s="254"/>
      <c r="Q135" s="66"/>
    </row>
    <row r="136" spans="1:17" ht="15" outlineLevel="1" x14ac:dyDescent="0.25">
      <c r="A136" s="591"/>
      <c r="B136" s="276"/>
      <c r="C136" s="580"/>
      <c r="D136" s="580"/>
      <c r="E136" s="270"/>
      <c r="F136" s="300"/>
      <c r="G136" s="300"/>
      <c r="H136" s="297"/>
      <c r="I136" s="298"/>
      <c r="J136" s="299"/>
      <c r="K136" s="298"/>
      <c r="L136" s="298"/>
      <c r="M136" s="298"/>
      <c r="N136" s="298"/>
      <c r="O136" s="298"/>
      <c r="P136" s="254"/>
      <c r="Q136" s="66"/>
    </row>
    <row r="137" spans="1:17" ht="15" outlineLevel="1" x14ac:dyDescent="0.25">
      <c r="A137" s="591"/>
      <c r="B137" s="276"/>
      <c r="C137" s="580"/>
      <c r="D137" s="580"/>
      <c r="E137" s="270"/>
      <c r="F137" s="300"/>
      <c r="G137" s="300"/>
      <c r="H137" s="297"/>
      <c r="I137" s="298"/>
      <c r="J137" s="299"/>
      <c r="K137" s="298"/>
      <c r="L137" s="298"/>
      <c r="M137" s="298"/>
      <c r="N137" s="298"/>
      <c r="O137" s="298"/>
      <c r="P137" s="254"/>
      <c r="Q137" s="66"/>
    </row>
    <row r="138" spans="1:17" ht="15" outlineLevel="1" x14ac:dyDescent="0.25">
      <c r="A138" s="591"/>
      <c r="B138" s="276"/>
      <c r="C138" s="580"/>
      <c r="D138" s="580"/>
      <c r="E138" s="270"/>
      <c r="F138" s="300"/>
      <c r="G138" s="300"/>
      <c r="H138" s="297"/>
      <c r="I138" s="298"/>
      <c r="J138" s="299"/>
      <c r="K138" s="298"/>
      <c r="L138" s="298"/>
      <c r="M138" s="298"/>
      <c r="N138" s="298"/>
      <c r="O138" s="298"/>
      <c r="P138" s="254"/>
      <c r="Q138" s="66"/>
    </row>
    <row r="139" spans="1:17" s="42" customFormat="1" ht="15" outlineLevel="1" x14ac:dyDescent="0.25">
      <c r="A139" s="591"/>
      <c r="B139" s="250"/>
      <c r="C139" s="590" t="s">
        <v>106</v>
      </c>
      <c r="D139" s="590"/>
      <c r="E139" s="251"/>
      <c r="F139" s="252"/>
      <c r="G139" s="252"/>
      <c r="H139" s="252"/>
      <c r="I139" s="252"/>
      <c r="J139" s="252"/>
      <c r="K139" s="252"/>
      <c r="L139" s="252"/>
      <c r="M139" s="252"/>
      <c r="N139" s="252"/>
      <c r="O139" s="252"/>
      <c r="P139" s="253"/>
      <c r="Q139" s="150"/>
    </row>
    <row r="140" spans="1:17" ht="15" outlineLevel="1" x14ac:dyDescent="0.25">
      <c r="A140" s="591"/>
      <c r="B140" s="151">
        <v>29</v>
      </c>
      <c r="C140" s="257" t="s">
        <v>108</v>
      </c>
      <c r="D140" s="255" t="s">
        <v>34</v>
      </c>
      <c r="E140" s="255"/>
      <c r="F140" s="300"/>
      <c r="G140" s="300"/>
      <c r="H140" s="297"/>
      <c r="I140" s="298"/>
      <c r="J140" s="298"/>
      <c r="K140" s="298"/>
      <c r="L140" s="298"/>
      <c r="M140" s="298"/>
      <c r="N140" s="298"/>
      <c r="O140" s="298"/>
      <c r="P140" s="254">
        <f t="shared" ref="P140:P141" si="10">SUM(H140:O140)</f>
        <v>0</v>
      </c>
      <c r="Q140" s="66"/>
    </row>
    <row r="141" spans="1:17" ht="15" outlineLevel="1" x14ac:dyDescent="0.25">
      <c r="A141" s="591"/>
      <c r="B141" s="151">
        <v>30</v>
      </c>
      <c r="C141" s="257" t="s">
        <v>107</v>
      </c>
      <c r="D141" s="255" t="s">
        <v>34</v>
      </c>
      <c r="E141" s="255"/>
      <c r="F141" s="300"/>
      <c r="G141" s="300"/>
      <c r="H141" s="297"/>
      <c r="I141" s="298"/>
      <c r="J141" s="298"/>
      <c r="K141" s="298"/>
      <c r="L141" s="298"/>
      <c r="M141" s="298"/>
      <c r="N141" s="298"/>
      <c r="O141" s="298"/>
      <c r="P141" s="254">
        <f t="shared" si="10"/>
        <v>0</v>
      </c>
      <c r="Q141" s="66"/>
    </row>
    <row r="142" spans="1:17" ht="15" outlineLevel="1" x14ac:dyDescent="0.25">
      <c r="A142" s="591"/>
      <c r="B142" s="151"/>
      <c r="C142" s="258" t="s">
        <v>256</v>
      </c>
      <c r="D142" s="255" t="s">
        <v>254</v>
      </c>
      <c r="E142" s="255"/>
      <c r="F142" s="300"/>
      <c r="G142" s="300"/>
      <c r="H142" s="297"/>
      <c r="I142" s="298"/>
      <c r="J142" s="298"/>
      <c r="K142" s="298"/>
      <c r="L142" s="298"/>
      <c r="M142" s="298"/>
      <c r="N142" s="298"/>
      <c r="O142" s="298"/>
      <c r="P142" s="254"/>
      <c r="Q142" s="66"/>
    </row>
    <row r="143" spans="1:17" ht="15" outlineLevel="1" x14ac:dyDescent="0.25">
      <c r="A143" s="591"/>
      <c r="B143" s="151"/>
      <c r="C143" s="580"/>
      <c r="D143" s="580"/>
      <c r="E143" s="270"/>
      <c r="F143" s="300"/>
      <c r="G143" s="300"/>
      <c r="H143" s="297"/>
      <c r="I143" s="298"/>
      <c r="J143" s="298"/>
      <c r="K143" s="298"/>
      <c r="L143" s="298"/>
      <c r="M143" s="298"/>
      <c r="N143" s="298"/>
      <c r="O143" s="298"/>
      <c r="P143" s="254"/>
      <c r="Q143" s="66"/>
    </row>
    <row r="144" spans="1:17" ht="15" outlineLevel="1" x14ac:dyDescent="0.25">
      <c r="A144" s="591"/>
      <c r="B144" s="151"/>
      <c r="C144" s="589"/>
      <c r="D144" s="589"/>
      <c r="E144" s="356"/>
      <c r="F144" s="405"/>
      <c r="G144" s="405"/>
      <c r="H144" s="297"/>
      <c r="I144" s="298"/>
      <c r="J144" s="298"/>
      <c r="K144" s="298"/>
      <c r="L144" s="298"/>
      <c r="M144" s="298"/>
      <c r="N144" s="298"/>
      <c r="O144" s="298"/>
      <c r="P144" s="254"/>
      <c r="Q144" s="66"/>
    </row>
    <row r="145" spans="1:17" ht="15" x14ac:dyDescent="0.25">
      <c r="A145" s="591"/>
      <c r="B145" s="357"/>
      <c r="C145" s="594" t="s">
        <v>222</v>
      </c>
      <c r="D145" s="594"/>
      <c r="E145" s="358"/>
      <c r="F145" s="359"/>
      <c r="G145" s="359"/>
      <c r="H145" s="360">
        <f>SUM(G90*H90,G91*H91,G92*H92,G93*H93,G94*H94,G95*H95,G98*H98,G125*H125,G96*H96,G97*H97)</f>
        <v>0</v>
      </c>
      <c r="I145" s="360">
        <f>SUM(G103*I103,G104*I104,G108*I108,G109*I109,G110*I110,G105*I105,G106*I106,G107*I107)</f>
        <v>0</v>
      </c>
      <c r="J145" s="361"/>
      <c r="K145" s="358"/>
      <c r="L145" s="358"/>
      <c r="M145" s="358"/>
      <c r="N145" s="360"/>
      <c r="O145" s="358"/>
      <c r="P145" s="362">
        <f>SUM(H145:O145)</f>
        <v>0</v>
      </c>
      <c r="Q145" s="66"/>
    </row>
    <row r="146" spans="1:17" ht="15" x14ac:dyDescent="0.25">
      <c r="A146" s="591"/>
      <c r="B146" s="499"/>
      <c r="C146" s="500" t="s">
        <v>505</v>
      </c>
      <c r="D146" s="500"/>
      <c r="E146" s="501"/>
      <c r="F146" s="502"/>
      <c r="G146" s="502"/>
      <c r="H146" s="503">
        <f>H145-SUM(G96*H96,G97*H97)</f>
        <v>0</v>
      </c>
      <c r="I146" s="503">
        <f>I145-SUM(G108*I108,G109*I109,G110*I110)</f>
        <v>0</v>
      </c>
      <c r="J146" s="504"/>
      <c r="K146" s="501"/>
      <c r="L146" s="501"/>
      <c r="M146" s="501"/>
      <c r="N146" s="501"/>
      <c r="O146" s="501"/>
      <c r="P146" s="505"/>
      <c r="Q146" s="66"/>
    </row>
    <row r="147" spans="1:17" ht="15" x14ac:dyDescent="0.25">
      <c r="A147" s="591"/>
      <c r="B147" s="277"/>
      <c r="C147" s="580" t="s">
        <v>319</v>
      </c>
      <c r="D147" s="580"/>
      <c r="E147" s="271"/>
      <c r="F147" s="269"/>
      <c r="G147" s="269"/>
      <c r="H147" s="271"/>
      <c r="I147" s="271"/>
      <c r="J147" s="272">
        <f>SUM($F$103*J103*$E$103,$E$104*$F$104*J104,$E$105*$F$105*J105,$E$106*$F$106*J106,$E$107*$F$107*J107,$F$130*J130,$F$131*J131,$E$115*$F$115*J115,$E$116*$F$116*J116,$E$117*$F$117*J117,$E$118*$F$118*J118,$F$132*J132,$F$133*J133,$F$134*J134)</f>
        <v>0</v>
      </c>
      <c r="K147" s="272">
        <f>SUM($F$103*K103*$E$103,$E$104*$F$104*K104,$E$105*$F$105*K105,$E$106*$F$106*K106,$E$107*$F$107*K107,$F$130*K130,$F$131*K131,$E$115*$F$115*K115,$E$116*$F$116*K116,$E$117*$F$117*K117,$E$118*$F$118*K118,$F$132*K132,$F$133*K133,$F$134*K134)</f>
        <v>0</v>
      </c>
      <c r="L147" s="272"/>
      <c r="M147" s="272"/>
      <c r="N147" s="271"/>
      <c r="O147" s="271"/>
      <c r="P147" s="278">
        <f>SUM(H147:O147)</f>
        <v>0</v>
      </c>
      <c r="Q147" s="66"/>
    </row>
    <row r="148" spans="1:17" ht="15" x14ac:dyDescent="0.25">
      <c r="A148" s="591"/>
      <c r="B148" s="277"/>
      <c r="C148" s="580" t="s">
        <v>501</v>
      </c>
      <c r="D148" s="580"/>
      <c r="E148" s="271"/>
      <c r="F148" s="269"/>
      <c r="G148" s="269"/>
      <c r="H148" s="271"/>
      <c r="I148" s="271"/>
      <c r="J148" s="272">
        <f>J147-($E$105*$F$105*J105)</f>
        <v>0</v>
      </c>
      <c r="K148" s="272">
        <f>K147-($E$105*$F$105*K105)</f>
        <v>0</v>
      </c>
      <c r="L148" s="271"/>
      <c r="M148" s="271"/>
      <c r="N148" s="271"/>
      <c r="O148" s="271"/>
      <c r="P148" s="278"/>
      <c r="Q148" s="66"/>
    </row>
    <row r="149" spans="1:17" ht="15" x14ac:dyDescent="0.25">
      <c r="A149" s="591"/>
      <c r="B149" s="279"/>
      <c r="C149" s="595"/>
      <c r="D149" s="595"/>
      <c r="E149" s="264"/>
      <c r="F149" s="262"/>
      <c r="G149" s="262"/>
      <c r="H149" s="264"/>
      <c r="I149" s="264"/>
      <c r="J149" s="264"/>
      <c r="K149" s="264"/>
      <c r="L149" s="264"/>
      <c r="M149" s="264"/>
      <c r="N149" s="264"/>
      <c r="O149" s="264"/>
      <c r="P149" s="280"/>
      <c r="Q149" s="66"/>
    </row>
    <row r="150" spans="1:17" ht="15" x14ac:dyDescent="0.25">
      <c r="A150" s="591"/>
      <c r="B150" s="385"/>
      <c r="C150" s="578" t="s">
        <v>322</v>
      </c>
      <c r="D150" s="578"/>
      <c r="E150" s="255"/>
      <c r="F150" s="266"/>
      <c r="G150" s="255"/>
      <c r="H150" s="267">
        <f>'3.  Distribution Rates'!F33</f>
        <v>1.7133333333333334E-2</v>
      </c>
      <c r="I150" s="267">
        <f>'3.  Distribution Rates'!F34</f>
        <v>1.2266666666666667E-2</v>
      </c>
      <c r="J150" s="267">
        <f>'3.  Distribution Rates'!F35</f>
        <v>4.0175333333333336</v>
      </c>
      <c r="K150" s="267">
        <f>'3.  Distribution Rates'!F36</f>
        <v>0</v>
      </c>
      <c r="L150" s="267">
        <f>'3.  Distribution Rates'!F37</f>
        <v>0</v>
      </c>
      <c r="M150" s="267">
        <f>'3.  Distribution Rates'!F38</f>
        <v>5.2835999999999999</v>
      </c>
      <c r="N150" s="267">
        <f>'3.  Distribution Rates'!F39</f>
        <v>1.6433333333333331E-2</v>
      </c>
      <c r="O150" s="267"/>
      <c r="P150" s="386"/>
      <c r="Q150" s="66"/>
    </row>
    <row r="151" spans="1:17" ht="15" x14ac:dyDescent="0.25">
      <c r="A151" s="591"/>
      <c r="B151" s="385"/>
      <c r="C151" s="578" t="s">
        <v>234</v>
      </c>
      <c r="D151" s="578"/>
      <c r="E151" s="264"/>
      <c r="F151" s="266"/>
      <c r="G151" s="266"/>
      <c r="H151" s="382">
        <f>'4.  2011-14 LRAM'!H74*H150</f>
        <v>0</v>
      </c>
      <c r="I151" s="382">
        <f>'4.  2011-14 LRAM'!I74*I150</f>
        <v>0</v>
      </c>
      <c r="J151" s="382">
        <f>'4.  2011-14 LRAM'!J74*J150</f>
        <v>0</v>
      </c>
      <c r="K151" s="382">
        <f>'4.  2011-14 LRAM'!K74*K150</f>
        <v>0</v>
      </c>
      <c r="L151" s="382">
        <f>'4.  2011-14 LRAM'!L74*L150</f>
        <v>0</v>
      </c>
      <c r="M151" s="382">
        <f>'4.  2011-14 LRAM'!M74*M150</f>
        <v>0</v>
      </c>
      <c r="N151" s="382">
        <f>'4.  2011-14 LRAM'!N74*N150</f>
        <v>0</v>
      </c>
      <c r="O151" s="255"/>
      <c r="P151" s="281">
        <f>SUM(H151:O151)</f>
        <v>0</v>
      </c>
      <c r="Q151" s="66"/>
    </row>
    <row r="152" spans="1:17" ht="15" x14ac:dyDescent="0.25">
      <c r="A152" s="591"/>
      <c r="B152" s="385"/>
      <c r="C152" s="578" t="s">
        <v>235</v>
      </c>
      <c r="D152" s="578"/>
      <c r="E152" s="264"/>
      <c r="F152" s="266"/>
      <c r="G152" s="266"/>
      <c r="H152" s="382">
        <f>H145*H150</f>
        <v>0</v>
      </c>
      <c r="I152" s="382">
        <f>I145*I150</f>
        <v>0</v>
      </c>
      <c r="J152" s="382">
        <f>J147*J150</f>
        <v>0</v>
      </c>
      <c r="K152" s="382">
        <f>K147*K150</f>
        <v>0</v>
      </c>
      <c r="L152" s="382">
        <f>L147*L150</f>
        <v>0</v>
      </c>
      <c r="M152" s="382">
        <f>M147*M150</f>
        <v>0</v>
      </c>
      <c r="N152" s="382">
        <f>N145*N150</f>
        <v>0</v>
      </c>
      <c r="O152" s="255"/>
      <c r="P152" s="281">
        <f>SUM(H152:O152)</f>
        <v>0</v>
      </c>
      <c r="Q152" s="66"/>
    </row>
    <row r="153" spans="1:17" ht="15" x14ac:dyDescent="0.25">
      <c r="A153" s="591"/>
      <c r="B153" s="279"/>
      <c r="C153" s="383" t="s">
        <v>98</v>
      </c>
      <c r="D153" s="264"/>
      <c r="E153" s="264"/>
      <c r="F153" s="262"/>
      <c r="G153" s="262"/>
      <c r="H153" s="268">
        <f>SUM(H151:H152)</f>
        <v>0</v>
      </c>
      <c r="I153" s="268">
        <f>SUM(I151:I152)</f>
        <v>0</v>
      </c>
      <c r="J153" s="268">
        <f>SUM(J151:J152)</f>
        <v>0</v>
      </c>
      <c r="K153" s="268">
        <f t="shared" ref="K153:M153" si="11">SUM(K151:K152)</f>
        <v>0</v>
      </c>
      <c r="L153" s="268">
        <f t="shared" si="11"/>
        <v>0</v>
      </c>
      <c r="M153" s="268">
        <f t="shared" si="11"/>
        <v>0</v>
      </c>
      <c r="N153" s="268">
        <f>SUM(N151:N152)</f>
        <v>0</v>
      </c>
      <c r="O153" s="264"/>
      <c r="P153" s="282">
        <f>SUM(P151:P152)</f>
        <v>0</v>
      </c>
      <c r="Q153" s="66"/>
    </row>
    <row r="154" spans="1:17" s="23" customFormat="1" ht="15" x14ac:dyDescent="0.25">
      <c r="A154" s="591"/>
      <c r="B154" s="385"/>
      <c r="C154" s="578" t="s">
        <v>96</v>
      </c>
      <c r="D154" s="578"/>
      <c r="E154" s="255"/>
      <c r="F154" s="266"/>
      <c r="G154" s="266"/>
      <c r="H154" s="255">
        <f>H146*'6.  Persistence Rates'!$F$26</f>
        <v>0</v>
      </c>
      <c r="I154" s="255">
        <f>I146*'6.  Persistence Rates'!$F$26</f>
        <v>0</v>
      </c>
      <c r="J154" s="255">
        <f>J148*'6.  Persistence Rates'!$R$26</f>
        <v>0</v>
      </c>
      <c r="K154" s="255">
        <f>K148*'6.  Persistence Rates'!$R$26</f>
        <v>0</v>
      </c>
      <c r="L154" s="255">
        <f>L147*'6.  Persistence Rates'!$R$26</f>
        <v>0</v>
      </c>
      <c r="M154" s="255">
        <f>M147*'6.  Persistence Rates'!$R$26</f>
        <v>0</v>
      </c>
      <c r="N154" s="255">
        <f>N145*'6.  Persistence Rates'!F26</f>
        <v>0</v>
      </c>
      <c r="O154" s="255"/>
      <c r="P154" s="386"/>
      <c r="Q154" s="66"/>
    </row>
    <row r="155" spans="1:17" s="23" customFormat="1" ht="15" x14ac:dyDescent="0.25">
      <c r="A155" s="591"/>
      <c r="B155" s="385"/>
      <c r="C155" s="578" t="s">
        <v>97</v>
      </c>
      <c r="D155" s="578"/>
      <c r="E155" s="255"/>
      <c r="F155" s="266"/>
      <c r="G155" s="266"/>
      <c r="H155" s="255">
        <f>$H$146*'6.  Persistence Rates'!$G$26</f>
        <v>0</v>
      </c>
      <c r="I155" s="255">
        <f>$I$146*'6.  Persistence Rates'!$G$26</f>
        <v>0</v>
      </c>
      <c r="J155" s="255">
        <f>$J$148*'6.  Persistence Rates'!$S$26</f>
        <v>0</v>
      </c>
      <c r="K155" s="255">
        <f>$K$148*'6.  Persistence Rates'!$S$26</f>
        <v>0</v>
      </c>
      <c r="L155" s="255">
        <f>$L$147*'6.  Persistence Rates'!$S$26</f>
        <v>0</v>
      </c>
      <c r="M155" s="255">
        <f>$M$147*'6.  Persistence Rates'!$S$26</f>
        <v>0</v>
      </c>
      <c r="N155" s="255">
        <f>$N$145*'6.  Persistence Rates'!$G$26</f>
        <v>0</v>
      </c>
      <c r="O155" s="255"/>
      <c r="P155" s="386"/>
      <c r="Q155" s="66"/>
    </row>
    <row r="156" spans="1:17" s="23" customFormat="1" ht="15" x14ac:dyDescent="0.25">
      <c r="A156" s="249"/>
      <c r="B156" s="385"/>
      <c r="C156" s="265" t="s">
        <v>425</v>
      </c>
      <c r="D156" s="265"/>
      <c r="E156" s="255"/>
      <c r="F156" s="266"/>
      <c r="G156" s="266"/>
      <c r="H156" s="255">
        <f>$H$146*'6.  Persistence Rates'!$H$26</f>
        <v>0</v>
      </c>
      <c r="I156" s="255">
        <f>$I$146*'6.  Persistence Rates'!$H$26</f>
        <v>0</v>
      </c>
      <c r="J156" s="255">
        <f>$J$148*'6.  Persistence Rates'!$T$26</f>
        <v>0</v>
      </c>
      <c r="K156" s="255">
        <f>$K$148*'6.  Persistence Rates'!$T$26</f>
        <v>0</v>
      </c>
      <c r="L156" s="255">
        <f>$L$147*'6.  Persistence Rates'!$T$26</f>
        <v>0</v>
      </c>
      <c r="M156" s="255">
        <f>$M$147*'6.  Persistence Rates'!$T$26</f>
        <v>0</v>
      </c>
      <c r="N156" s="255">
        <f>$N$145*'6.  Persistence Rates'!$H$26</f>
        <v>0</v>
      </c>
      <c r="O156" s="255"/>
      <c r="P156" s="386"/>
      <c r="Q156" s="66"/>
    </row>
    <row r="157" spans="1:17" s="23" customFormat="1" ht="15" x14ac:dyDescent="0.25">
      <c r="A157" s="249"/>
      <c r="B157" s="385"/>
      <c r="C157" s="265" t="s">
        <v>426</v>
      </c>
      <c r="D157" s="265"/>
      <c r="E157" s="255"/>
      <c r="F157" s="266"/>
      <c r="G157" s="266"/>
      <c r="H157" s="255">
        <f>$H$146*'6.  Persistence Rates'!$I$26</f>
        <v>0</v>
      </c>
      <c r="I157" s="255">
        <f>$I$146*'6.  Persistence Rates'!$I$26</f>
        <v>0</v>
      </c>
      <c r="J157" s="255">
        <f>$J$148*'6.  Persistence Rates'!$U$26</f>
        <v>0</v>
      </c>
      <c r="K157" s="255">
        <f>$K$148*'6.  Persistence Rates'!$U$26</f>
        <v>0</v>
      </c>
      <c r="L157" s="255">
        <f>$L$147*'6.  Persistence Rates'!$U$26</f>
        <v>0</v>
      </c>
      <c r="M157" s="255">
        <f>$M$147*'6.  Persistence Rates'!$U$26</f>
        <v>0</v>
      </c>
      <c r="N157" s="255">
        <f>$N$145*'6.  Persistence Rates'!$I$26</f>
        <v>0</v>
      </c>
      <c r="O157" s="255"/>
      <c r="P157" s="386"/>
      <c r="Q157" s="66"/>
    </row>
    <row r="158" spans="1:17" s="23" customFormat="1" ht="15" x14ac:dyDescent="0.25">
      <c r="A158" s="249"/>
      <c r="B158" s="385"/>
      <c r="C158" s="265" t="s">
        <v>427</v>
      </c>
      <c r="D158" s="265"/>
      <c r="E158" s="255"/>
      <c r="F158" s="266"/>
      <c r="G158" s="266"/>
      <c r="H158" s="255">
        <f>$H$146*'6.  Persistence Rates'!$J$26</f>
        <v>0</v>
      </c>
      <c r="I158" s="255">
        <f>$I$146*'6.  Persistence Rates'!$J$26</f>
        <v>0</v>
      </c>
      <c r="J158" s="255">
        <f>$J$148*'6.  Persistence Rates'!$V$26</f>
        <v>0</v>
      </c>
      <c r="K158" s="255">
        <f>$K$148*'6.  Persistence Rates'!$V$26</f>
        <v>0</v>
      </c>
      <c r="L158" s="255">
        <f>$L$147*'6.  Persistence Rates'!$V$26</f>
        <v>0</v>
      </c>
      <c r="M158" s="255">
        <f>$M$147*'6.  Persistence Rates'!$V$26</f>
        <v>0</v>
      </c>
      <c r="N158" s="255">
        <f>$N$145*'6.  Persistence Rates'!$J$26</f>
        <v>0</v>
      </c>
      <c r="O158" s="255"/>
      <c r="P158" s="386"/>
      <c r="Q158" s="66"/>
    </row>
    <row r="159" spans="1:17" s="23" customFormat="1" ht="15" x14ac:dyDescent="0.25">
      <c r="A159" s="249"/>
      <c r="B159" s="385"/>
      <c r="C159" s="265" t="s">
        <v>428</v>
      </c>
      <c r="D159" s="265"/>
      <c r="E159" s="255"/>
      <c r="F159" s="266"/>
      <c r="G159" s="266"/>
      <c r="H159" s="255">
        <f>$H$146*'6.  Persistence Rates'!$K$26</f>
        <v>0</v>
      </c>
      <c r="I159" s="255">
        <f>$I$146*'6.  Persistence Rates'!$K$26</f>
        <v>0</v>
      </c>
      <c r="J159" s="255">
        <f>$J$148*'6.  Persistence Rates'!$W$26</f>
        <v>0</v>
      </c>
      <c r="K159" s="255">
        <f>$K$148*'6.  Persistence Rates'!$W$26</f>
        <v>0</v>
      </c>
      <c r="L159" s="255">
        <f>$L$147*'6.  Persistence Rates'!$W$26</f>
        <v>0</v>
      </c>
      <c r="M159" s="255">
        <f>$M$147*'6.  Persistence Rates'!$W$26</f>
        <v>0</v>
      </c>
      <c r="N159" s="255">
        <f>$N$145*'6.  Persistence Rates'!$K$26</f>
        <v>0</v>
      </c>
      <c r="O159" s="255"/>
      <c r="P159" s="386"/>
      <c r="Q159" s="66"/>
    </row>
    <row r="160" spans="1:17" s="23" customFormat="1" ht="15" x14ac:dyDescent="0.25">
      <c r="A160" s="249"/>
      <c r="B160" s="385"/>
      <c r="C160" s="519" t="s">
        <v>429</v>
      </c>
      <c r="D160" s="519"/>
      <c r="E160" s="255"/>
      <c r="F160" s="266"/>
      <c r="G160" s="266"/>
      <c r="H160" s="255">
        <f>$H$146*'6.  Persistence Rates'!$L$26</f>
        <v>0</v>
      </c>
      <c r="I160" s="255">
        <f>$I$146*'6.  Persistence Rates'!$L$26</f>
        <v>0</v>
      </c>
      <c r="J160" s="255">
        <f>$J$148*'6.  Persistence Rates'!$X$26</f>
        <v>0</v>
      </c>
      <c r="K160" s="255">
        <f>$K$148*'6.  Persistence Rates'!$X$26</f>
        <v>0</v>
      </c>
      <c r="L160" s="255">
        <f>$L$147*'6.  Persistence Rates'!$X$26</f>
        <v>0</v>
      </c>
      <c r="M160" s="255">
        <f>$M$147*'6.  Persistence Rates'!$X$26</f>
        <v>0</v>
      </c>
      <c r="N160" s="255">
        <f>$N$145*'6.  Persistence Rates'!$L$26</f>
        <v>0</v>
      </c>
      <c r="O160" s="255"/>
      <c r="P160" s="386"/>
      <c r="Q160" s="66"/>
    </row>
    <row r="161" spans="1:17" x14ac:dyDescent="0.25">
      <c r="B161" s="401"/>
      <c r="C161" s="520" t="s">
        <v>430</v>
      </c>
      <c r="D161" s="402"/>
      <c r="E161" s="402"/>
      <c r="F161" s="403"/>
      <c r="G161" s="403"/>
      <c r="H161" s="531">
        <f>$H$146*'6.  Persistence Rates'!$M$26</f>
        <v>0</v>
      </c>
      <c r="I161" s="531">
        <f>$I$146*'6.  Persistence Rates'!$M$26</f>
        <v>0</v>
      </c>
      <c r="J161" s="531">
        <f>$J$148*'6.  Persistence Rates'!$Y$26</f>
        <v>0</v>
      </c>
      <c r="K161" s="531">
        <f>$K$148*'6.  Persistence Rates'!$Y$26</f>
        <v>0</v>
      </c>
      <c r="L161" s="531">
        <f>$L$147*'6.  Persistence Rates'!$Y$26</f>
        <v>0</v>
      </c>
      <c r="M161" s="531">
        <f>$M$147*'6.  Persistence Rates'!$Y$26</f>
        <v>0</v>
      </c>
      <c r="N161" s="531">
        <f>$N$145*'6.  Persistence Rates'!$M$26</f>
        <v>0</v>
      </c>
      <c r="O161" s="334"/>
      <c r="P161" s="404"/>
      <c r="Q161" s="66"/>
    </row>
    <row r="162" spans="1:17" x14ac:dyDescent="0.25">
      <c r="B162" s="69"/>
      <c r="C162" s="144"/>
      <c r="D162" s="69"/>
      <c r="E162" s="69"/>
      <c r="F162" s="66"/>
      <c r="G162" s="66"/>
      <c r="H162" s="66"/>
      <c r="I162" s="66"/>
      <c r="J162" s="66"/>
      <c r="K162" s="66"/>
      <c r="L162" s="66"/>
      <c r="M162" s="66"/>
      <c r="N162" s="66"/>
      <c r="O162" s="66"/>
      <c r="P162" s="66"/>
      <c r="Q162" s="66"/>
    </row>
    <row r="163" spans="1:17" x14ac:dyDescent="0.25">
      <c r="B163" s="69"/>
      <c r="C163" s="144"/>
      <c r="D163" s="69"/>
      <c r="E163" s="69"/>
      <c r="F163" s="66"/>
      <c r="G163" s="66"/>
      <c r="H163" s="66"/>
      <c r="I163" s="66"/>
      <c r="J163" s="66"/>
      <c r="K163" s="66"/>
      <c r="L163" s="66"/>
      <c r="M163" s="66"/>
      <c r="N163" s="66"/>
      <c r="O163" s="66"/>
      <c r="P163" s="66"/>
      <c r="Q163" s="66"/>
    </row>
    <row r="164" spans="1:17" x14ac:dyDescent="0.25">
      <c r="B164" s="581" t="s">
        <v>356</v>
      </c>
      <c r="C164" s="581"/>
      <c r="D164" s="581"/>
      <c r="E164" s="581"/>
      <c r="F164" s="581"/>
      <c r="G164" s="581"/>
      <c r="H164" s="581"/>
      <c r="I164" s="581"/>
      <c r="J164" s="581"/>
      <c r="K164" s="581"/>
      <c r="L164" s="581"/>
      <c r="M164" s="581"/>
      <c r="N164" s="581"/>
      <c r="O164" s="581"/>
      <c r="P164" s="581"/>
      <c r="Q164" s="66"/>
    </row>
    <row r="165" spans="1:17" x14ac:dyDescent="0.25">
      <c r="B165" s="69"/>
      <c r="C165" s="144"/>
      <c r="D165" s="69"/>
      <c r="E165" s="69"/>
      <c r="F165" s="66"/>
      <c r="G165" s="66"/>
      <c r="H165" s="66"/>
      <c r="I165" s="66"/>
      <c r="J165" s="66"/>
      <c r="K165" s="66"/>
      <c r="L165" s="66"/>
      <c r="M165" s="66"/>
      <c r="N165" s="66"/>
      <c r="O165" s="66"/>
      <c r="P165" s="66"/>
      <c r="Q165" s="66"/>
    </row>
    <row r="166" spans="1:17" ht="45" x14ac:dyDescent="0.25">
      <c r="B166" s="585" t="s">
        <v>59</v>
      </c>
      <c r="C166" s="587" t="s">
        <v>0</v>
      </c>
      <c r="D166" s="587" t="s">
        <v>45</v>
      </c>
      <c r="E166" s="587" t="s">
        <v>206</v>
      </c>
      <c r="F166" s="274" t="s">
        <v>46</v>
      </c>
      <c r="G166" s="274" t="s">
        <v>203</v>
      </c>
      <c r="H166" s="582" t="s">
        <v>60</v>
      </c>
      <c r="I166" s="583"/>
      <c r="J166" s="583"/>
      <c r="K166" s="583"/>
      <c r="L166" s="583"/>
      <c r="M166" s="583"/>
      <c r="N166" s="583"/>
      <c r="O166" s="583"/>
      <c r="P166" s="584"/>
      <c r="Q166" s="66"/>
    </row>
    <row r="167" spans="1:17" ht="45" x14ac:dyDescent="0.25">
      <c r="B167" s="586"/>
      <c r="C167" s="588"/>
      <c r="D167" s="588"/>
      <c r="E167" s="588"/>
      <c r="F167" s="140" t="s">
        <v>100</v>
      </c>
      <c r="G167" s="140" t="s">
        <v>101</v>
      </c>
      <c r="H167" s="140" t="s">
        <v>38</v>
      </c>
      <c r="I167" s="140" t="s">
        <v>40</v>
      </c>
      <c r="J167" s="140" t="s">
        <v>109</v>
      </c>
      <c r="K167" s="140" t="s">
        <v>110</v>
      </c>
      <c r="L167" s="140" t="s">
        <v>41</v>
      </c>
      <c r="M167" s="140" t="s">
        <v>42</v>
      </c>
      <c r="N167" s="140" t="s">
        <v>43</v>
      </c>
      <c r="O167" s="140" t="s">
        <v>106</v>
      </c>
      <c r="P167" s="384" t="s">
        <v>35</v>
      </c>
      <c r="Q167" s="66"/>
    </row>
    <row r="168" spans="1:17" s="42" customFormat="1" ht="15" customHeight="1" outlineLevel="1" x14ac:dyDescent="0.25">
      <c r="A168" s="591">
        <v>2013</v>
      </c>
      <c r="B168" s="378"/>
      <c r="C168" s="592" t="s">
        <v>1</v>
      </c>
      <c r="D168" s="592"/>
      <c r="E168" s="379"/>
      <c r="F168" s="380"/>
      <c r="G168" s="380"/>
      <c r="H168" s="380"/>
      <c r="I168" s="380"/>
      <c r="J168" s="380"/>
      <c r="K168" s="380"/>
      <c r="L168" s="380"/>
      <c r="M168" s="380"/>
      <c r="N168" s="380"/>
      <c r="O168" s="380"/>
      <c r="P168" s="381"/>
      <c r="Q168" s="150"/>
    </row>
    <row r="169" spans="1:17" ht="15" outlineLevel="1" x14ac:dyDescent="0.25">
      <c r="A169" s="591"/>
      <c r="B169" s="276">
        <v>1</v>
      </c>
      <c r="C169" s="257" t="s">
        <v>2</v>
      </c>
      <c r="D169" s="255" t="s">
        <v>34</v>
      </c>
      <c r="E169" s="255"/>
      <c r="F169" s="300"/>
      <c r="G169" s="300"/>
      <c r="H169" s="299">
        <v>1</v>
      </c>
      <c r="I169" s="298"/>
      <c r="J169" s="298"/>
      <c r="K169" s="298"/>
      <c r="L169" s="298"/>
      <c r="M169" s="298"/>
      <c r="N169" s="298"/>
      <c r="O169" s="298"/>
      <c r="P169" s="254">
        <f>SUM(H169:O169)</f>
        <v>1</v>
      </c>
      <c r="Q169" s="66"/>
    </row>
    <row r="170" spans="1:17" ht="15" outlineLevel="1" x14ac:dyDescent="0.25">
      <c r="A170" s="591"/>
      <c r="B170" s="276">
        <v>2</v>
      </c>
      <c r="C170" s="257" t="s">
        <v>3</v>
      </c>
      <c r="D170" s="255" t="s">
        <v>34</v>
      </c>
      <c r="E170" s="255"/>
      <c r="F170" s="300"/>
      <c r="G170" s="300"/>
      <c r="H170" s="299">
        <v>1</v>
      </c>
      <c r="I170" s="298"/>
      <c r="J170" s="298"/>
      <c r="K170" s="298"/>
      <c r="L170" s="298"/>
      <c r="M170" s="298"/>
      <c r="N170" s="298"/>
      <c r="O170" s="298"/>
      <c r="P170" s="254">
        <f t="shared" ref="P170:P177" si="12">SUM(H170:O170)</f>
        <v>1</v>
      </c>
      <c r="Q170" s="66"/>
    </row>
    <row r="171" spans="1:17" ht="15" outlineLevel="1" x14ac:dyDescent="0.25">
      <c r="A171" s="591"/>
      <c r="B171" s="276">
        <v>3</v>
      </c>
      <c r="C171" s="257" t="s">
        <v>4</v>
      </c>
      <c r="D171" s="255" t="s">
        <v>34</v>
      </c>
      <c r="E171" s="255"/>
      <c r="F171" s="300"/>
      <c r="G171" s="300"/>
      <c r="H171" s="299">
        <v>1</v>
      </c>
      <c r="I171" s="298"/>
      <c r="J171" s="298"/>
      <c r="K171" s="298"/>
      <c r="L171" s="298"/>
      <c r="M171" s="298"/>
      <c r="N171" s="298"/>
      <c r="O171" s="298"/>
      <c r="P171" s="254">
        <f t="shared" si="12"/>
        <v>1</v>
      </c>
      <c r="Q171" s="66"/>
    </row>
    <row r="172" spans="1:17" ht="15" outlineLevel="1" x14ac:dyDescent="0.25">
      <c r="A172" s="591"/>
      <c r="B172" s="276">
        <v>4</v>
      </c>
      <c r="C172" s="257" t="s">
        <v>5</v>
      </c>
      <c r="D172" s="255" t="s">
        <v>34</v>
      </c>
      <c r="E172" s="255"/>
      <c r="F172" s="300"/>
      <c r="G172" s="300"/>
      <c r="H172" s="299">
        <v>1</v>
      </c>
      <c r="I172" s="298"/>
      <c r="J172" s="298"/>
      <c r="K172" s="298"/>
      <c r="L172" s="298"/>
      <c r="M172" s="298"/>
      <c r="N172" s="298"/>
      <c r="O172" s="298"/>
      <c r="P172" s="254">
        <f t="shared" si="12"/>
        <v>1</v>
      </c>
      <c r="Q172" s="66"/>
    </row>
    <row r="173" spans="1:17" ht="15" outlineLevel="1" x14ac:dyDescent="0.25">
      <c r="A173" s="591"/>
      <c r="B173" s="276">
        <v>5</v>
      </c>
      <c r="C173" s="257" t="s">
        <v>6</v>
      </c>
      <c r="D173" s="255" t="s">
        <v>34</v>
      </c>
      <c r="E173" s="255"/>
      <c r="F173" s="300"/>
      <c r="G173" s="300"/>
      <c r="H173" s="299">
        <v>1</v>
      </c>
      <c r="I173" s="298"/>
      <c r="J173" s="298"/>
      <c r="K173" s="298"/>
      <c r="L173" s="298"/>
      <c r="M173" s="298"/>
      <c r="N173" s="298"/>
      <c r="O173" s="298"/>
      <c r="P173" s="254">
        <f t="shared" si="12"/>
        <v>1</v>
      </c>
      <c r="Q173" s="66"/>
    </row>
    <row r="174" spans="1:17" ht="15" outlineLevel="1" x14ac:dyDescent="0.25">
      <c r="A174" s="591"/>
      <c r="B174" s="276">
        <v>6</v>
      </c>
      <c r="C174" s="257" t="s">
        <v>7</v>
      </c>
      <c r="D174" s="255" t="s">
        <v>34</v>
      </c>
      <c r="E174" s="255"/>
      <c r="F174" s="300"/>
      <c r="G174" s="300"/>
      <c r="H174" s="299">
        <v>1</v>
      </c>
      <c r="I174" s="298"/>
      <c r="J174" s="298"/>
      <c r="K174" s="298"/>
      <c r="L174" s="298"/>
      <c r="M174" s="298"/>
      <c r="N174" s="298"/>
      <c r="O174" s="298"/>
      <c r="P174" s="254">
        <f t="shared" si="12"/>
        <v>1</v>
      </c>
      <c r="Q174" s="66"/>
    </row>
    <row r="175" spans="1:17" ht="28.5" outlineLevel="1" x14ac:dyDescent="0.25">
      <c r="A175" s="591"/>
      <c r="B175" s="276">
        <v>7</v>
      </c>
      <c r="C175" s="257" t="s">
        <v>33</v>
      </c>
      <c r="D175" s="255" t="s">
        <v>34</v>
      </c>
      <c r="E175" s="255"/>
      <c r="F175" s="300"/>
      <c r="G175" s="300"/>
      <c r="H175" s="299">
        <v>1</v>
      </c>
      <c r="I175" s="298"/>
      <c r="J175" s="298"/>
      <c r="K175" s="298"/>
      <c r="L175" s="298"/>
      <c r="M175" s="298"/>
      <c r="N175" s="298"/>
      <c r="O175" s="298"/>
      <c r="P175" s="254">
        <f t="shared" si="12"/>
        <v>1</v>
      </c>
      <c r="Q175" s="66"/>
    </row>
    <row r="176" spans="1:17" ht="31.5" customHeight="1" outlineLevel="1" x14ac:dyDescent="0.25">
      <c r="A176" s="591"/>
      <c r="B176" s="276">
        <v>8</v>
      </c>
      <c r="C176" s="257" t="s">
        <v>26</v>
      </c>
      <c r="D176" s="255" t="s">
        <v>34</v>
      </c>
      <c r="E176" s="255"/>
      <c r="F176" s="300"/>
      <c r="G176" s="300"/>
      <c r="H176" s="299">
        <v>0</v>
      </c>
      <c r="I176" s="298"/>
      <c r="J176" s="298"/>
      <c r="K176" s="298"/>
      <c r="L176" s="298"/>
      <c r="M176" s="298"/>
      <c r="N176" s="298"/>
      <c r="O176" s="298"/>
      <c r="P176" s="254">
        <f t="shared" si="12"/>
        <v>0</v>
      </c>
      <c r="Q176" s="66"/>
    </row>
    <row r="177" spans="1:17" ht="15" outlineLevel="1" x14ac:dyDescent="0.25">
      <c r="A177" s="591"/>
      <c r="B177" s="276">
        <v>9</v>
      </c>
      <c r="C177" s="257" t="s">
        <v>8</v>
      </c>
      <c r="D177" s="255" t="s">
        <v>34</v>
      </c>
      <c r="E177" s="255"/>
      <c r="F177" s="300"/>
      <c r="G177" s="300"/>
      <c r="H177" s="299">
        <v>0</v>
      </c>
      <c r="I177" s="298"/>
      <c r="J177" s="298"/>
      <c r="K177" s="298"/>
      <c r="L177" s="298"/>
      <c r="M177" s="298"/>
      <c r="N177" s="298"/>
      <c r="O177" s="298"/>
      <c r="P177" s="254">
        <f t="shared" si="12"/>
        <v>0</v>
      </c>
      <c r="Q177" s="66"/>
    </row>
    <row r="178" spans="1:17" ht="15" outlineLevel="1" x14ac:dyDescent="0.25">
      <c r="A178" s="591"/>
      <c r="B178" s="276"/>
      <c r="C178" s="258" t="s">
        <v>257</v>
      </c>
      <c r="D178" s="255" t="s">
        <v>254</v>
      </c>
      <c r="E178" s="255"/>
      <c r="F178" s="300"/>
      <c r="G178" s="300"/>
      <c r="H178" s="297"/>
      <c r="I178" s="298"/>
      <c r="J178" s="298"/>
      <c r="K178" s="298"/>
      <c r="L178" s="298"/>
      <c r="M178" s="298"/>
      <c r="N178" s="298"/>
      <c r="O178" s="298"/>
      <c r="P178" s="254"/>
      <c r="Q178" s="66"/>
    </row>
    <row r="179" spans="1:17" ht="15" outlineLevel="1" x14ac:dyDescent="0.25">
      <c r="A179" s="591"/>
      <c r="B179" s="276"/>
      <c r="C179" s="580"/>
      <c r="D179" s="580"/>
      <c r="E179" s="270"/>
      <c r="F179" s="300"/>
      <c r="G179" s="300"/>
      <c r="H179" s="297"/>
      <c r="I179" s="298"/>
      <c r="J179" s="298"/>
      <c r="K179" s="298"/>
      <c r="L179" s="298"/>
      <c r="M179" s="298"/>
      <c r="N179" s="298"/>
      <c r="O179" s="298"/>
      <c r="P179" s="254"/>
      <c r="Q179" s="66"/>
    </row>
    <row r="180" spans="1:17" ht="15" outlineLevel="1" x14ac:dyDescent="0.25">
      <c r="A180" s="591"/>
      <c r="B180" s="276"/>
      <c r="C180" s="580"/>
      <c r="D180" s="580"/>
      <c r="E180" s="270"/>
      <c r="F180" s="300"/>
      <c r="G180" s="300"/>
      <c r="H180" s="297"/>
      <c r="I180" s="298"/>
      <c r="J180" s="298"/>
      <c r="K180" s="298"/>
      <c r="L180" s="298"/>
      <c r="M180" s="298"/>
      <c r="N180" s="298"/>
      <c r="O180" s="298"/>
      <c r="P180" s="254"/>
      <c r="Q180" s="66"/>
    </row>
    <row r="181" spans="1:17" ht="15" outlineLevel="1" x14ac:dyDescent="0.25">
      <c r="A181" s="591"/>
      <c r="B181" s="276"/>
      <c r="C181" s="580"/>
      <c r="D181" s="580"/>
      <c r="E181" s="270"/>
      <c r="F181" s="300"/>
      <c r="G181" s="300"/>
      <c r="H181" s="297"/>
      <c r="I181" s="298"/>
      <c r="J181" s="298"/>
      <c r="K181" s="298"/>
      <c r="L181" s="298"/>
      <c r="M181" s="298"/>
      <c r="N181" s="298"/>
      <c r="O181" s="298"/>
      <c r="P181" s="254"/>
      <c r="Q181" s="66"/>
    </row>
    <row r="182" spans="1:17" s="42" customFormat="1" ht="15" outlineLevel="1" x14ac:dyDescent="0.25">
      <c r="A182" s="591"/>
      <c r="B182" s="387"/>
      <c r="C182" s="593" t="s">
        <v>9</v>
      </c>
      <c r="D182" s="593"/>
      <c r="E182" s="388"/>
      <c r="F182" s="389"/>
      <c r="G182" s="389"/>
      <c r="H182" s="389"/>
      <c r="I182" s="389"/>
      <c r="J182" s="389"/>
      <c r="K182" s="389"/>
      <c r="L182" s="389"/>
      <c r="M182" s="389"/>
      <c r="N182" s="389"/>
      <c r="O182" s="389"/>
      <c r="P182" s="390"/>
      <c r="Q182" s="150"/>
    </row>
    <row r="183" spans="1:17" ht="15" outlineLevel="1" x14ac:dyDescent="0.25">
      <c r="A183" s="591"/>
      <c r="B183" s="151">
        <v>10</v>
      </c>
      <c r="C183" s="259" t="s">
        <v>27</v>
      </c>
      <c r="D183" s="255" t="s">
        <v>34</v>
      </c>
      <c r="E183" s="255">
        <v>12</v>
      </c>
      <c r="F183" s="300"/>
      <c r="G183" s="300"/>
      <c r="H183" s="297"/>
      <c r="I183" s="299">
        <v>0.14199999999999999</v>
      </c>
      <c r="J183" s="299">
        <v>0.85799999999999998</v>
      </c>
      <c r="K183" s="299">
        <v>0</v>
      </c>
      <c r="L183" s="298"/>
      <c r="M183" s="298"/>
      <c r="N183" s="298"/>
      <c r="O183" s="298"/>
      <c r="P183" s="254">
        <f t="shared" ref="P183:P190" si="13">SUM(H183:O183)</f>
        <v>1</v>
      </c>
      <c r="Q183" s="66"/>
    </row>
    <row r="184" spans="1:17" ht="15" outlineLevel="1" x14ac:dyDescent="0.25">
      <c r="A184" s="591"/>
      <c r="B184" s="151">
        <v>11</v>
      </c>
      <c r="C184" s="257" t="s">
        <v>25</v>
      </c>
      <c r="D184" s="255" t="s">
        <v>34</v>
      </c>
      <c r="E184" s="255">
        <v>12</v>
      </c>
      <c r="F184" s="300"/>
      <c r="G184" s="300"/>
      <c r="H184" s="297"/>
      <c r="I184" s="299">
        <v>1</v>
      </c>
      <c r="J184" s="299">
        <v>0</v>
      </c>
      <c r="K184" s="299">
        <v>0</v>
      </c>
      <c r="L184" s="298"/>
      <c r="M184" s="298"/>
      <c r="N184" s="298"/>
      <c r="O184" s="298"/>
      <c r="P184" s="254">
        <f t="shared" si="13"/>
        <v>1</v>
      </c>
      <c r="Q184" s="66"/>
    </row>
    <row r="185" spans="1:17" ht="15" outlineLevel="1" x14ac:dyDescent="0.25">
      <c r="A185" s="591"/>
      <c r="B185" s="151">
        <v>12</v>
      </c>
      <c r="C185" s="257" t="s">
        <v>28</v>
      </c>
      <c r="D185" s="255" t="s">
        <v>34</v>
      </c>
      <c r="E185" s="255">
        <v>3</v>
      </c>
      <c r="F185" s="300"/>
      <c r="G185" s="300"/>
      <c r="H185" s="297"/>
      <c r="I185" s="299">
        <v>0</v>
      </c>
      <c r="J185" s="299">
        <v>0</v>
      </c>
      <c r="K185" s="299">
        <v>0</v>
      </c>
      <c r="L185" s="298"/>
      <c r="M185" s="298"/>
      <c r="N185" s="298"/>
      <c r="O185" s="298"/>
      <c r="P185" s="254">
        <f t="shared" si="13"/>
        <v>0</v>
      </c>
      <c r="Q185" s="66"/>
    </row>
    <row r="186" spans="1:17" ht="15" outlineLevel="1" x14ac:dyDescent="0.25">
      <c r="A186" s="591"/>
      <c r="B186" s="151">
        <v>13</v>
      </c>
      <c r="C186" s="257" t="s">
        <v>29</v>
      </c>
      <c r="D186" s="255" t="s">
        <v>34</v>
      </c>
      <c r="E186" s="255">
        <v>12</v>
      </c>
      <c r="F186" s="300"/>
      <c r="G186" s="300"/>
      <c r="H186" s="297"/>
      <c r="I186" s="299">
        <v>1</v>
      </c>
      <c r="J186" s="299">
        <v>0</v>
      </c>
      <c r="K186" s="299">
        <v>0</v>
      </c>
      <c r="L186" s="298"/>
      <c r="M186" s="298"/>
      <c r="N186" s="298"/>
      <c r="O186" s="298"/>
      <c r="P186" s="254">
        <f t="shared" si="13"/>
        <v>1</v>
      </c>
      <c r="Q186" s="66"/>
    </row>
    <row r="187" spans="1:17" ht="15" outlineLevel="1" x14ac:dyDescent="0.25">
      <c r="A187" s="591"/>
      <c r="B187" s="151">
        <v>14</v>
      </c>
      <c r="C187" s="257" t="s">
        <v>23</v>
      </c>
      <c r="D187" s="255" t="s">
        <v>34</v>
      </c>
      <c r="E187" s="255">
        <v>12</v>
      </c>
      <c r="F187" s="300"/>
      <c r="G187" s="300"/>
      <c r="H187" s="297"/>
      <c r="I187" s="299">
        <v>1</v>
      </c>
      <c r="J187" s="299">
        <v>0</v>
      </c>
      <c r="K187" s="299">
        <v>0</v>
      </c>
      <c r="L187" s="298"/>
      <c r="M187" s="298"/>
      <c r="N187" s="298"/>
      <c r="O187" s="298"/>
      <c r="P187" s="254">
        <f t="shared" si="13"/>
        <v>1</v>
      </c>
      <c r="Q187" s="66"/>
    </row>
    <row r="188" spans="1:17" ht="28.5" outlineLevel="1" x14ac:dyDescent="0.25">
      <c r="A188" s="591"/>
      <c r="B188" s="276">
        <v>15</v>
      </c>
      <c r="C188" s="257" t="s">
        <v>30</v>
      </c>
      <c r="D188" s="255" t="s">
        <v>34</v>
      </c>
      <c r="E188" s="255">
        <v>0</v>
      </c>
      <c r="F188" s="300"/>
      <c r="G188" s="300"/>
      <c r="H188" s="297"/>
      <c r="I188" s="299">
        <v>0</v>
      </c>
      <c r="J188" s="299">
        <v>0</v>
      </c>
      <c r="K188" s="299">
        <v>0</v>
      </c>
      <c r="L188" s="298"/>
      <c r="M188" s="298"/>
      <c r="N188" s="298"/>
      <c r="O188" s="298"/>
      <c r="P188" s="254">
        <f t="shared" si="13"/>
        <v>0</v>
      </c>
      <c r="Q188" s="66"/>
    </row>
    <row r="189" spans="1:17" ht="28.5" outlineLevel="1" x14ac:dyDescent="0.25">
      <c r="A189" s="591"/>
      <c r="B189" s="276">
        <v>16</v>
      </c>
      <c r="C189" s="257" t="s">
        <v>31</v>
      </c>
      <c r="D189" s="255" t="s">
        <v>34</v>
      </c>
      <c r="E189" s="255">
        <v>0</v>
      </c>
      <c r="F189" s="300"/>
      <c r="G189" s="300"/>
      <c r="H189" s="297"/>
      <c r="I189" s="299">
        <v>0</v>
      </c>
      <c r="J189" s="299">
        <v>0</v>
      </c>
      <c r="K189" s="299">
        <v>0</v>
      </c>
      <c r="L189" s="298"/>
      <c r="M189" s="298"/>
      <c r="N189" s="298"/>
      <c r="O189" s="298"/>
      <c r="P189" s="254">
        <f t="shared" si="13"/>
        <v>0</v>
      </c>
      <c r="Q189" s="66"/>
    </row>
    <row r="190" spans="1:17" ht="15" outlineLevel="1" x14ac:dyDescent="0.25">
      <c r="A190" s="591"/>
      <c r="B190" s="276">
        <v>17</v>
      </c>
      <c r="C190" s="257" t="s">
        <v>10</v>
      </c>
      <c r="D190" s="255" t="s">
        <v>34</v>
      </c>
      <c r="E190" s="255">
        <v>0</v>
      </c>
      <c r="F190" s="300"/>
      <c r="G190" s="300"/>
      <c r="H190" s="297"/>
      <c r="I190" s="299">
        <v>0</v>
      </c>
      <c r="J190" s="299">
        <v>0</v>
      </c>
      <c r="K190" s="299">
        <v>0</v>
      </c>
      <c r="L190" s="298"/>
      <c r="M190" s="298"/>
      <c r="N190" s="298"/>
      <c r="O190" s="298"/>
      <c r="P190" s="254">
        <f t="shared" si="13"/>
        <v>0</v>
      </c>
      <c r="Q190" s="66"/>
    </row>
    <row r="191" spans="1:17" ht="15" outlineLevel="1" x14ac:dyDescent="0.25">
      <c r="A191" s="591"/>
      <c r="B191" s="276"/>
      <c r="C191" s="258" t="s">
        <v>257</v>
      </c>
      <c r="D191" s="255" t="s">
        <v>254</v>
      </c>
      <c r="E191" s="255"/>
      <c r="F191" s="300"/>
      <c r="G191" s="300"/>
      <c r="H191" s="297"/>
      <c r="I191" s="298"/>
      <c r="J191" s="298"/>
      <c r="K191" s="298"/>
      <c r="L191" s="298"/>
      <c r="M191" s="298"/>
      <c r="N191" s="298"/>
      <c r="O191" s="298"/>
      <c r="P191" s="254"/>
      <c r="Q191" s="66"/>
    </row>
    <row r="192" spans="1:17" ht="15" outlineLevel="1" x14ac:dyDescent="0.25">
      <c r="A192" s="591"/>
      <c r="B192" s="276"/>
      <c r="C192" s="580"/>
      <c r="D192" s="580"/>
      <c r="E192" s="270"/>
      <c r="F192" s="300"/>
      <c r="G192" s="300"/>
      <c r="H192" s="297"/>
      <c r="I192" s="298"/>
      <c r="J192" s="298"/>
      <c r="K192" s="298"/>
      <c r="L192" s="298"/>
      <c r="M192" s="298"/>
      <c r="N192" s="298"/>
      <c r="O192" s="298"/>
      <c r="P192" s="254"/>
      <c r="Q192" s="66"/>
    </row>
    <row r="193" spans="1:17" ht="15" outlineLevel="1" x14ac:dyDescent="0.25">
      <c r="A193" s="591"/>
      <c r="B193" s="276"/>
      <c r="C193" s="580"/>
      <c r="D193" s="580"/>
      <c r="E193" s="270"/>
      <c r="F193" s="300"/>
      <c r="G193" s="300"/>
      <c r="H193" s="297"/>
      <c r="I193" s="298"/>
      <c r="J193" s="298"/>
      <c r="K193" s="298"/>
      <c r="L193" s="298"/>
      <c r="M193" s="298"/>
      <c r="N193" s="298"/>
      <c r="O193" s="298"/>
      <c r="P193" s="254"/>
      <c r="Q193" s="66"/>
    </row>
    <row r="194" spans="1:17" ht="15" outlineLevel="1" x14ac:dyDescent="0.25">
      <c r="A194" s="591"/>
      <c r="B194" s="276"/>
      <c r="C194" s="580"/>
      <c r="D194" s="580"/>
      <c r="E194" s="270"/>
      <c r="F194" s="300"/>
      <c r="G194" s="300"/>
      <c r="H194" s="297"/>
      <c r="I194" s="298"/>
      <c r="J194" s="298"/>
      <c r="K194" s="298"/>
      <c r="L194" s="298"/>
      <c r="M194" s="298"/>
      <c r="N194" s="298"/>
      <c r="O194" s="298"/>
      <c r="P194" s="254"/>
      <c r="Q194" s="66"/>
    </row>
    <row r="195" spans="1:17" s="42" customFormat="1" ht="15" outlineLevel="1" x14ac:dyDescent="0.25">
      <c r="A195" s="591"/>
      <c r="B195" s="387"/>
      <c r="C195" s="593" t="s">
        <v>11</v>
      </c>
      <c r="D195" s="593"/>
      <c r="E195" s="388"/>
      <c r="F195" s="389"/>
      <c r="G195" s="389"/>
      <c r="H195" s="389"/>
      <c r="I195" s="389"/>
      <c r="J195" s="389"/>
      <c r="K195" s="389"/>
      <c r="L195" s="389"/>
      <c r="M195" s="389"/>
      <c r="N195" s="389"/>
      <c r="O195" s="389"/>
      <c r="P195" s="390"/>
      <c r="Q195" s="150"/>
    </row>
    <row r="196" spans="1:17" ht="15" outlineLevel="1" x14ac:dyDescent="0.25">
      <c r="A196" s="591"/>
      <c r="B196" s="151">
        <v>18</v>
      </c>
      <c r="C196" s="257" t="s">
        <v>12</v>
      </c>
      <c r="D196" s="255" t="s">
        <v>34</v>
      </c>
      <c r="E196" s="255">
        <v>12</v>
      </c>
      <c r="F196" s="300"/>
      <c r="G196" s="300"/>
      <c r="H196" s="297"/>
      <c r="I196" s="298"/>
      <c r="J196" s="299">
        <v>0</v>
      </c>
      <c r="K196" s="298">
        <v>0</v>
      </c>
      <c r="L196" s="298"/>
      <c r="M196" s="298"/>
      <c r="N196" s="298"/>
      <c r="O196" s="298"/>
      <c r="P196" s="254">
        <f t="shared" ref="P196:P200" si="14">SUM(H196:O196)</f>
        <v>0</v>
      </c>
      <c r="Q196" s="66"/>
    </row>
    <row r="197" spans="1:17" ht="15" outlineLevel="1" x14ac:dyDescent="0.25">
      <c r="A197" s="591"/>
      <c r="B197" s="151">
        <v>19</v>
      </c>
      <c r="C197" s="257" t="s">
        <v>13</v>
      </c>
      <c r="D197" s="255" t="s">
        <v>34</v>
      </c>
      <c r="E197" s="255">
        <v>12</v>
      </c>
      <c r="F197" s="300"/>
      <c r="G197" s="300"/>
      <c r="H197" s="297"/>
      <c r="I197" s="298"/>
      <c r="J197" s="299">
        <v>0</v>
      </c>
      <c r="K197" s="298">
        <v>0</v>
      </c>
      <c r="L197" s="298"/>
      <c r="M197" s="298"/>
      <c r="N197" s="298"/>
      <c r="O197" s="298"/>
      <c r="P197" s="254">
        <f t="shared" si="14"/>
        <v>0</v>
      </c>
      <c r="Q197" s="66"/>
    </row>
    <row r="198" spans="1:17" ht="15" outlineLevel="1" x14ac:dyDescent="0.25">
      <c r="A198" s="591"/>
      <c r="B198" s="151">
        <v>20</v>
      </c>
      <c r="C198" s="257" t="s">
        <v>14</v>
      </c>
      <c r="D198" s="255" t="s">
        <v>34</v>
      </c>
      <c r="E198" s="255">
        <v>12</v>
      </c>
      <c r="F198" s="300"/>
      <c r="G198" s="300"/>
      <c r="H198" s="297"/>
      <c r="I198" s="298"/>
      <c r="J198" s="299">
        <v>0</v>
      </c>
      <c r="K198" s="298">
        <v>0</v>
      </c>
      <c r="L198" s="298"/>
      <c r="M198" s="298"/>
      <c r="N198" s="298"/>
      <c r="O198" s="298"/>
      <c r="P198" s="254">
        <f t="shared" si="14"/>
        <v>0</v>
      </c>
      <c r="Q198" s="66"/>
    </row>
    <row r="199" spans="1:17" ht="15" outlineLevel="1" x14ac:dyDescent="0.25">
      <c r="A199" s="591"/>
      <c r="B199" s="151">
        <v>21</v>
      </c>
      <c r="C199" s="259" t="s">
        <v>27</v>
      </c>
      <c r="D199" s="255" t="s">
        <v>34</v>
      </c>
      <c r="E199" s="255">
        <v>12</v>
      </c>
      <c r="F199" s="300"/>
      <c r="G199" s="300"/>
      <c r="H199" s="297"/>
      <c r="I199" s="298"/>
      <c r="J199" s="298">
        <v>0</v>
      </c>
      <c r="K199" s="298">
        <v>0</v>
      </c>
      <c r="L199" s="298"/>
      <c r="M199" s="298"/>
      <c r="N199" s="298"/>
      <c r="O199" s="298"/>
      <c r="P199" s="254">
        <f t="shared" si="14"/>
        <v>0</v>
      </c>
      <c r="Q199" s="66"/>
    </row>
    <row r="200" spans="1:17" ht="15" outlineLevel="1" x14ac:dyDescent="0.25">
      <c r="A200" s="591"/>
      <c r="B200" s="151">
        <v>22</v>
      </c>
      <c r="C200" s="257" t="s">
        <v>10</v>
      </c>
      <c r="D200" s="255" t="s">
        <v>34</v>
      </c>
      <c r="E200" s="255">
        <v>0</v>
      </c>
      <c r="F200" s="300"/>
      <c r="G200" s="300"/>
      <c r="H200" s="297"/>
      <c r="I200" s="298"/>
      <c r="J200" s="298">
        <v>0</v>
      </c>
      <c r="K200" s="298">
        <v>0</v>
      </c>
      <c r="L200" s="298"/>
      <c r="M200" s="298"/>
      <c r="N200" s="298"/>
      <c r="O200" s="298"/>
      <c r="P200" s="254">
        <f t="shared" si="14"/>
        <v>0</v>
      </c>
      <c r="Q200" s="66"/>
    </row>
    <row r="201" spans="1:17" ht="15" outlineLevel="1" x14ac:dyDescent="0.25">
      <c r="A201" s="591"/>
      <c r="B201" s="151"/>
      <c r="C201" s="258" t="s">
        <v>257</v>
      </c>
      <c r="D201" s="255" t="s">
        <v>254</v>
      </c>
      <c r="E201" s="255"/>
      <c r="F201" s="300"/>
      <c r="G201" s="300"/>
      <c r="H201" s="297"/>
      <c r="I201" s="298"/>
      <c r="J201" s="298"/>
      <c r="K201" s="298"/>
      <c r="L201" s="298"/>
      <c r="M201" s="298"/>
      <c r="N201" s="298"/>
      <c r="O201" s="298"/>
      <c r="P201" s="254"/>
      <c r="Q201" s="66"/>
    </row>
    <row r="202" spans="1:17" ht="15" outlineLevel="1" x14ac:dyDescent="0.25">
      <c r="A202" s="591"/>
      <c r="B202" s="151"/>
      <c r="C202" s="580"/>
      <c r="D202" s="580"/>
      <c r="E202" s="270"/>
      <c r="F202" s="300"/>
      <c r="G202" s="300"/>
      <c r="H202" s="297"/>
      <c r="I202" s="298"/>
      <c r="J202" s="298"/>
      <c r="K202" s="298"/>
      <c r="L202" s="298"/>
      <c r="M202" s="298"/>
      <c r="N202" s="298"/>
      <c r="O202" s="298"/>
      <c r="P202" s="254"/>
      <c r="Q202" s="66"/>
    </row>
    <row r="203" spans="1:17" ht="15" outlineLevel="1" x14ac:dyDescent="0.25">
      <c r="A203" s="591"/>
      <c r="B203" s="151"/>
      <c r="C203" s="580"/>
      <c r="D203" s="580"/>
      <c r="E203" s="270"/>
      <c r="F203" s="300"/>
      <c r="G203" s="300"/>
      <c r="H203" s="297"/>
      <c r="I203" s="298"/>
      <c r="J203" s="298"/>
      <c r="K203" s="298"/>
      <c r="L203" s="298"/>
      <c r="M203" s="298"/>
      <c r="N203" s="298"/>
      <c r="O203" s="298"/>
      <c r="P203" s="254"/>
      <c r="Q203" s="66"/>
    </row>
    <row r="204" spans="1:17" ht="15" outlineLevel="1" x14ac:dyDescent="0.25">
      <c r="A204" s="591"/>
      <c r="B204" s="151"/>
      <c r="C204" s="580"/>
      <c r="D204" s="580"/>
      <c r="E204" s="270"/>
      <c r="F204" s="300"/>
      <c r="G204" s="300"/>
      <c r="H204" s="297"/>
      <c r="I204" s="298"/>
      <c r="J204" s="298"/>
      <c r="K204" s="298"/>
      <c r="L204" s="298"/>
      <c r="M204" s="298"/>
      <c r="N204" s="298"/>
      <c r="O204" s="298"/>
      <c r="P204" s="254"/>
      <c r="Q204" s="66"/>
    </row>
    <row r="205" spans="1:17" s="42" customFormat="1" ht="15" outlineLevel="1" x14ac:dyDescent="0.25">
      <c r="A205" s="591"/>
      <c r="B205" s="387"/>
      <c r="C205" s="593" t="s">
        <v>15</v>
      </c>
      <c r="D205" s="593"/>
      <c r="E205" s="388"/>
      <c r="F205" s="389"/>
      <c r="G205" s="389"/>
      <c r="H205" s="389"/>
      <c r="I205" s="389"/>
      <c r="J205" s="389"/>
      <c r="K205" s="389"/>
      <c r="L205" s="389"/>
      <c r="M205" s="389"/>
      <c r="N205" s="389"/>
      <c r="O205" s="389"/>
      <c r="P205" s="390"/>
      <c r="Q205" s="150"/>
    </row>
    <row r="206" spans="1:17" ht="15" outlineLevel="1" x14ac:dyDescent="0.25">
      <c r="A206" s="591"/>
      <c r="B206" s="276">
        <v>23</v>
      </c>
      <c r="C206" s="257" t="s">
        <v>15</v>
      </c>
      <c r="D206" s="255" t="s">
        <v>34</v>
      </c>
      <c r="E206" s="255"/>
      <c r="F206" s="300"/>
      <c r="G206" s="300"/>
      <c r="H206" s="299">
        <v>1</v>
      </c>
      <c r="I206" s="298"/>
      <c r="J206" s="298"/>
      <c r="K206" s="298"/>
      <c r="L206" s="298"/>
      <c r="M206" s="298"/>
      <c r="N206" s="298"/>
      <c r="O206" s="298"/>
      <c r="P206" s="254">
        <f t="shared" ref="P206" si="15">SUM(H206:O206)</f>
        <v>1</v>
      </c>
      <c r="Q206" s="66"/>
    </row>
    <row r="207" spans="1:17" ht="15" outlineLevel="1" x14ac:dyDescent="0.25">
      <c r="A207" s="591"/>
      <c r="B207" s="276"/>
      <c r="C207" s="258" t="s">
        <v>257</v>
      </c>
      <c r="D207" s="255" t="s">
        <v>254</v>
      </c>
      <c r="E207" s="255"/>
      <c r="F207" s="300"/>
      <c r="G207" s="300"/>
      <c r="H207" s="297"/>
      <c r="I207" s="298"/>
      <c r="J207" s="298"/>
      <c r="K207" s="298"/>
      <c r="L207" s="298"/>
      <c r="M207" s="298"/>
      <c r="N207" s="298"/>
      <c r="O207" s="298"/>
      <c r="P207" s="254"/>
      <c r="Q207" s="66"/>
    </row>
    <row r="208" spans="1:17" ht="15" outlineLevel="1" x14ac:dyDescent="0.25">
      <c r="A208" s="591"/>
      <c r="B208" s="276"/>
      <c r="C208" s="580"/>
      <c r="D208" s="580"/>
      <c r="E208" s="270"/>
      <c r="F208" s="300"/>
      <c r="G208" s="300"/>
      <c r="H208" s="297"/>
      <c r="I208" s="298"/>
      <c r="J208" s="298"/>
      <c r="K208" s="298"/>
      <c r="L208" s="298"/>
      <c r="M208" s="298"/>
      <c r="N208" s="298"/>
      <c r="O208" s="298"/>
      <c r="P208" s="254"/>
      <c r="Q208" s="66"/>
    </row>
    <row r="209" spans="1:17" ht="15" outlineLevel="1" x14ac:dyDescent="0.25">
      <c r="A209" s="591"/>
      <c r="B209" s="276"/>
      <c r="C209" s="580"/>
      <c r="D209" s="580"/>
      <c r="E209" s="270"/>
      <c r="F209" s="300"/>
      <c r="G209" s="300"/>
      <c r="H209" s="297"/>
      <c r="I209" s="298"/>
      <c r="J209" s="298"/>
      <c r="K209" s="298"/>
      <c r="L209" s="298"/>
      <c r="M209" s="298"/>
      <c r="N209" s="298"/>
      <c r="O209" s="298"/>
      <c r="P209" s="254"/>
      <c r="Q209" s="66"/>
    </row>
    <row r="210" spans="1:17" s="42" customFormat="1" ht="15" outlineLevel="1" x14ac:dyDescent="0.25">
      <c r="A210" s="591"/>
      <c r="B210" s="387"/>
      <c r="C210" s="593" t="s">
        <v>16</v>
      </c>
      <c r="D210" s="593"/>
      <c r="E210" s="388"/>
      <c r="F210" s="389"/>
      <c r="G210" s="389"/>
      <c r="H210" s="389"/>
      <c r="I210" s="389"/>
      <c r="J210" s="389"/>
      <c r="K210" s="389"/>
      <c r="L210" s="389"/>
      <c r="M210" s="389"/>
      <c r="N210" s="389"/>
      <c r="O210" s="389"/>
      <c r="P210" s="390"/>
      <c r="Q210" s="150"/>
    </row>
    <row r="211" spans="1:17" ht="15" outlineLevel="1" x14ac:dyDescent="0.25">
      <c r="A211" s="591"/>
      <c r="B211" s="276">
        <v>24</v>
      </c>
      <c r="C211" s="257" t="s">
        <v>17</v>
      </c>
      <c r="D211" s="255" t="s">
        <v>34</v>
      </c>
      <c r="E211" s="255"/>
      <c r="F211" s="300"/>
      <c r="G211" s="300"/>
      <c r="H211" s="297"/>
      <c r="I211" s="298"/>
      <c r="J211" s="298">
        <v>0</v>
      </c>
      <c r="K211" s="298">
        <v>0</v>
      </c>
      <c r="L211" s="298"/>
      <c r="M211" s="298"/>
      <c r="N211" s="298"/>
      <c r="O211" s="298"/>
      <c r="P211" s="254">
        <f t="shared" ref="P211:P215" si="16">SUM(H211:O211)</f>
        <v>0</v>
      </c>
      <c r="Q211" s="66"/>
    </row>
    <row r="212" spans="1:17" ht="15" outlineLevel="1" x14ac:dyDescent="0.25">
      <c r="A212" s="591"/>
      <c r="B212" s="276">
        <v>25</v>
      </c>
      <c r="C212" s="257" t="s">
        <v>18</v>
      </c>
      <c r="D212" s="255" t="s">
        <v>34</v>
      </c>
      <c r="E212" s="255"/>
      <c r="F212" s="300"/>
      <c r="G212" s="300"/>
      <c r="H212" s="297"/>
      <c r="I212" s="298"/>
      <c r="J212" s="298">
        <v>0</v>
      </c>
      <c r="K212" s="298">
        <v>0</v>
      </c>
      <c r="L212" s="298"/>
      <c r="M212" s="298"/>
      <c r="N212" s="298"/>
      <c r="O212" s="298"/>
      <c r="P212" s="254">
        <f t="shared" si="16"/>
        <v>0</v>
      </c>
      <c r="Q212" s="66"/>
    </row>
    <row r="213" spans="1:17" ht="15" outlineLevel="1" x14ac:dyDescent="0.25">
      <c r="A213" s="591"/>
      <c r="B213" s="276">
        <v>26</v>
      </c>
      <c r="C213" s="257" t="s">
        <v>19</v>
      </c>
      <c r="D213" s="255" t="s">
        <v>34</v>
      </c>
      <c r="E213" s="255"/>
      <c r="F213" s="300"/>
      <c r="G213" s="300"/>
      <c r="H213" s="297"/>
      <c r="I213" s="298"/>
      <c r="J213" s="298">
        <v>0</v>
      </c>
      <c r="K213" s="298">
        <v>0</v>
      </c>
      <c r="L213" s="298"/>
      <c r="M213" s="298"/>
      <c r="N213" s="298"/>
      <c r="O213" s="298"/>
      <c r="P213" s="254">
        <f t="shared" si="16"/>
        <v>0</v>
      </c>
      <c r="Q213" s="66"/>
    </row>
    <row r="214" spans="1:17" ht="15" outlineLevel="1" x14ac:dyDescent="0.25">
      <c r="A214" s="591"/>
      <c r="B214" s="276">
        <v>27</v>
      </c>
      <c r="C214" s="257" t="s">
        <v>20</v>
      </c>
      <c r="D214" s="255" t="s">
        <v>34</v>
      </c>
      <c r="E214" s="255"/>
      <c r="F214" s="300"/>
      <c r="G214" s="300"/>
      <c r="H214" s="297"/>
      <c r="I214" s="298"/>
      <c r="J214" s="298">
        <v>0</v>
      </c>
      <c r="K214" s="298">
        <v>0</v>
      </c>
      <c r="L214" s="298"/>
      <c r="M214" s="298"/>
      <c r="N214" s="298"/>
      <c r="O214" s="298"/>
      <c r="P214" s="254">
        <f t="shared" si="16"/>
        <v>0</v>
      </c>
      <c r="Q214" s="66"/>
    </row>
    <row r="215" spans="1:17" ht="15" outlineLevel="1" x14ac:dyDescent="0.25">
      <c r="A215" s="591"/>
      <c r="B215" s="276">
        <v>28</v>
      </c>
      <c r="C215" s="257" t="s">
        <v>105</v>
      </c>
      <c r="D215" s="255" t="s">
        <v>34</v>
      </c>
      <c r="E215" s="255"/>
      <c r="F215" s="300"/>
      <c r="G215" s="300"/>
      <c r="H215" s="297"/>
      <c r="I215" s="298"/>
      <c r="J215" s="298">
        <v>0</v>
      </c>
      <c r="K215" s="298">
        <v>0</v>
      </c>
      <c r="L215" s="298"/>
      <c r="M215" s="298"/>
      <c r="N215" s="298"/>
      <c r="O215" s="298"/>
      <c r="P215" s="254">
        <f t="shared" si="16"/>
        <v>0</v>
      </c>
      <c r="Q215" s="66"/>
    </row>
    <row r="216" spans="1:17" ht="15" outlineLevel="1" x14ac:dyDescent="0.25">
      <c r="A216" s="591"/>
      <c r="B216" s="276"/>
      <c r="C216" s="258" t="s">
        <v>257</v>
      </c>
      <c r="D216" s="255" t="s">
        <v>254</v>
      </c>
      <c r="E216" s="255"/>
      <c r="F216" s="300"/>
      <c r="G216" s="300"/>
      <c r="H216" s="297"/>
      <c r="I216" s="298"/>
      <c r="J216" s="298"/>
      <c r="K216" s="298"/>
      <c r="L216" s="298"/>
      <c r="M216" s="298"/>
      <c r="N216" s="298"/>
      <c r="O216" s="298"/>
      <c r="P216" s="254"/>
      <c r="Q216" s="66"/>
    </row>
    <row r="217" spans="1:17" ht="15" outlineLevel="1" x14ac:dyDescent="0.25">
      <c r="A217" s="591"/>
      <c r="B217" s="276"/>
      <c r="C217" s="580"/>
      <c r="D217" s="580"/>
      <c r="E217" s="270"/>
      <c r="F217" s="300"/>
      <c r="G217" s="300"/>
      <c r="H217" s="297"/>
      <c r="I217" s="298"/>
      <c r="J217" s="298"/>
      <c r="K217" s="298"/>
      <c r="L217" s="298"/>
      <c r="M217" s="298"/>
      <c r="N217" s="298"/>
      <c r="O217" s="298"/>
      <c r="P217" s="254"/>
      <c r="Q217" s="66"/>
    </row>
    <row r="218" spans="1:17" ht="15" outlineLevel="1" x14ac:dyDescent="0.25">
      <c r="A218" s="591"/>
      <c r="B218" s="276"/>
      <c r="C218" s="580"/>
      <c r="D218" s="580"/>
      <c r="E218" s="270"/>
      <c r="F218" s="300"/>
      <c r="G218" s="300"/>
      <c r="H218" s="297"/>
      <c r="I218" s="298"/>
      <c r="J218" s="298"/>
      <c r="K218" s="298"/>
      <c r="L218" s="298"/>
      <c r="M218" s="298"/>
      <c r="N218" s="298"/>
      <c r="O218" s="298"/>
      <c r="P218" s="254"/>
      <c r="Q218" s="66"/>
    </row>
    <row r="219" spans="1:17" s="42" customFormat="1" ht="15" outlineLevel="1" x14ac:dyDescent="0.25">
      <c r="A219" s="591"/>
      <c r="B219" s="387"/>
      <c r="C219" s="593" t="s">
        <v>106</v>
      </c>
      <c r="D219" s="593"/>
      <c r="E219" s="388"/>
      <c r="F219" s="389"/>
      <c r="G219" s="389"/>
      <c r="H219" s="389"/>
      <c r="I219" s="389"/>
      <c r="J219" s="389"/>
      <c r="K219" s="389"/>
      <c r="L219" s="389"/>
      <c r="M219" s="389"/>
      <c r="N219" s="389"/>
      <c r="O219" s="389"/>
      <c r="P219" s="390"/>
      <c r="Q219" s="150"/>
    </row>
    <row r="220" spans="1:17" ht="15" outlineLevel="1" x14ac:dyDescent="0.25">
      <c r="A220" s="591"/>
      <c r="B220" s="151">
        <v>29</v>
      </c>
      <c r="C220" s="257" t="s">
        <v>108</v>
      </c>
      <c r="D220" s="255" t="s">
        <v>34</v>
      </c>
      <c r="E220" s="255"/>
      <c r="F220" s="300"/>
      <c r="G220" s="300"/>
      <c r="H220" s="297"/>
      <c r="I220" s="298"/>
      <c r="J220" s="298"/>
      <c r="K220" s="298"/>
      <c r="L220" s="298"/>
      <c r="M220" s="298"/>
      <c r="N220" s="298"/>
      <c r="O220" s="298"/>
      <c r="P220" s="254">
        <f t="shared" ref="P220:P221" si="17">SUM(H220:O220)</f>
        <v>0</v>
      </c>
      <c r="Q220" s="66"/>
    </row>
    <row r="221" spans="1:17" ht="15" outlineLevel="1" x14ac:dyDescent="0.25">
      <c r="A221" s="591"/>
      <c r="B221" s="151">
        <v>30</v>
      </c>
      <c r="C221" s="257" t="s">
        <v>107</v>
      </c>
      <c r="D221" s="255" t="s">
        <v>34</v>
      </c>
      <c r="E221" s="255"/>
      <c r="F221" s="300"/>
      <c r="G221" s="300"/>
      <c r="H221" s="297"/>
      <c r="I221" s="298"/>
      <c r="J221" s="298"/>
      <c r="K221" s="298"/>
      <c r="L221" s="298"/>
      <c r="M221" s="298"/>
      <c r="N221" s="298"/>
      <c r="O221" s="298"/>
      <c r="P221" s="254">
        <f t="shared" si="17"/>
        <v>0</v>
      </c>
      <c r="Q221" s="66"/>
    </row>
    <row r="222" spans="1:17" ht="15" outlineLevel="1" x14ac:dyDescent="0.25">
      <c r="A222" s="591"/>
      <c r="B222" s="151"/>
      <c r="C222" s="258" t="s">
        <v>257</v>
      </c>
      <c r="D222" s="255" t="s">
        <v>254</v>
      </c>
      <c r="E222" s="255"/>
      <c r="F222" s="300"/>
      <c r="G222" s="300"/>
      <c r="H222" s="297"/>
      <c r="I222" s="298"/>
      <c r="J222" s="298"/>
      <c r="K222" s="298"/>
      <c r="L222" s="298"/>
      <c r="M222" s="298"/>
      <c r="N222" s="298"/>
      <c r="O222" s="298"/>
      <c r="P222" s="254"/>
      <c r="Q222" s="66"/>
    </row>
    <row r="223" spans="1:17" ht="15" outlineLevel="1" x14ac:dyDescent="0.25">
      <c r="A223" s="591"/>
      <c r="B223" s="151"/>
      <c r="C223" s="580"/>
      <c r="D223" s="580"/>
      <c r="E223" s="270"/>
      <c r="F223" s="300"/>
      <c r="G223" s="300"/>
      <c r="H223" s="297"/>
      <c r="I223" s="298"/>
      <c r="J223" s="298"/>
      <c r="K223" s="298"/>
      <c r="L223" s="298"/>
      <c r="M223" s="298"/>
      <c r="N223" s="298"/>
      <c r="O223" s="298"/>
      <c r="P223" s="254"/>
      <c r="Q223" s="66"/>
    </row>
    <row r="224" spans="1:17" s="42" customFormat="1" ht="15" outlineLevel="1" x14ac:dyDescent="0.25">
      <c r="A224" s="591"/>
      <c r="B224" s="152"/>
      <c r="C224" s="589"/>
      <c r="D224" s="589"/>
      <c r="E224" s="356"/>
      <c r="F224" s="300"/>
      <c r="G224" s="300"/>
      <c r="H224" s="406"/>
      <c r="I224" s="407"/>
      <c r="J224" s="407"/>
      <c r="K224" s="407"/>
      <c r="L224" s="407"/>
      <c r="M224" s="407"/>
      <c r="N224" s="407"/>
      <c r="O224" s="407"/>
      <c r="P224" s="391"/>
      <c r="Q224" s="150"/>
    </row>
    <row r="225" spans="1:17" ht="15" x14ac:dyDescent="0.25">
      <c r="A225" s="591"/>
      <c r="B225" s="357"/>
      <c r="C225" s="594" t="s">
        <v>222</v>
      </c>
      <c r="D225" s="594"/>
      <c r="E225" s="358"/>
      <c r="F225" s="359"/>
      <c r="G225" s="359"/>
      <c r="H225" s="360">
        <f>SUM(G169*H169,G170*H170,G171*H171,G172*H172,G173*H173,G174*H174,G177*H177,G206*H206,G175*H175,G176*H176)</f>
        <v>0</v>
      </c>
      <c r="I225" s="360">
        <f>SUM(G183*I183,G184*I184,G188*I188,G189*I189,G190*I190,G185*I185,G186*I186,G187*I187)</f>
        <v>0</v>
      </c>
      <c r="J225" s="361"/>
      <c r="K225" s="358"/>
      <c r="L225" s="358"/>
      <c r="M225" s="358"/>
      <c r="N225" s="360"/>
      <c r="O225" s="358"/>
      <c r="P225" s="362">
        <f>SUM(H225:O225)</f>
        <v>0</v>
      </c>
      <c r="Q225" s="66"/>
    </row>
    <row r="226" spans="1:17" ht="15" x14ac:dyDescent="0.25">
      <c r="A226" s="591"/>
      <c r="B226" s="499"/>
      <c r="C226" s="500" t="s">
        <v>505</v>
      </c>
      <c r="D226" s="500"/>
      <c r="E226" s="501"/>
      <c r="F226" s="502"/>
      <c r="G226" s="502"/>
      <c r="H226" s="503">
        <f>H225-SUM(G175*H175,G176*H176)</f>
        <v>0</v>
      </c>
      <c r="I226" s="503">
        <f>I225-SUM(G188*I188,G189*I189,G190*I190)</f>
        <v>0</v>
      </c>
      <c r="J226" s="504"/>
      <c r="K226" s="501"/>
      <c r="L226" s="501"/>
      <c r="M226" s="501"/>
      <c r="N226" s="501"/>
      <c r="O226" s="501"/>
      <c r="P226" s="505"/>
      <c r="Q226" s="66"/>
    </row>
    <row r="227" spans="1:17" ht="15" x14ac:dyDescent="0.25">
      <c r="A227" s="591"/>
      <c r="B227" s="277"/>
      <c r="C227" s="580" t="s">
        <v>319</v>
      </c>
      <c r="D227" s="580"/>
      <c r="E227" s="271"/>
      <c r="F227" s="269"/>
      <c r="G227" s="269"/>
      <c r="H227" s="271"/>
      <c r="I227" s="271"/>
      <c r="J227" s="272">
        <f>SUM($E$183*$F$183*J183,$E$184*$F$184*J184,$E$185*$F$185*J185,$E$186*$F$186*J186,$E$187*$F$187*J187,$E$196*$F$196*J196,$E$197*$F$197*J197,$E$198*$F$198*J198,$E$199*$F$199*J199,$F$211*J211,$F$212*J212,$F$213*J213,$F$214*J214,$F$215*J215)</f>
        <v>0</v>
      </c>
      <c r="K227" s="272">
        <f>SUM($E$183*$F$183*K183,$E$184*$F$184*K184,$E$185*$F$185*K185,$E$186*$F$186*K186,$E$187*$F$187*K187,$E$196*$F$196*K196,$E$197*$F$197*K197,$E$198*$F$198*K198,$E$199*$F$199*K199,$F$211*K211,$F$212*K212,$F$213*K213,$F$214*K214,$F$215*K215)</f>
        <v>0</v>
      </c>
      <c r="L227" s="272"/>
      <c r="M227" s="272"/>
      <c r="N227" s="271"/>
      <c r="O227" s="271"/>
      <c r="P227" s="278">
        <f>SUM(H227:O227)</f>
        <v>0</v>
      </c>
      <c r="Q227" s="66"/>
    </row>
    <row r="228" spans="1:17" ht="15" x14ac:dyDescent="0.25">
      <c r="A228" s="591"/>
      <c r="B228" s="277"/>
      <c r="C228" s="580" t="s">
        <v>501</v>
      </c>
      <c r="D228" s="580"/>
      <c r="E228" s="271"/>
      <c r="F228" s="269"/>
      <c r="G228" s="269"/>
      <c r="H228" s="271"/>
      <c r="I228" s="271"/>
      <c r="J228" s="272">
        <f>J227-($E$185*$F$185*J185)</f>
        <v>0</v>
      </c>
      <c r="K228" s="272">
        <f>K227-($E$185*$F$185*K185)</f>
        <v>0</v>
      </c>
      <c r="L228" s="271"/>
      <c r="M228" s="271"/>
      <c r="N228" s="271"/>
      <c r="O228" s="271"/>
      <c r="P228" s="278"/>
      <c r="Q228" s="66"/>
    </row>
    <row r="229" spans="1:17" ht="15" x14ac:dyDescent="0.25">
      <c r="A229" s="591"/>
      <c r="B229" s="279"/>
      <c r="C229" s="595"/>
      <c r="D229" s="595"/>
      <c r="E229" s="264"/>
      <c r="F229" s="262"/>
      <c r="G229" s="262"/>
      <c r="H229" s="264"/>
      <c r="I229" s="264"/>
      <c r="J229" s="264"/>
      <c r="K229" s="264"/>
      <c r="L229" s="264"/>
      <c r="M229" s="264"/>
      <c r="N229" s="264"/>
      <c r="O229" s="264"/>
      <c r="P229" s="280"/>
      <c r="Q229" s="66"/>
    </row>
    <row r="230" spans="1:17" ht="15" x14ac:dyDescent="0.25">
      <c r="A230" s="591"/>
      <c r="B230" s="385"/>
      <c r="C230" s="578" t="s">
        <v>323</v>
      </c>
      <c r="D230" s="578"/>
      <c r="E230" s="255"/>
      <c r="F230" s="266"/>
      <c r="G230" s="255"/>
      <c r="H230" s="267">
        <f>'3.  Distribution Rates'!G33</f>
        <v>1.7266666666666666E-2</v>
      </c>
      <c r="I230" s="267">
        <f>'3.  Distribution Rates'!G34</f>
        <v>1.2366666666666666E-2</v>
      </c>
      <c r="J230" s="267">
        <f>'3.  Distribution Rates'!G35</f>
        <v>4.0501666666666667</v>
      </c>
      <c r="K230" s="267">
        <f>'3.  Distribution Rates'!G36</f>
        <v>0</v>
      </c>
      <c r="L230" s="267">
        <f>'3.  Distribution Rates'!G37</f>
        <v>0</v>
      </c>
      <c r="M230" s="267">
        <f>'3.  Distribution Rates'!G38</f>
        <v>5.3265666666666664</v>
      </c>
      <c r="N230" s="267">
        <f>'3.  Distribution Rates'!G39</f>
        <v>1.6566666666666667E-2</v>
      </c>
      <c r="O230" s="267"/>
      <c r="P230" s="386"/>
      <c r="Q230" s="66"/>
    </row>
    <row r="231" spans="1:17" ht="15" x14ac:dyDescent="0.25">
      <c r="A231" s="591"/>
      <c r="B231" s="385"/>
      <c r="C231" s="578" t="s">
        <v>236</v>
      </c>
      <c r="D231" s="578"/>
      <c r="E231" s="264"/>
      <c r="F231" s="266"/>
      <c r="G231" s="266"/>
      <c r="H231" s="382">
        <f>H75*H230</f>
        <v>0</v>
      </c>
      <c r="I231" s="382">
        <f>I75*I230</f>
        <v>0</v>
      </c>
      <c r="J231" s="382">
        <f>J75*J230</f>
        <v>0</v>
      </c>
      <c r="K231" s="382">
        <f t="shared" ref="K231:N231" si="18">K75*K230</f>
        <v>0</v>
      </c>
      <c r="L231" s="382">
        <f t="shared" si="18"/>
        <v>0</v>
      </c>
      <c r="M231" s="382">
        <f t="shared" si="18"/>
        <v>0</v>
      </c>
      <c r="N231" s="382">
        <f t="shared" si="18"/>
        <v>0</v>
      </c>
      <c r="O231" s="255"/>
      <c r="P231" s="281">
        <f>SUM(H231:O231)</f>
        <v>0</v>
      </c>
      <c r="Q231" s="66"/>
    </row>
    <row r="232" spans="1:17" ht="15" x14ac:dyDescent="0.25">
      <c r="A232" s="591"/>
      <c r="B232" s="385"/>
      <c r="C232" s="578" t="s">
        <v>237</v>
      </c>
      <c r="D232" s="578"/>
      <c r="E232" s="264"/>
      <c r="F232" s="266"/>
      <c r="G232" s="266"/>
      <c r="H232" s="382">
        <f>H154*H230</f>
        <v>0</v>
      </c>
      <c r="I232" s="382">
        <f>I154*I230</f>
        <v>0</v>
      </c>
      <c r="J232" s="382">
        <f>J154*J230</f>
        <v>0</v>
      </c>
      <c r="K232" s="382">
        <f t="shared" ref="K232:N232" si="19">K154*K230</f>
        <v>0</v>
      </c>
      <c r="L232" s="382">
        <f t="shared" si="19"/>
        <v>0</v>
      </c>
      <c r="M232" s="382">
        <f t="shared" si="19"/>
        <v>0</v>
      </c>
      <c r="N232" s="382">
        <f t="shared" si="19"/>
        <v>0</v>
      </c>
      <c r="O232" s="255"/>
      <c r="P232" s="281">
        <f>SUM(H232:O232)</f>
        <v>0</v>
      </c>
      <c r="Q232" s="66"/>
    </row>
    <row r="233" spans="1:17" ht="15" x14ac:dyDescent="0.25">
      <c r="A233" s="591"/>
      <c r="B233" s="385"/>
      <c r="C233" s="578" t="s">
        <v>238</v>
      </c>
      <c r="D233" s="578"/>
      <c r="E233" s="264"/>
      <c r="F233" s="266"/>
      <c r="G233" s="266"/>
      <c r="H233" s="382">
        <f>H225*H230</f>
        <v>0</v>
      </c>
      <c r="I233" s="382">
        <f>I225*I230</f>
        <v>0</v>
      </c>
      <c r="J233" s="382">
        <f>J227*J230</f>
        <v>0</v>
      </c>
      <c r="K233" s="382">
        <f>K227*K230</f>
        <v>0</v>
      </c>
      <c r="L233" s="382">
        <f>L227*L230</f>
        <v>0</v>
      </c>
      <c r="M233" s="382">
        <f>M227*M230</f>
        <v>0</v>
      </c>
      <c r="N233" s="382">
        <f>N225*N230</f>
        <v>0</v>
      </c>
      <c r="O233" s="255"/>
      <c r="P233" s="281">
        <f>SUM(H233:O233)</f>
        <v>0</v>
      </c>
      <c r="Q233" s="66"/>
    </row>
    <row r="234" spans="1:17" ht="15" x14ac:dyDescent="0.25">
      <c r="A234" s="591"/>
      <c r="B234" s="279"/>
      <c r="C234" s="383" t="s">
        <v>99</v>
      </c>
      <c r="D234" s="264"/>
      <c r="E234" s="264"/>
      <c r="F234" s="262"/>
      <c r="G234" s="262"/>
      <c r="H234" s="268">
        <f>SUM(H231:H233)</f>
        <v>0</v>
      </c>
      <c r="I234" s="268">
        <f>SUM(I231:I233)</f>
        <v>0</v>
      </c>
      <c r="J234" s="268">
        <f>SUM(J231:J233)</f>
        <v>0</v>
      </c>
      <c r="K234" s="268">
        <f>SUM(K231:K233)</f>
        <v>0</v>
      </c>
      <c r="L234" s="268">
        <f>SUM(L231:L233)</f>
        <v>0</v>
      </c>
      <c r="M234" s="268">
        <f t="shared" ref="M234:N234" si="20">SUM(M231:M233)</f>
        <v>0</v>
      </c>
      <c r="N234" s="268">
        <f t="shared" si="20"/>
        <v>0</v>
      </c>
      <c r="O234" s="264"/>
      <c r="P234" s="282">
        <f>SUM(P232:P233)</f>
        <v>0</v>
      </c>
      <c r="Q234" s="66"/>
    </row>
    <row r="235" spans="1:17" ht="15" x14ac:dyDescent="0.25">
      <c r="A235" s="591"/>
      <c r="B235" s="279"/>
      <c r="C235" s="578" t="s">
        <v>102</v>
      </c>
      <c r="D235" s="578"/>
      <c r="E235" s="264"/>
      <c r="F235" s="262"/>
      <c r="G235" s="262"/>
      <c r="H235" s="255">
        <f>$H$226*'6.  Persistence Rates'!$G$27</f>
        <v>0</v>
      </c>
      <c r="I235" s="255">
        <f>$I$226*'6.  Persistence Rates'!$G$27</f>
        <v>0</v>
      </c>
      <c r="J235" s="255">
        <f>$J$228*'6.  Persistence Rates'!$S$27</f>
        <v>0</v>
      </c>
      <c r="K235" s="255">
        <f>$K$228*'6.  Persistence Rates'!$S$27</f>
        <v>0</v>
      </c>
      <c r="L235" s="255">
        <f>L227*'6.  Persistence Rates'!$S$27</f>
        <v>0</v>
      </c>
      <c r="M235" s="255">
        <f>$M$227*'6.  Persistence Rates'!$S$27</f>
        <v>0</v>
      </c>
      <c r="N235" s="255">
        <f>$N$225*'6.  Persistence Rates'!$G$27</f>
        <v>0</v>
      </c>
      <c r="O235" s="264"/>
      <c r="P235" s="280"/>
      <c r="Q235" s="66"/>
    </row>
    <row r="236" spans="1:17" ht="15" x14ac:dyDescent="0.25">
      <c r="A236" s="249"/>
      <c r="B236" s="279"/>
      <c r="C236" s="578" t="s">
        <v>431</v>
      </c>
      <c r="D236" s="578"/>
      <c r="E236" s="264"/>
      <c r="F236" s="262"/>
      <c r="G236" s="262"/>
      <c r="H236" s="255">
        <f>$H$226*'6.  Persistence Rates'!$H$27</f>
        <v>0</v>
      </c>
      <c r="I236" s="255">
        <f>$I$226*'6.  Persistence Rates'!$H$27</f>
        <v>0</v>
      </c>
      <c r="J236" s="255">
        <f>$J$228*'6.  Persistence Rates'!$T$27</f>
        <v>0</v>
      </c>
      <c r="K236" s="255">
        <f>$K$228*'6.  Persistence Rates'!$T$27</f>
        <v>0</v>
      </c>
      <c r="L236" s="255">
        <f>$L$227*'6.  Persistence Rates'!$T$27</f>
        <v>0</v>
      </c>
      <c r="M236" s="255">
        <f>$M$227*'6.  Persistence Rates'!$T$27</f>
        <v>0</v>
      </c>
      <c r="N236" s="255">
        <f>$N$225*'6.  Persistence Rates'!$H$27</f>
        <v>0</v>
      </c>
      <c r="O236" s="264"/>
      <c r="P236" s="280"/>
      <c r="Q236" s="66"/>
    </row>
    <row r="237" spans="1:17" ht="15" x14ac:dyDescent="0.25">
      <c r="A237" s="249"/>
      <c r="B237" s="279"/>
      <c r="C237" s="578" t="s">
        <v>432</v>
      </c>
      <c r="D237" s="578"/>
      <c r="E237" s="264"/>
      <c r="F237" s="262"/>
      <c r="G237" s="262"/>
      <c r="H237" s="255">
        <f>$H$226*'6.  Persistence Rates'!$I$27</f>
        <v>0</v>
      </c>
      <c r="I237" s="255">
        <f>$I$226*'6.  Persistence Rates'!$I$27</f>
        <v>0</v>
      </c>
      <c r="J237" s="255">
        <f>$J$228*'6.  Persistence Rates'!$U$27</f>
        <v>0</v>
      </c>
      <c r="K237" s="255">
        <f>$K$228*'6.  Persistence Rates'!$U$27</f>
        <v>0</v>
      </c>
      <c r="L237" s="255">
        <f>$L$227*'6.  Persistence Rates'!$U$27</f>
        <v>0</v>
      </c>
      <c r="M237" s="255">
        <f>$M$227*'6.  Persistence Rates'!$U$27</f>
        <v>0</v>
      </c>
      <c r="N237" s="255">
        <f>$N$225*'6.  Persistence Rates'!$I$27</f>
        <v>0</v>
      </c>
      <c r="O237" s="264"/>
      <c r="P237" s="280"/>
      <c r="Q237" s="66"/>
    </row>
    <row r="238" spans="1:17" ht="15" x14ac:dyDescent="0.25">
      <c r="A238" s="249"/>
      <c r="B238" s="279"/>
      <c r="C238" s="578" t="s">
        <v>433</v>
      </c>
      <c r="D238" s="578"/>
      <c r="E238" s="264"/>
      <c r="F238" s="262"/>
      <c r="G238" s="262"/>
      <c r="H238" s="255">
        <f>$H$226*'6.  Persistence Rates'!$J$27</f>
        <v>0</v>
      </c>
      <c r="I238" s="255">
        <f>$I$226*'6.  Persistence Rates'!$J$27</f>
        <v>0</v>
      </c>
      <c r="J238" s="255">
        <f>$J$228*'6.  Persistence Rates'!$V$27</f>
        <v>0</v>
      </c>
      <c r="K238" s="255">
        <f>$K$228*'6.  Persistence Rates'!$V$27</f>
        <v>0</v>
      </c>
      <c r="L238" s="255">
        <f>$L$227*'6.  Persistence Rates'!$V$27</f>
        <v>0</v>
      </c>
      <c r="M238" s="255">
        <f>$M$227*'6.  Persistence Rates'!$V$27</f>
        <v>0</v>
      </c>
      <c r="N238" s="255">
        <f>$N$225*'6.  Persistence Rates'!$J$27</f>
        <v>0</v>
      </c>
      <c r="O238" s="264"/>
      <c r="P238" s="280"/>
      <c r="Q238" s="66"/>
    </row>
    <row r="239" spans="1:17" ht="15" x14ac:dyDescent="0.25">
      <c r="A239" s="249"/>
      <c r="B239" s="279"/>
      <c r="C239" s="578" t="s">
        <v>434</v>
      </c>
      <c r="D239" s="578"/>
      <c r="E239" s="264"/>
      <c r="F239" s="262"/>
      <c r="G239" s="262"/>
      <c r="H239" s="255">
        <f>$H$226*'6.  Persistence Rates'!$K$27</f>
        <v>0</v>
      </c>
      <c r="I239" s="255">
        <f>$I$226*'6.  Persistence Rates'!$K$27</f>
        <v>0</v>
      </c>
      <c r="J239" s="255">
        <f>$J$228*'6.  Persistence Rates'!$W$27</f>
        <v>0</v>
      </c>
      <c r="K239" s="255">
        <f>$K$228*'6.  Persistence Rates'!$W$27</f>
        <v>0</v>
      </c>
      <c r="L239" s="255">
        <f>$L$227*'6.  Persistence Rates'!$W$27</f>
        <v>0</v>
      </c>
      <c r="M239" s="255">
        <f>$M$227*'6.  Persistence Rates'!$W$27</f>
        <v>0</v>
      </c>
      <c r="N239" s="255">
        <f>$N$225*'6.  Persistence Rates'!$K$27</f>
        <v>0</v>
      </c>
      <c r="O239" s="264"/>
      <c r="P239" s="280"/>
      <c r="Q239" s="66"/>
    </row>
    <row r="240" spans="1:17" ht="15" x14ac:dyDescent="0.25">
      <c r="A240" s="249"/>
      <c r="B240" s="279"/>
      <c r="C240" s="578" t="s">
        <v>435</v>
      </c>
      <c r="D240" s="578"/>
      <c r="E240" s="264"/>
      <c r="F240" s="262"/>
      <c r="G240" s="262"/>
      <c r="H240" s="255">
        <f>$H$226*'6.  Persistence Rates'!$L$27</f>
        <v>0</v>
      </c>
      <c r="I240" s="255">
        <f>$I$226*'6.  Persistence Rates'!$L$27</f>
        <v>0</v>
      </c>
      <c r="J240" s="255">
        <f>$J$228*'6.  Persistence Rates'!$X$27</f>
        <v>0</v>
      </c>
      <c r="K240" s="255">
        <f>$K$228*'6.  Persistence Rates'!$X$27</f>
        <v>0</v>
      </c>
      <c r="L240" s="255">
        <f>$L$227*'6.  Persistence Rates'!$X$27</f>
        <v>0</v>
      </c>
      <c r="M240" s="255">
        <f>$M$227*'6.  Persistence Rates'!$X$27</f>
        <v>0</v>
      </c>
      <c r="N240" s="255">
        <f>$N$225*'6.  Persistence Rates'!$L$27</f>
        <v>0</v>
      </c>
      <c r="O240" s="264"/>
      <c r="P240" s="280"/>
      <c r="Q240" s="66"/>
    </row>
    <row r="241" spans="1:17" ht="15" x14ac:dyDescent="0.25">
      <c r="A241" s="249"/>
      <c r="B241" s="283"/>
      <c r="C241" s="579" t="s">
        <v>436</v>
      </c>
      <c r="D241" s="579"/>
      <c r="E241" s="284"/>
      <c r="F241" s="285"/>
      <c r="G241" s="285"/>
      <c r="H241" s="531">
        <f>$H$226*'6.  Persistence Rates'!$M$27</f>
        <v>0</v>
      </c>
      <c r="I241" s="531">
        <f>$I$226*'6.  Persistence Rates'!$M$27</f>
        <v>0</v>
      </c>
      <c r="J241" s="531">
        <f>$J$228*'6.  Persistence Rates'!$Y$27</f>
        <v>0</v>
      </c>
      <c r="K241" s="531">
        <f>$K$228*'6.  Persistence Rates'!$Y$27</f>
        <v>0</v>
      </c>
      <c r="L241" s="531">
        <f>$L$227*'6.  Persistence Rates'!$Y$27</f>
        <v>0</v>
      </c>
      <c r="M241" s="531">
        <f>$M$227*'6.  Persistence Rates'!$Y$27</f>
        <v>0</v>
      </c>
      <c r="N241" s="531">
        <f>$N$225*'6.  Persistence Rates'!$M$27</f>
        <v>0</v>
      </c>
      <c r="O241" s="284"/>
      <c r="P241" s="286"/>
      <c r="Q241" s="66"/>
    </row>
    <row r="242" spans="1:17" x14ac:dyDescent="0.25">
      <c r="B242" s="69"/>
      <c r="C242" s="144"/>
      <c r="D242" s="69"/>
      <c r="E242" s="69"/>
      <c r="F242" s="66"/>
      <c r="G242" s="66"/>
      <c r="H242" s="66"/>
      <c r="I242" s="66"/>
      <c r="J242" s="66"/>
      <c r="K242" s="66"/>
      <c r="L242" s="66"/>
      <c r="M242" s="66"/>
      <c r="N242" s="66"/>
      <c r="O242" s="66"/>
      <c r="P242" s="66"/>
      <c r="Q242" s="66"/>
    </row>
    <row r="243" spans="1:17" x14ac:dyDescent="0.25">
      <c r="B243" s="69"/>
      <c r="C243" s="144"/>
      <c r="D243" s="69"/>
      <c r="E243" s="69"/>
      <c r="F243" s="66"/>
      <c r="G243" s="66"/>
      <c r="H243" s="66"/>
      <c r="I243" s="66"/>
      <c r="J243" s="66"/>
      <c r="K243" s="66"/>
      <c r="L243" s="66"/>
      <c r="M243" s="66"/>
      <c r="N243" s="66"/>
      <c r="O243" s="66"/>
      <c r="P243" s="66"/>
      <c r="Q243" s="66"/>
    </row>
    <row r="244" spans="1:17" x14ac:dyDescent="0.25">
      <c r="B244" s="581" t="s">
        <v>357</v>
      </c>
      <c r="C244" s="581"/>
      <c r="D244" s="581"/>
      <c r="E244" s="581"/>
      <c r="F244" s="581"/>
      <c r="G244" s="581"/>
      <c r="H244" s="581"/>
      <c r="I244" s="581"/>
      <c r="J244" s="581"/>
      <c r="K244" s="581"/>
      <c r="L244" s="581"/>
      <c r="M244" s="581"/>
      <c r="N244" s="581"/>
      <c r="O244" s="581"/>
      <c r="P244" s="581"/>
      <c r="Q244" s="66"/>
    </row>
    <row r="245" spans="1:17" x14ac:dyDescent="0.25">
      <c r="B245" s="69"/>
      <c r="C245" s="144"/>
      <c r="D245" s="69"/>
      <c r="E245" s="69"/>
      <c r="F245" s="66"/>
      <c r="G245" s="66"/>
      <c r="H245" s="66"/>
      <c r="I245" s="66"/>
      <c r="J245" s="66"/>
      <c r="K245" s="66"/>
      <c r="L245" s="66"/>
      <c r="M245" s="66"/>
      <c r="N245" s="66"/>
      <c r="O245" s="66"/>
      <c r="P245" s="66"/>
      <c r="Q245" s="66"/>
    </row>
    <row r="246" spans="1:17" ht="44.25" customHeight="1" x14ac:dyDescent="0.25">
      <c r="B246" s="585" t="s">
        <v>59</v>
      </c>
      <c r="C246" s="587" t="s">
        <v>0</v>
      </c>
      <c r="D246" s="587" t="s">
        <v>45</v>
      </c>
      <c r="E246" s="587" t="s">
        <v>206</v>
      </c>
      <c r="F246" s="274" t="s">
        <v>46</v>
      </c>
      <c r="G246" s="274" t="s">
        <v>203</v>
      </c>
      <c r="H246" s="582" t="s">
        <v>60</v>
      </c>
      <c r="I246" s="583"/>
      <c r="J246" s="583"/>
      <c r="K246" s="583"/>
      <c r="L246" s="583"/>
      <c r="M246" s="583"/>
      <c r="N246" s="583"/>
      <c r="O246" s="583"/>
      <c r="P246" s="584"/>
      <c r="Q246" s="66"/>
    </row>
    <row r="247" spans="1:17" ht="48" customHeight="1" x14ac:dyDescent="0.25">
      <c r="B247" s="586"/>
      <c r="C247" s="588"/>
      <c r="D247" s="588"/>
      <c r="E247" s="588"/>
      <c r="F247" s="140" t="s">
        <v>103</v>
      </c>
      <c r="G247" s="140" t="s">
        <v>104</v>
      </c>
      <c r="H247" s="140" t="s">
        <v>38</v>
      </c>
      <c r="I247" s="140" t="s">
        <v>40</v>
      </c>
      <c r="J247" s="140" t="s">
        <v>109</v>
      </c>
      <c r="K247" s="140" t="s">
        <v>110</v>
      </c>
      <c r="L247" s="140" t="s">
        <v>41</v>
      </c>
      <c r="M247" s="140" t="s">
        <v>42</v>
      </c>
      <c r="N247" s="140" t="s">
        <v>43</v>
      </c>
      <c r="O247" s="140" t="s">
        <v>106</v>
      </c>
      <c r="P247" s="384" t="s">
        <v>35</v>
      </c>
      <c r="Q247" s="66"/>
    </row>
    <row r="248" spans="1:17" s="42" customFormat="1" ht="15" customHeight="1" outlineLevel="1" x14ac:dyDescent="0.25">
      <c r="A248" s="591">
        <v>2014</v>
      </c>
      <c r="B248" s="378"/>
      <c r="C248" s="592" t="s">
        <v>1</v>
      </c>
      <c r="D248" s="592"/>
      <c r="E248" s="379"/>
      <c r="F248" s="380"/>
      <c r="G248" s="380"/>
      <c r="H248" s="380"/>
      <c r="I248" s="380"/>
      <c r="J248" s="380"/>
      <c r="K248" s="380"/>
      <c r="L248" s="380"/>
      <c r="M248" s="380"/>
      <c r="N248" s="380"/>
      <c r="O248" s="380"/>
      <c r="P248" s="381"/>
      <c r="Q248" s="150"/>
    </row>
    <row r="249" spans="1:17" ht="15" outlineLevel="1" x14ac:dyDescent="0.25">
      <c r="A249" s="591"/>
      <c r="B249" s="276">
        <v>1</v>
      </c>
      <c r="C249" s="257" t="s">
        <v>2</v>
      </c>
      <c r="D249" s="255" t="s">
        <v>34</v>
      </c>
      <c r="E249" s="255"/>
      <c r="F249" s="300"/>
      <c r="G249" s="300"/>
      <c r="H249" s="299">
        <v>1</v>
      </c>
      <c r="I249" s="298"/>
      <c r="J249" s="298"/>
      <c r="K249" s="298"/>
      <c r="L249" s="298"/>
      <c r="M249" s="298"/>
      <c r="N249" s="298"/>
      <c r="O249" s="298"/>
      <c r="P249" s="409">
        <f>SUM(H249:O249)</f>
        <v>1</v>
      </c>
      <c r="Q249" s="66"/>
    </row>
    <row r="250" spans="1:17" ht="15" outlineLevel="1" x14ac:dyDescent="0.25">
      <c r="A250" s="591"/>
      <c r="B250" s="276">
        <v>2</v>
      </c>
      <c r="C250" s="257" t="s">
        <v>3</v>
      </c>
      <c r="D250" s="255" t="s">
        <v>34</v>
      </c>
      <c r="E250" s="255"/>
      <c r="F250" s="300"/>
      <c r="G250" s="300"/>
      <c r="H250" s="299">
        <v>1</v>
      </c>
      <c r="I250" s="298"/>
      <c r="J250" s="298"/>
      <c r="K250" s="298"/>
      <c r="L250" s="298"/>
      <c r="M250" s="298"/>
      <c r="N250" s="298"/>
      <c r="O250" s="298"/>
      <c r="P250" s="409">
        <f t="shared" ref="P250:P257" si="21">SUM(H250:O250)</f>
        <v>1</v>
      </c>
      <c r="Q250" s="66"/>
    </row>
    <row r="251" spans="1:17" ht="15" outlineLevel="1" x14ac:dyDescent="0.25">
      <c r="A251" s="591"/>
      <c r="B251" s="276">
        <v>3</v>
      </c>
      <c r="C251" s="257" t="s">
        <v>4</v>
      </c>
      <c r="D251" s="255" t="s">
        <v>34</v>
      </c>
      <c r="E251" s="255"/>
      <c r="F251" s="300"/>
      <c r="G251" s="300"/>
      <c r="H251" s="299">
        <v>1</v>
      </c>
      <c r="I251" s="298"/>
      <c r="J251" s="298"/>
      <c r="K251" s="298"/>
      <c r="L251" s="298"/>
      <c r="M251" s="298"/>
      <c r="N251" s="298"/>
      <c r="O251" s="298"/>
      <c r="P251" s="409">
        <f t="shared" si="21"/>
        <v>1</v>
      </c>
      <c r="Q251" s="66"/>
    </row>
    <row r="252" spans="1:17" ht="15" outlineLevel="1" x14ac:dyDescent="0.25">
      <c r="A252" s="591"/>
      <c r="B252" s="276">
        <v>4</v>
      </c>
      <c r="C252" s="257" t="s">
        <v>5</v>
      </c>
      <c r="D252" s="255" t="s">
        <v>34</v>
      </c>
      <c r="E252" s="255"/>
      <c r="F252" s="300"/>
      <c r="G252" s="300"/>
      <c r="H252" s="299">
        <v>1</v>
      </c>
      <c r="I252" s="298"/>
      <c r="J252" s="298"/>
      <c r="K252" s="298"/>
      <c r="L252" s="298"/>
      <c r="M252" s="298"/>
      <c r="N252" s="298"/>
      <c r="O252" s="298"/>
      <c r="P252" s="409">
        <f t="shared" si="21"/>
        <v>1</v>
      </c>
      <c r="Q252" s="66"/>
    </row>
    <row r="253" spans="1:17" ht="15" outlineLevel="1" x14ac:dyDescent="0.25">
      <c r="A253" s="591"/>
      <c r="B253" s="276">
        <v>5</v>
      </c>
      <c r="C253" s="257" t="s">
        <v>6</v>
      </c>
      <c r="D253" s="255" t="s">
        <v>34</v>
      </c>
      <c r="E253" s="255"/>
      <c r="F253" s="300"/>
      <c r="G253" s="300"/>
      <c r="H253" s="299">
        <v>1</v>
      </c>
      <c r="I253" s="298"/>
      <c r="J253" s="298"/>
      <c r="K253" s="298"/>
      <c r="L253" s="298"/>
      <c r="M253" s="298"/>
      <c r="N253" s="298"/>
      <c r="O253" s="298"/>
      <c r="P253" s="409">
        <f t="shared" si="21"/>
        <v>1</v>
      </c>
      <c r="Q253" s="66"/>
    </row>
    <row r="254" spans="1:17" ht="15" outlineLevel="1" x14ac:dyDescent="0.25">
      <c r="A254" s="591"/>
      <c r="B254" s="276">
        <v>6</v>
      </c>
      <c r="C254" s="257" t="s">
        <v>7</v>
      </c>
      <c r="D254" s="255" t="s">
        <v>34</v>
      </c>
      <c r="E254" s="255"/>
      <c r="F254" s="300"/>
      <c r="G254" s="300"/>
      <c r="H254" s="299">
        <v>0</v>
      </c>
      <c r="I254" s="298"/>
      <c r="J254" s="298"/>
      <c r="K254" s="298"/>
      <c r="L254" s="298"/>
      <c r="M254" s="298"/>
      <c r="N254" s="298"/>
      <c r="O254" s="298"/>
      <c r="P254" s="409">
        <f t="shared" si="21"/>
        <v>0</v>
      </c>
      <c r="Q254" s="66"/>
    </row>
    <row r="255" spans="1:17" ht="28.5" outlineLevel="1" x14ac:dyDescent="0.25">
      <c r="A255" s="591"/>
      <c r="B255" s="276">
        <v>7</v>
      </c>
      <c r="C255" s="257" t="s">
        <v>33</v>
      </c>
      <c r="D255" s="255" t="s">
        <v>34</v>
      </c>
      <c r="E255" s="255"/>
      <c r="F255" s="300"/>
      <c r="G255" s="300"/>
      <c r="H255" s="299">
        <v>0</v>
      </c>
      <c r="I255" s="298"/>
      <c r="J255" s="298"/>
      <c r="K255" s="298"/>
      <c r="L255" s="298"/>
      <c r="M255" s="298"/>
      <c r="N255" s="298"/>
      <c r="O255" s="298"/>
      <c r="P255" s="409">
        <f t="shared" si="21"/>
        <v>0</v>
      </c>
      <c r="Q255" s="66"/>
    </row>
    <row r="256" spans="1:17" ht="25.5" customHeight="1" outlineLevel="1" x14ac:dyDescent="0.25">
      <c r="A256" s="591"/>
      <c r="B256" s="276">
        <v>8</v>
      </c>
      <c r="C256" s="257" t="s">
        <v>26</v>
      </c>
      <c r="D256" s="255" t="s">
        <v>34</v>
      </c>
      <c r="E256" s="255"/>
      <c r="F256" s="300"/>
      <c r="G256" s="300"/>
      <c r="H256" s="299">
        <v>0</v>
      </c>
      <c r="I256" s="298"/>
      <c r="J256" s="298"/>
      <c r="K256" s="298"/>
      <c r="L256" s="298"/>
      <c r="M256" s="298"/>
      <c r="N256" s="298"/>
      <c r="O256" s="298"/>
      <c r="P256" s="409">
        <f t="shared" si="21"/>
        <v>0</v>
      </c>
      <c r="Q256" s="66"/>
    </row>
    <row r="257" spans="1:17" ht="15" outlineLevel="1" x14ac:dyDescent="0.25">
      <c r="A257" s="591"/>
      <c r="B257" s="276">
        <v>9</v>
      </c>
      <c r="C257" s="257" t="s">
        <v>8</v>
      </c>
      <c r="D257" s="255" t="s">
        <v>34</v>
      </c>
      <c r="E257" s="255"/>
      <c r="F257" s="300"/>
      <c r="G257" s="300"/>
      <c r="H257" s="299">
        <v>1</v>
      </c>
      <c r="I257" s="298"/>
      <c r="J257" s="298"/>
      <c r="K257" s="298"/>
      <c r="L257" s="298"/>
      <c r="M257" s="298"/>
      <c r="N257" s="298"/>
      <c r="O257" s="298"/>
      <c r="P257" s="409">
        <f t="shared" si="21"/>
        <v>1</v>
      </c>
      <c r="Q257" s="66"/>
    </row>
    <row r="258" spans="1:17" ht="15" outlineLevel="1" x14ac:dyDescent="0.25">
      <c r="A258" s="591"/>
      <c r="B258" s="276"/>
      <c r="C258" s="258" t="s">
        <v>258</v>
      </c>
      <c r="D258" s="255" t="s">
        <v>254</v>
      </c>
      <c r="E258" s="255"/>
      <c r="F258" s="300"/>
      <c r="G258" s="300"/>
      <c r="H258" s="297"/>
      <c r="I258" s="298"/>
      <c r="J258" s="298"/>
      <c r="K258" s="298"/>
      <c r="L258" s="298"/>
      <c r="M258" s="298"/>
      <c r="N258" s="298"/>
      <c r="O258" s="298"/>
      <c r="P258" s="409"/>
      <c r="Q258" s="66"/>
    </row>
    <row r="259" spans="1:17" ht="15" outlineLevel="1" x14ac:dyDescent="0.25">
      <c r="A259" s="591"/>
      <c r="B259" s="276"/>
      <c r="C259" s="580"/>
      <c r="D259" s="580"/>
      <c r="E259" s="270"/>
      <c r="F259" s="300"/>
      <c r="G259" s="300"/>
      <c r="H259" s="297"/>
      <c r="I259" s="298"/>
      <c r="J259" s="298"/>
      <c r="K259" s="298"/>
      <c r="L259" s="298"/>
      <c r="M259" s="298"/>
      <c r="N259" s="298"/>
      <c r="O259" s="298"/>
      <c r="P259" s="409"/>
      <c r="Q259" s="66"/>
    </row>
    <row r="260" spans="1:17" ht="15" outlineLevel="1" x14ac:dyDescent="0.25">
      <c r="A260" s="591"/>
      <c r="B260" s="276"/>
      <c r="C260" s="580"/>
      <c r="D260" s="580"/>
      <c r="E260" s="270"/>
      <c r="F260" s="300"/>
      <c r="G260" s="300"/>
      <c r="H260" s="297"/>
      <c r="I260" s="298"/>
      <c r="J260" s="298"/>
      <c r="K260" s="298"/>
      <c r="L260" s="298"/>
      <c r="M260" s="298"/>
      <c r="N260" s="298"/>
      <c r="O260" s="298"/>
      <c r="P260" s="409"/>
      <c r="Q260" s="66"/>
    </row>
    <row r="261" spans="1:17" ht="15" outlineLevel="1" x14ac:dyDescent="0.25">
      <c r="A261" s="591"/>
      <c r="B261" s="276"/>
      <c r="C261" s="580"/>
      <c r="D261" s="580"/>
      <c r="E261" s="270"/>
      <c r="F261" s="300"/>
      <c r="G261" s="300"/>
      <c r="H261" s="297"/>
      <c r="I261" s="298"/>
      <c r="J261" s="298"/>
      <c r="K261" s="298"/>
      <c r="L261" s="298"/>
      <c r="M261" s="298"/>
      <c r="N261" s="298"/>
      <c r="O261" s="298"/>
      <c r="P261" s="409"/>
      <c r="Q261" s="66"/>
    </row>
    <row r="262" spans="1:17" s="42" customFormat="1" ht="15" outlineLevel="1" x14ac:dyDescent="0.25">
      <c r="A262" s="591"/>
      <c r="B262" s="387"/>
      <c r="C262" s="593" t="s">
        <v>9</v>
      </c>
      <c r="D262" s="593"/>
      <c r="E262" s="388"/>
      <c r="F262" s="389"/>
      <c r="G262" s="389"/>
      <c r="H262" s="389"/>
      <c r="I262" s="389"/>
      <c r="J262" s="389"/>
      <c r="K262" s="389"/>
      <c r="L262" s="389"/>
      <c r="M262" s="389"/>
      <c r="N262" s="389"/>
      <c r="O262" s="389"/>
      <c r="P262" s="390"/>
      <c r="Q262" s="150"/>
    </row>
    <row r="263" spans="1:17" ht="15" outlineLevel="1" x14ac:dyDescent="0.25">
      <c r="A263" s="591"/>
      <c r="B263" s="151">
        <v>10</v>
      </c>
      <c r="C263" s="259" t="s">
        <v>27</v>
      </c>
      <c r="D263" s="255" t="s">
        <v>34</v>
      </c>
      <c r="E263" s="255">
        <v>12</v>
      </c>
      <c r="F263" s="300"/>
      <c r="G263" s="300"/>
      <c r="H263" s="297"/>
      <c r="I263" s="299">
        <v>0.14199999999999999</v>
      </c>
      <c r="J263" s="299">
        <v>0.85799999999999998</v>
      </c>
      <c r="K263" s="299">
        <v>0</v>
      </c>
      <c r="L263" s="298"/>
      <c r="M263" s="298"/>
      <c r="N263" s="298"/>
      <c r="O263" s="298"/>
      <c r="P263" s="409">
        <f t="shared" ref="P263:P270" si="22">SUM(H263:O263)</f>
        <v>1</v>
      </c>
      <c r="Q263" s="66"/>
    </row>
    <row r="264" spans="1:17" ht="15" outlineLevel="1" x14ac:dyDescent="0.25">
      <c r="A264" s="591"/>
      <c r="B264" s="151">
        <v>11</v>
      </c>
      <c r="C264" s="257" t="s">
        <v>25</v>
      </c>
      <c r="D264" s="255" t="s">
        <v>34</v>
      </c>
      <c r="E264" s="255">
        <v>12</v>
      </c>
      <c r="F264" s="300"/>
      <c r="G264" s="300"/>
      <c r="H264" s="297"/>
      <c r="I264" s="299">
        <v>1</v>
      </c>
      <c r="J264" s="299">
        <v>0</v>
      </c>
      <c r="K264" s="299">
        <v>0</v>
      </c>
      <c r="L264" s="298"/>
      <c r="M264" s="298"/>
      <c r="N264" s="298"/>
      <c r="O264" s="298"/>
      <c r="P264" s="409">
        <f t="shared" si="22"/>
        <v>1</v>
      </c>
      <c r="Q264" s="66"/>
    </row>
    <row r="265" spans="1:17" ht="15" outlineLevel="1" x14ac:dyDescent="0.25">
      <c r="A265" s="591"/>
      <c r="B265" s="151">
        <v>12</v>
      </c>
      <c r="C265" s="257" t="s">
        <v>28</v>
      </c>
      <c r="D265" s="255" t="s">
        <v>34</v>
      </c>
      <c r="E265" s="255">
        <v>3</v>
      </c>
      <c r="F265" s="300"/>
      <c r="G265" s="300"/>
      <c r="H265" s="297"/>
      <c r="I265" s="299">
        <v>0</v>
      </c>
      <c r="J265" s="299">
        <v>0</v>
      </c>
      <c r="K265" s="299">
        <v>0</v>
      </c>
      <c r="L265" s="298"/>
      <c r="M265" s="298"/>
      <c r="N265" s="298"/>
      <c r="O265" s="298"/>
      <c r="P265" s="409">
        <f t="shared" si="22"/>
        <v>0</v>
      </c>
      <c r="Q265" s="66"/>
    </row>
    <row r="266" spans="1:17" ht="15" outlineLevel="1" x14ac:dyDescent="0.25">
      <c r="A266" s="591"/>
      <c r="B266" s="151">
        <v>13</v>
      </c>
      <c r="C266" s="257" t="s">
        <v>29</v>
      </c>
      <c r="D266" s="255" t="s">
        <v>34</v>
      </c>
      <c r="E266" s="255">
        <v>12</v>
      </c>
      <c r="F266" s="300"/>
      <c r="G266" s="300"/>
      <c r="H266" s="297"/>
      <c r="I266" s="299">
        <v>1</v>
      </c>
      <c r="J266" s="299">
        <v>0</v>
      </c>
      <c r="K266" s="299">
        <v>0</v>
      </c>
      <c r="L266" s="298"/>
      <c r="M266" s="298"/>
      <c r="N266" s="298"/>
      <c r="O266" s="298"/>
      <c r="P266" s="409">
        <f t="shared" si="22"/>
        <v>1</v>
      </c>
      <c r="Q266" s="66"/>
    </row>
    <row r="267" spans="1:17" ht="15" outlineLevel="1" x14ac:dyDescent="0.25">
      <c r="A267" s="591"/>
      <c r="B267" s="151">
        <v>14</v>
      </c>
      <c r="C267" s="257" t="s">
        <v>23</v>
      </c>
      <c r="D267" s="255" t="s">
        <v>34</v>
      </c>
      <c r="E267" s="255">
        <v>12</v>
      </c>
      <c r="F267" s="300"/>
      <c r="G267" s="300"/>
      <c r="H267" s="297"/>
      <c r="I267" s="299">
        <v>1</v>
      </c>
      <c r="J267" s="299">
        <v>0</v>
      </c>
      <c r="K267" s="299">
        <v>0</v>
      </c>
      <c r="L267" s="298"/>
      <c r="M267" s="298"/>
      <c r="N267" s="298"/>
      <c r="O267" s="298"/>
      <c r="P267" s="409">
        <f t="shared" si="22"/>
        <v>1</v>
      </c>
      <c r="Q267" s="66"/>
    </row>
    <row r="268" spans="1:17" ht="28.5" outlineLevel="1" x14ac:dyDescent="0.25">
      <c r="A268" s="591"/>
      <c r="B268" s="276">
        <v>15</v>
      </c>
      <c r="C268" s="257" t="s">
        <v>30</v>
      </c>
      <c r="D268" s="255" t="s">
        <v>34</v>
      </c>
      <c r="E268" s="255">
        <v>0</v>
      </c>
      <c r="F268" s="300"/>
      <c r="G268" s="300"/>
      <c r="H268" s="297"/>
      <c r="I268" s="299">
        <v>0</v>
      </c>
      <c r="J268" s="299">
        <v>0</v>
      </c>
      <c r="K268" s="299">
        <v>0</v>
      </c>
      <c r="L268" s="298"/>
      <c r="M268" s="298"/>
      <c r="N268" s="298"/>
      <c r="O268" s="298"/>
      <c r="P268" s="409">
        <f t="shared" si="22"/>
        <v>0</v>
      </c>
      <c r="Q268" s="66"/>
    </row>
    <row r="269" spans="1:17" ht="28.5" outlineLevel="1" x14ac:dyDescent="0.25">
      <c r="A269" s="591"/>
      <c r="B269" s="276">
        <v>16</v>
      </c>
      <c r="C269" s="257" t="s">
        <v>31</v>
      </c>
      <c r="D269" s="255" t="s">
        <v>34</v>
      </c>
      <c r="E269" s="255">
        <v>0</v>
      </c>
      <c r="F269" s="300"/>
      <c r="G269" s="300"/>
      <c r="H269" s="297"/>
      <c r="I269" s="299">
        <v>0</v>
      </c>
      <c r="J269" s="299">
        <v>0</v>
      </c>
      <c r="K269" s="299">
        <v>0</v>
      </c>
      <c r="L269" s="298"/>
      <c r="M269" s="298"/>
      <c r="N269" s="298"/>
      <c r="O269" s="298"/>
      <c r="P269" s="409">
        <f t="shared" si="22"/>
        <v>0</v>
      </c>
      <c r="Q269" s="66"/>
    </row>
    <row r="270" spans="1:17" ht="15" outlineLevel="1" x14ac:dyDescent="0.25">
      <c r="A270" s="591"/>
      <c r="B270" s="276">
        <v>17</v>
      </c>
      <c r="C270" s="257" t="s">
        <v>10</v>
      </c>
      <c r="D270" s="255" t="s">
        <v>34</v>
      </c>
      <c r="E270" s="255">
        <v>0</v>
      </c>
      <c r="F270" s="300"/>
      <c r="G270" s="300"/>
      <c r="H270" s="297"/>
      <c r="I270" s="299">
        <v>0</v>
      </c>
      <c r="J270" s="299">
        <v>0</v>
      </c>
      <c r="K270" s="299">
        <v>0</v>
      </c>
      <c r="L270" s="298"/>
      <c r="M270" s="298"/>
      <c r="N270" s="298"/>
      <c r="O270" s="298"/>
      <c r="P270" s="409">
        <f t="shared" si="22"/>
        <v>0</v>
      </c>
      <c r="Q270" s="66"/>
    </row>
    <row r="271" spans="1:17" ht="15" outlineLevel="1" x14ac:dyDescent="0.25">
      <c r="A271" s="591"/>
      <c r="B271" s="276"/>
      <c r="C271" s="258" t="s">
        <v>258</v>
      </c>
      <c r="D271" s="255" t="s">
        <v>254</v>
      </c>
      <c r="E271" s="255"/>
      <c r="F271" s="300"/>
      <c r="G271" s="300"/>
      <c r="H271" s="297"/>
      <c r="I271" s="298"/>
      <c r="J271" s="298"/>
      <c r="K271" s="298"/>
      <c r="L271" s="298"/>
      <c r="M271" s="298"/>
      <c r="N271" s="298"/>
      <c r="O271" s="298"/>
      <c r="P271" s="409"/>
      <c r="Q271" s="66"/>
    </row>
    <row r="272" spans="1:17" ht="15" outlineLevel="1" x14ac:dyDescent="0.25">
      <c r="A272" s="591"/>
      <c r="B272" s="276"/>
      <c r="C272" s="580"/>
      <c r="D272" s="580"/>
      <c r="E272" s="270"/>
      <c r="F272" s="300"/>
      <c r="G272" s="300"/>
      <c r="H272" s="297"/>
      <c r="I272" s="298"/>
      <c r="J272" s="298"/>
      <c r="K272" s="298"/>
      <c r="L272" s="298"/>
      <c r="M272" s="298"/>
      <c r="N272" s="298"/>
      <c r="O272" s="298"/>
      <c r="P272" s="409"/>
      <c r="Q272" s="66"/>
    </row>
    <row r="273" spans="1:17" ht="15" outlineLevel="1" x14ac:dyDescent="0.25">
      <c r="A273" s="591"/>
      <c r="B273" s="276"/>
      <c r="C273" s="580"/>
      <c r="D273" s="580"/>
      <c r="E273" s="270"/>
      <c r="F273" s="300"/>
      <c r="G273" s="300"/>
      <c r="H273" s="297"/>
      <c r="I273" s="298"/>
      <c r="J273" s="298"/>
      <c r="K273" s="298"/>
      <c r="L273" s="298"/>
      <c r="M273" s="298"/>
      <c r="N273" s="298"/>
      <c r="O273" s="298"/>
      <c r="P273" s="409"/>
      <c r="Q273" s="66"/>
    </row>
    <row r="274" spans="1:17" ht="15" outlineLevel="1" x14ac:dyDescent="0.25">
      <c r="A274" s="591"/>
      <c r="B274" s="276"/>
      <c r="C274" s="580"/>
      <c r="D274" s="580"/>
      <c r="E274" s="270"/>
      <c r="F274" s="300"/>
      <c r="G274" s="300"/>
      <c r="H274" s="297"/>
      <c r="I274" s="298"/>
      <c r="J274" s="298"/>
      <c r="K274" s="298"/>
      <c r="L274" s="298"/>
      <c r="M274" s="298"/>
      <c r="N274" s="298"/>
      <c r="O274" s="298"/>
      <c r="P274" s="409"/>
      <c r="Q274" s="66"/>
    </row>
    <row r="275" spans="1:17" s="42" customFormat="1" ht="15" outlineLevel="1" x14ac:dyDescent="0.25">
      <c r="A275" s="591"/>
      <c r="B275" s="387"/>
      <c r="C275" s="593" t="s">
        <v>11</v>
      </c>
      <c r="D275" s="593"/>
      <c r="E275" s="388"/>
      <c r="F275" s="389"/>
      <c r="G275" s="389"/>
      <c r="H275" s="389"/>
      <c r="I275" s="389"/>
      <c r="J275" s="389"/>
      <c r="K275" s="389"/>
      <c r="L275" s="389"/>
      <c r="M275" s="389"/>
      <c r="N275" s="389"/>
      <c r="O275" s="389"/>
      <c r="P275" s="390"/>
      <c r="Q275" s="150"/>
    </row>
    <row r="276" spans="1:17" ht="15" outlineLevel="1" x14ac:dyDescent="0.25">
      <c r="A276" s="591"/>
      <c r="B276" s="151">
        <v>18</v>
      </c>
      <c r="C276" s="257" t="s">
        <v>12</v>
      </c>
      <c r="D276" s="255" t="s">
        <v>34</v>
      </c>
      <c r="E276" s="255">
        <v>12</v>
      </c>
      <c r="F276" s="300"/>
      <c r="G276" s="300"/>
      <c r="H276" s="297"/>
      <c r="I276" s="298"/>
      <c r="J276" s="299">
        <v>0</v>
      </c>
      <c r="K276" s="299">
        <v>0</v>
      </c>
      <c r="L276" s="298"/>
      <c r="M276" s="298"/>
      <c r="N276" s="298"/>
      <c r="O276" s="298"/>
      <c r="P276" s="409">
        <f t="shared" ref="P276:P280" si="23">SUM(H276:O276)</f>
        <v>0</v>
      </c>
      <c r="Q276" s="66"/>
    </row>
    <row r="277" spans="1:17" ht="15" outlineLevel="1" x14ac:dyDescent="0.25">
      <c r="A277" s="591"/>
      <c r="B277" s="151">
        <v>19</v>
      </c>
      <c r="C277" s="257" t="s">
        <v>13</v>
      </c>
      <c r="D277" s="255" t="s">
        <v>34</v>
      </c>
      <c r="E277" s="255">
        <v>12</v>
      </c>
      <c r="F277" s="300"/>
      <c r="G277" s="300"/>
      <c r="H277" s="297"/>
      <c r="I277" s="298"/>
      <c r="J277" s="299">
        <v>0</v>
      </c>
      <c r="K277" s="299">
        <v>0</v>
      </c>
      <c r="L277" s="298"/>
      <c r="M277" s="298"/>
      <c r="N277" s="298"/>
      <c r="O277" s="298"/>
      <c r="P277" s="409">
        <f t="shared" si="23"/>
        <v>0</v>
      </c>
      <c r="Q277" s="66"/>
    </row>
    <row r="278" spans="1:17" ht="15" outlineLevel="1" x14ac:dyDescent="0.25">
      <c r="A278" s="591"/>
      <c r="B278" s="151">
        <v>20</v>
      </c>
      <c r="C278" s="257" t="s">
        <v>14</v>
      </c>
      <c r="D278" s="255" t="s">
        <v>34</v>
      </c>
      <c r="E278" s="255">
        <v>12</v>
      </c>
      <c r="F278" s="300"/>
      <c r="G278" s="300"/>
      <c r="H278" s="297"/>
      <c r="I278" s="298"/>
      <c r="J278" s="299">
        <v>0</v>
      </c>
      <c r="K278" s="299">
        <v>0</v>
      </c>
      <c r="L278" s="298"/>
      <c r="M278" s="298"/>
      <c r="N278" s="298"/>
      <c r="O278" s="298"/>
      <c r="P278" s="409">
        <f t="shared" si="23"/>
        <v>0</v>
      </c>
      <c r="Q278" s="66"/>
    </row>
    <row r="279" spans="1:17" ht="15" outlineLevel="1" x14ac:dyDescent="0.25">
      <c r="A279" s="591"/>
      <c r="B279" s="151">
        <v>21</v>
      </c>
      <c r="C279" s="259" t="s">
        <v>27</v>
      </c>
      <c r="D279" s="255" t="s">
        <v>34</v>
      </c>
      <c r="E279" s="255">
        <v>12</v>
      </c>
      <c r="F279" s="300"/>
      <c r="G279" s="300"/>
      <c r="H279" s="297"/>
      <c r="I279" s="298"/>
      <c r="J279" s="299">
        <v>0</v>
      </c>
      <c r="K279" s="299">
        <v>0</v>
      </c>
      <c r="L279" s="298"/>
      <c r="M279" s="298"/>
      <c r="N279" s="298"/>
      <c r="O279" s="298"/>
      <c r="P279" s="409">
        <f t="shared" si="23"/>
        <v>0</v>
      </c>
      <c r="Q279" s="66"/>
    </row>
    <row r="280" spans="1:17" ht="15" outlineLevel="1" x14ac:dyDescent="0.25">
      <c r="A280" s="591"/>
      <c r="B280" s="151">
        <v>22</v>
      </c>
      <c r="C280" s="257" t="s">
        <v>10</v>
      </c>
      <c r="D280" s="255" t="s">
        <v>34</v>
      </c>
      <c r="E280" s="255">
        <v>0</v>
      </c>
      <c r="F280" s="300"/>
      <c r="G280" s="300"/>
      <c r="H280" s="297"/>
      <c r="I280" s="298"/>
      <c r="J280" s="299">
        <v>0</v>
      </c>
      <c r="K280" s="299">
        <v>0</v>
      </c>
      <c r="L280" s="298"/>
      <c r="M280" s="298"/>
      <c r="N280" s="298"/>
      <c r="O280" s="298"/>
      <c r="P280" s="409">
        <f t="shared" si="23"/>
        <v>0</v>
      </c>
      <c r="Q280" s="66"/>
    </row>
    <row r="281" spans="1:17" ht="15" outlineLevel="1" x14ac:dyDescent="0.25">
      <c r="A281" s="591"/>
      <c r="B281" s="151"/>
      <c r="C281" s="258" t="s">
        <v>258</v>
      </c>
      <c r="D281" s="255" t="s">
        <v>254</v>
      </c>
      <c r="E281" s="255"/>
      <c r="F281" s="300"/>
      <c r="G281" s="300"/>
      <c r="H281" s="297"/>
      <c r="I281" s="298"/>
      <c r="J281" s="298"/>
      <c r="K281" s="298"/>
      <c r="L281" s="298"/>
      <c r="M281" s="298"/>
      <c r="N281" s="298"/>
      <c r="O281" s="298"/>
      <c r="P281" s="409"/>
      <c r="Q281" s="66"/>
    </row>
    <row r="282" spans="1:17" ht="15" outlineLevel="1" x14ac:dyDescent="0.25">
      <c r="A282" s="591"/>
      <c r="B282" s="151"/>
      <c r="C282" s="580"/>
      <c r="D282" s="580"/>
      <c r="E282" s="270"/>
      <c r="F282" s="300"/>
      <c r="G282" s="300"/>
      <c r="H282" s="297"/>
      <c r="I282" s="298"/>
      <c r="J282" s="298"/>
      <c r="K282" s="298"/>
      <c r="L282" s="298"/>
      <c r="M282" s="298"/>
      <c r="N282" s="298"/>
      <c r="O282" s="298"/>
      <c r="P282" s="409"/>
      <c r="Q282" s="66"/>
    </row>
    <row r="283" spans="1:17" ht="15" outlineLevel="1" x14ac:dyDescent="0.25">
      <c r="A283" s="591"/>
      <c r="B283" s="151"/>
      <c r="C283" s="580"/>
      <c r="D283" s="580"/>
      <c r="E283" s="270"/>
      <c r="F283" s="300"/>
      <c r="G283" s="300"/>
      <c r="H283" s="297"/>
      <c r="I283" s="298"/>
      <c r="J283" s="298"/>
      <c r="K283" s="298"/>
      <c r="L283" s="298"/>
      <c r="M283" s="298"/>
      <c r="N283" s="298"/>
      <c r="O283" s="298"/>
      <c r="P283" s="409"/>
      <c r="Q283" s="66"/>
    </row>
    <row r="284" spans="1:17" ht="15" outlineLevel="1" x14ac:dyDescent="0.25">
      <c r="A284" s="591"/>
      <c r="B284" s="151"/>
      <c r="C284" s="580"/>
      <c r="D284" s="580"/>
      <c r="E284" s="270"/>
      <c r="F284" s="300"/>
      <c r="G284" s="300"/>
      <c r="H284" s="297"/>
      <c r="I284" s="298"/>
      <c r="J284" s="298"/>
      <c r="K284" s="298"/>
      <c r="L284" s="298"/>
      <c r="M284" s="298"/>
      <c r="N284" s="298"/>
      <c r="O284" s="298"/>
      <c r="P284" s="409"/>
      <c r="Q284" s="66"/>
    </row>
    <row r="285" spans="1:17" s="42" customFormat="1" ht="15" outlineLevel="1" x14ac:dyDescent="0.25">
      <c r="A285" s="591"/>
      <c r="B285" s="387"/>
      <c r="C285" s="593" t="s">
        <v>15</v>
      </c>
      <c r="D285" s="593"/>
      <c r="E285" s="388"/>
      <c r="F285" s="389"/>
      <c r="G285" s="389"/>
      <c r="H285" s="389"/>
      <c r="I285" s="389"/>
      <c r="J285" s="389"/>
      <c r="K285" s="389"/>
      <c r="L285" s="389"/>
      <c r="M285" s="389"/>
      <c r="N285" s="389"/>
      <c r="O285" s="389"/>
      <c r="P285" s="390"/>
      <c r="Q285" s="150"/>
    </row>
    <row r="286" spans="1:17" ht="15" outlineLevel="1" x14ac:dyDescent="0.25">
      <c r="A286" s="591"/>
      <c r="B286" s="276">
        <v>23</v>
      </c>
      <c r="C286" s="257" t="s">
        <v>15</v>
      </c>
      <c r="D286" s="255" t="s">
        <v>34</v>
      </c>
      <c r="E286" s="255"/>
      <c r="F286" s="300"/>
      <c r="G286" s="300"/>
      <c r="H286" s="299">
        <v>1</v>
      </c>
      <c r="I286" s="298"/>
      <c r="J286" s="298"/>
      <c r="K286" s="298"/>
      <c r="L286" s="298"/>
      <c r="M286" s="298"/>
      <c r="N286" s="298"/>
      <c r="O286" s="298"/>
      <c r="P286" s="409">
        <f t="shared" ref="P286" si="24">SUM(H286:O286)</f>
        <v>1</v>
      </c>
      <c r="Q286" s="66"/>
    </row>
    <row r="287" spans="1:17" ht="15" outlineLevel="1" x14ac:dyDescent="0.25">
      <c r="A287" s="591"/>
      <c r="B287" s="276"/>
      <c r="C287" s="258" t="s">
        <v>258</v>
      </c>
      <c r="D287" s="255" t="s">
        <v>254</v>
      </c>
      <c r="E287" s="255"/>
      <c r="F287" s="300"/>
      <c r="G287" s="300"/>
      <c r="H287" s="297"/>
      <c r="I287" s="298"/>
      <c r="J287" s="298"/>
      <c r="K287" s="298"/>
      <c r="L287" s="298"/>
      <c r="M287" s="298"/>
      <c r="N287" s="298"/>
      <c r="O287" s="298"/>
      <c r="P287" s="409"/>
      <c r="Q287" s="66"/>
    </row>
    <row r="288" spans="1:17" ht="15" outlineLevel="1" x14ac:dyDescent="0.25">
      <c r="A288" s="591"/>
      <c r="B288" s="276"/>
      <c r="C288" s="580"/>
      <c r="D288" s="580"/>
      <c r="E288" s="270"/>
      <c r="F288" s="300"/>
      <c r="G288" s="300"/>
      <c r="H288" s="297"/>
      <c r="I288" s="298"/>
      <c r="J288" s="298"/>
      <c r="K288" s="298"/>
      <c r="L288" s="298"/>
      <c r="M288" s="298"/>
      <c r="N288" s="298"/>
      <c r="O288" s="298"/>
      <c r="P288" s="409"/>
      <c r="Q288" s="66"/>
    </row>
    <row r="289" spans="1:17" ht="15" outlineLevel="1" x14ac:dyDescent="0.25">
      <c r="A289" s="591"/>
      <c r="B289" s="276"/>
      <c r="C289" s="580"/>
      <c r="D289" s="580"/>
      <c r="E289" s="270"/>
      <c r="F289" s="300"/>
      <c r="G289" s="300"/>
      <c r="H289" s="297"/>
      <c r="I289" s="298"/>
      <c r="J289" s="298"/>
      <c r="K289" s="298"/>
      <c r="L289" s="298"/>
      <c r="M289" s="298"/>
      <c r="N289" s="298"/>
      <c r="O289" s="298"/>
      <c r="P289" s="409"/>
      <c r="Q289" s="66"/>
    </row>
    <row r="290" spans="1:17" s="42" customFormat="1" ht="15" outlineLevel="1" x14ac:dyDescent="0.25">
      <c r="A290" s="591"/>
      <c r="B290" s="387"/>
      <c r="C290" s="593" t="s">
        <v>16</v>
      </c>
      <c r="D290" s="593"/>
      <c r="E290" s="388"/>
      <c r="F290" s="389"/>
      <c r="G290" s="389"/>
      <c r="H290" s="389"/>
      <c r="I290" s="389"/>
      <c r="J290" s="389"/>
      <c r="K290" s="389"/>
      <c r="L290" s="389"/>
      <c r="M290" s="389"/>
      <c r="N290" s="389"/>
      <c r="O290" s="389"/>
      <c r="P290" s="390"/>
      <c r="Q290" s="150"/>
    </row>
    <row r="291" spans="1:17" ht="15" outlineLevel="1" x14ac:dyDescent="0.25">
      <c r="A291" s="591"/>
      <c r="B291" s="276">
        <v>24</v>
      </c>
      <c r="C291" s="257" t="s">
        <v>17</v>
      </c>
      <c r="D291" s="255" t="s">
        <v>34</v>
      </c>
      <c r="E291" s="255"/>
      <c r="F291" s="300"/>
      <c r="G291" s="300"/>
      <c r="H291" s="297"/>
      <c r="I291" s="298"/>
      <c r="J291" s="299">
        <v>0</v>
      </c>
      <c r="K291" s="299">
        <v>0</v>
      </c>
      <c r="L291" s="298"/>
      <c r="M291" s="298"/>
      <c r="N291" s="298"/>
      <c r="O291" s="298"/>
      <c r="P291" s="409">
        <f t="shared" ref="P291:P295" si="25">SUM(H291:O291)</f>
        <v>0</v>
      </c>
      <c r="Q291" s="66"/>
    </row>
    <row r="292" spans="1:17" ht="15" outlineLevel="1" x14ac:dyDescent="0.25">
      <c r="A292" s="591"/>
      <c r="B292" s="276">
        <v>25</v>
      </c>
      <c r="C292" s="257" t="s">
        <v>18</v>
      </c>
      <c r="D292" s="255" t="s">
        <v>34</v>
      </c>
      <c r="E292" s="255"/>
      <c r="F292" s="300"/>
      <c r="G292" s="300"/>
      <c r="H292" s="297"/>
      <c r="I292" s="298"/>
      <c r="J292" s="299">
        <v>0</v>
      </c>
      <c r="K292" s="299">
        <v>0</v>
      </c>
      <c r="L292" s="298"/>
      <c r="M292" s="298"/>
      <c r="N292" s="298"/>
      <c r="O292" s="298"/>
      <c r="P292" s="409">
        <f t="shared" si="25"/>
        <v>0</v>
      </c>
      <c r="Q292" s="66"/>
    </row>
    <row r="293" spans="1:17" ht="15" outlineLevel="1" x14ac:dyDescent="0.25">
      <c r="A293" s="591"/>
      <c r="B293" s="276">
        <v>26</v>
      </c>
      <c r="C293" s="257" t="s">
        <v>19</v>
      </c>
      <c r="D293" s="255" t="s">
        <v>34</v>
      </c>
      <c r="E293" s="255"/>
      <c r="F293" s="300"/>
      <c r="G293" s="300"/>
      <c r="H293" s="297"/>
      <c r="I293" s="298"/>
      <c r="J293" s="299">
        <v>0</v>
      </c>
      <c r="K293" s="299">
        <v>0</v>
      </c>
      <c r="L293" s="298"/>
      <c r="M293" s="298"/>
      <c r="N293" s="298"/>
      <c r="O293" s="298"/>
      <c r="P293" s="409">
        <f t="shared" si="25"/>
        <v>0</v>
      </c>
      <c r="Q293" s="66"/>
    </row>
    <row r="294" spans="1:17" ht="15" outlineLevel="1" x14ac:dyDescent="0.25">
      <c r="A294" s="591"/>
      <c r="B294" s="276">
        <v>27</v>
      </c>
      <c r="C294" s="257" t="s">
        <v>20</v>
      </c>
      <c r="D294" s="255" t="s">
        <v>34</v>
      </c>
      <c r="E294" s="255"/>
      <c r="F294" s="300"/>
      <c r="G294" s="300"/>
      <c r="H294" s="297"/>
      <c r="I294" s="298"/>
      <c r="J294" s="299">
        <v>0</v>
      </c>
      <c r="K294" s="299">
        <v>0</v>
      </c>
      <c r="L294" s="298"/>
      <c r="M294" s="298"/>
      <c r="N294" s="298"/>
      <c r="O294" s="298"/>
      <c r="P294" s="409">
        <f t="shared" si="25"/>
        <v>0</v>
      </c>
      <c r="Q294" s="66"/>
    </row>
    <row r="295" spans="1:17" ht="15" outlineLevel="1" x14ac:dyDescent="0.25">
      <c r="A295" s="591"/>
      <c r="B295" s="276">
        <v>28</v>
      </c>
      <c r="C295" s="257" t="s">
        <v>105</v>
      </c>
      <c r="D295" s="255" t="s">
        <v>34</v>
      </c>
      <c r="E295" s="255"/>
      <c r="F295" s="300"/>
      <c r="G295" s="300"/>
      <c r="H295" s="297"/>
      <c r="I295" s="298"/>
      <c r="J295" s="299">
        <v>0</v>
      </c>
      <c r="K295" s="299">
        <v>0</v>
      </c>
      <c r="L295" s="298"/>
      <c r="M295" s="298"/>
      <c r="N295" s="298"/>
      <c r="O295" s="298"/>
      <c r="P295" s="409">
        <f t="shared" si="25"/>
        <v>0</v>
      </c>
      <c r="Q295" s="66"/>
    </row>
    <row r="296" spans="1:17" ht="15" outlineLevel="1" x14ac:dyDescent="0.25">
      <c r="A296" s="591"/>
      <c r="B296" s="276"/>
      <c r="C296" s="258" t="s">
        <v>258</v>
      </c>
      <c r="D296" s="255" t="s">
        <v>254</v>
      </c>
      <c r="E296" s="255"/>
      <c r="F296" s="300"/>
      <c r="G296" s="300"/>
      <c r="H296" s="297"/>
      <c r="I296" s="298"/>
      <c r="J296" s="298"/>
      <c r="K296" s="298"/>
      <c r="L296" s="298"/>
      <c r="M296" s="298"/>
      <c r="N296" s="298"/>
      <c r="O296" s="298"/>
      <c r="P296" s="409"/>
      <c r="Q296" s="66"/>
    </row>
    <row r="297" spans="1:17" ht="15" outlineLevel="1" x14ac:dyDescent="0.25">
      <c r="A297" s="591"/>
      <c r="B297" s="276"/>
      <c r="C297" s="580"/>
      <c r="D297" s="580"/>
      <c r="E297" s="270"/>
      <c r="F297" s="300"/>
      <c r="G297" s="300"/>
      <c r="H297" s="297"/>
      <c r="I297" s="298"/>
      <c r="J297" s="298"/>
      <c r="K297" s="298"/>
      <c r="L297" s="298"/>
      <c r="M297" s="298"/>
      <c r="N297" s="298"/>
      <c r="O297" s="298"/>
      <c r="P297" s="409"/>
      <c r="Q297" s="66"/>
    </row>
    <row r="298" spans="1:17" ht="15" outlineLevel="1" x14ac:dyDescent="0.25">
      <c r="A298" s="591"/>
      <c r="B298" s="276"/>
      <c r="C298" s="580"/>
      <c r="D298" s="580"/>
      <c r="E298" s="270"/>
      <c r="F298" s="300"/>
      <c r="G298" s="300"/>
      <c r="H298" s="297"/>
      <c r="I298" s="298"/>
      <c r="J298" s="298"/>
      <c r="K298" s="298"/>
      <c r="L298" s="298"/>
      <c r="M298" s="298"/>
      <c r="N298" s="298"/>
      <c r="O298" s="298"/>
      <c r="P298" s="409"/>
      <c r="Q298" s="66"/>
    </row>
    <row r="299" spans="1:17" ht="15" outlineLevel="1" x14ac:dyDescent="0.25">
      <c r="A299" s="591"/>
      <c r="B299" s="276"/>
      <c r="C299" s="580"/>
      <c r="D299" s="580"/>
      <c r="E299" s="270"/>
      <c r="F299" s="300"/>
      <c r="G299" s="300"/>
      <c r="H299" s="297"/>
      <c r="I299" s="298"/>
      <c r="J299" s="298"/>
      <c r="K299" s="298"/>
      <c r="L299" s="298"/>
      <c r="M299" s="298"/>
      <c r="N299" s="298"/>
      <c r="O299" s="298"/>
      <c r="P299" s="409"/>
      <c r="Q299" s="66"/>
    </row>
    <row r="300" spans="1:17" s="42" customFormat="1" ht="15" outlineLevel="1" x14ac:dyDescent="0.25">
      <c r="A300" s="591"/>
      <c r="B300" s="387"/>
      <c r="C300" s="593" t="s">
        <v>106</v>
      </c>
      <c r="D300" s="593"/>
      <c r="E300" s="388"/>
      <c r="F300" s="389"/>
      <c r="G300" s="389"/>
      <c r="H300" s="389"/>
      <c r="I300" s="389"/>
      <c r="J300" s="389"/>
      <c r="K300" s="389"/>
      <c r="L300" s="389"/>
      <c r="M300" s="389"/>
      <c r="N300" s="389"/>
      <c r="O300" s="389"/>
      <c r="P300" s="390"/>
      <c r="Q300" s="150"/>
    </row>
    <row r="301" spans="1:17" ht="15" outlineLevel="1" x14ac:dyDescent="0.25">
      <c r="A301" s="591"/>
      <c r="B301" s="151">
        <v>29</v>
      </c>
      <c r="C301" s="257" t="s">
        <v>108</v>
      </c>
      <c r="D301" s="255" t="s">
        <v>34</v>
      </c>
      <c r="E301" s="255"/>
      <c r="F301" s="300"/>
      <c r="G301" s="300"/>
      <c r="H301" s="297"/>
      <c r="I301" s="298"/>
      <c r="J301" s="298"/>
      <c r="K301" s="298"/>
      <c r="L301" s="298"/>
      <c r="M301" s="298"/>
      <c r="N301" s="298"/>
      <c r="O301" s="298"/>
      <c r="P301" s="409">
        <f t="shared" ref="P301:P302" si="26">SUM(H301:O301)</f>
        <v>0</v>
      </c>
      <c r="Q301" s="66"/>
    </row>
    <row r="302" spans="1:17" ht="15" outlineLevel="1" x14ac:dyDescent="0.25">
      <c r="A302" s="591"/>
      <c r="B302" s="151">
        <v>30</v>
      </c>
      <c r="C302" s="257" t="s">
        <v>107</v>
      </c>
      <c r="D302" s="255" t="s">
        <v>34</v>
      </c>
      <c r="E302" s="255"/>
      <c r="F302" s="300"/>
      <c r="G302" s="300"/>
      <c r="H302" s="297"/>
      <c r="I302" s="298"/>
      <c r="J302" s="298"/>
      <c r="K302" s="298"/>
      <c r="L302" s="298"/>
      <c r="M302" s="298"/>
      <c r="N302" s="298"/>
      <c r="O302" s="298"/>
      <c r="P302" s="409">
        <f t="shared" si="26"/>
        <v>0</v>
      </c>
      <c r="Q302" s="66"/>
    </row>
    <row r="303" spans="1:17" ht="15" outlineLevel="1" x14ac:dyDescent="0.25">
      <c r="A303" s="591"/>
      <c r="B303" s="151"/>
      <c r="C303" s="258" t="s">
        <v>258</v>
      </c>
      <c r="D303" s="255" t="s">
        <v>254</v>
      </c>
      <c r="E303" s="255"/>
      <c r="F303" s="300"/>
      <c r="G303" s="300"/>
      <c r="H303" s="297"/>
      <c r="I303" s="298"/>
      <c r="J303" s="298"/>
      <c r="K303" s="298"/>
      <c r="L303" s="298"/>
      <c r="M303" s="298"/>
      <c r="N303" s="298"/>
      <c r="O303" s="298"/>
      <c r="P303" s="409"/>
      <c r="Q303" s="66"/>
    </row>
    <row r="304" spans="1:17" ht="15" outlineLevel="1" x14ac:dyDescent="0.25">
      <c r="A304" s="591"/>
      <c r="B304" s="151"/>
      <c r="C304" s="580"/>
      <c r="D304" s="580"/>
      <c r="E304" s="270"/>
      <c r="F304" s="300"/>
      <c r="G304" s="300"/>
      <c r="H304" s="297"/>
      <c r="I304" s="298"/>
      <c r="J304" s="298"/>
      <c r="K304" s="298"/>
      <c r="L304" s="298"/>
      <c r="M304" s="298"/>
      <c r="N304" s="298"/>
      <c r="O304" s="298"/>
      <c r="P304" s="409"/>
      <c r="Q304" s="66"/>
    </row>
    <row r="305" spans="1:17" s="42" customFormat="1" ht="15" outlineLevel="1" x14ac:dyDescent="0.25">
      <c r="A305" s="591"/>
      <c r="B305" s="152"/>
      <c r="C305" s="580"/>
      <c r="D305" s="580"/>
      <c r="E305" s="270"/>
      <c r="F305" s="300"/>
      <c r="G305" s="300"/>
      <c r="H305" s="406"/>
      <c r="I305" s="407"/>
      <c r="J305" s="407"/>
      <c r="K305" s="407"/>
      <c r="L305" s="407"/>
      <c r="M305" s="407"/>
      <c r="N305" s="407"/>
      <c r="O305" s="407"/>
      <c r="P305" s="410"/>
      <c r="Q305" s="150"/>
    </row>
    <row r="306" spans="1:17" ht="15" x14ac:dyDescent="0.25">
      <c r="A306" s="591"/>
      <c r="B306" s="357"/>
      <c r="C306" s="594" t="s">
        <v>222</v>
      </c>
      <c r="D306" s="594"/>
      <c r="E306" s="358"/>
      <c r="F306" s="359"/>
      <c r="G306" s="359"/>
      <c r="H306" s="360">
        <f>SUM(G249*H249,G250*H250,G251*H251,G252*H252,G253*H253,G254*H254,G257*H257,G286*H286,G255*H255,G256*H256)</f>
        <v>0</v>
      </c>
      <c r="I306" s="360">
        <f>SUM(G263*I263,G264*I264,G266*I266,G267*I267,G268*I268,G269*I269,G270*I270,G265*I265)</f>
        <v>0</v>
      </c>
      <c r="J306" s="361"/>
      <c r="K306" s="358"/>
      <c r="L306" s="358"/>
      <c r="M306" s="358"/>
      <c r="N306" s="360"/>
      <c r="O306" s="358"/>
      <c r="P306" s="362">
        <f>SUM(H306:O306)</f>
        <v>0</v>
      </c>
      <c r="Q306" s="66"/>
    </row>
    <row r="307" spans="1:17" ht="15" x14ac:dyDescent="0.25">
      <c r="A307" s="591"/>
      <c r="B307" s="499"/>
      <c r="C307" s="500" t="s">
        <v>505</v>
      </c>
      <c r="D307" s="500"/>
      <c r="E307" s="501"/>
      <c r="F307" s="502"/>
      <c r="G307" s="502"/>
      <c r="H307" s="503">
        <f>H306-SUM(G255*H255,G256*H256)</f>
        <v>0</v>
      </c>
      <c r="I307" s="503">
        <f>I306-SUM(G268*I268,G269*I269,G270*I270)</f>
        <v>0</v>
      </c>
      <c r="J307" s="504"/>
      <c r="K307" s="501"/>
      <c r="L307" s="501"/>
      <c r="M307" s="501"/>
      <c r="N307" s="501"/>
      <c r="O307" s="501"/>
      <c r="P307" s="505"/>
      <c r="Q307" s="66"/>
    </row>
    <row r="308" spans="1:17" ht="15" x14ac:dyDescent="0.25">
      <c r="A308" s="591"/>
      <c r="B308" s="277"/>
      <c r="C308" s="580" t="s">
        <v>319</v>
      </c>
      <c r="D308" s="580"/>
      <c r="E308" s="271"/>
      <c r="F308" s="269"/>
      <c r="G308" s="269"/>
      <c r="H308" s="271"/>
      <c r="I308" s="271"/>
      <c r="J308" s="272">
        <f>SUM($E$263*$F$263*J263,$E$264*$F$264*J264,$E$265*$F$265*J265,$E$266*$F$266*J266,$E$267*$F$267*J267,$E$276*$F$276*J276,$E$277*$F$277*J277,$E$278*$F$278*J278,$E$279*$F$279*J279,$F$291*J291,$F$292*J292,$F$293*J293,$F$294*J294,$F$295*J295)</f>
        <v>0</v>
      </c>
      <c r="K308" s="272">
        <f>SUM($E$263*$F$263*K263,$E$264*$F$264*K264,$E$265*$F$265*K265,$E$266*$F$266*K266,$E$267*$F$267*K267,$E$276*$F$276*K276,$E$277*$F$277*K277,$E$278*$F$278*K278,$E$279*$F$279*K279,$F$291*K291,$F$292*K292,$F$293*K293,$F$294*K294,$F$295*K295)</f>
        <v>0</v>
      </c>
      <c r="L308" s="272"/>
      <c r="M308" s="272"/>
      <c r="N308" s="271"/>
      <c r="O308" s="271"/>
      <c r="P308" s="278">
        <f>SUM(H308:O308)</f>
        <v>0</v>
      </c>
      <c r="Q308" s="66"/>
    </row>
    <row r="309" spans="1:17" ht="15" x14ac:dyDescent="0.25">
      <c r="A309" s="591"/>
      <c r="B309" s="277"/>
      <c r="C309" s="580" t="s">
        <v>501</v>
      </c>
      <c r="D309" s="580"/>
      <c r="E309" s="271"/>
      <c r="F309" s="269"/>
      <c r="G309" s="269"/>
      <c r="H309" s="271"/>
      <c r="I309" s="271"/>
      <c r="J309" s="272">
        <f>J308-($E$265*$F$265*J265)</f>
        <v>0</v>
      </c>
      <c r="K309" s="272">
        <f>K308-($E$265*$F$265*K265)</f>
        <v>0</v>
      </c>
      <c r="L309" s="271"/>
      <c r="M309" s="271"/>
      <c r="N309" s="271"/>
      <c r="O309" s="271"/>
      <c r="P309" s="278"/>
      <c r="Q309" s="66"/>
    </row>
    <row r="310" spans="1:17" ht="15" x14ac:dyDescent="0.25">
      <c r="A310" s="591"/>
      <c r="B310" s="279"/>
      <c r="C310" s="522"/>
      <c r="D310" s="264"/>
      <c r="E310" s="264"/>
      <c r="F310" s="262"/>
      <c r="G310" s="262"/>
      <c r="H310" s="264"/>
      <c r="I310" s="264"/>
      <c r="J310" s="264"/>
      <c r="K310" s="264"/>
      <c r="L310" s="264"/>
      <c r="M310" s="264"/>
      <c r="N310" s="264"/>
      <c r="O310" s="264"/>
      <c r="P310" s="280"/>
      <c r="Q310" s="66"/>
    </row>
    <row r="311" spans="1:17" ht="15" x14ac:dyDescent="0.25">
      <c r="A311" s="591"/>
      <c r="B311" s="385"/>
      <c r="C311" s="578" t="s">
        <v>324</v>
      </c>
      <c r="D311" s="578"/>
      <c r="E311" s="255"/>
      <c r="F311" s="266"/>
      <c r="G311" s="255"/>
      <c r="H311" s="267">
        <f>'3.  Distribution Rates'!H33</f>
        <v>1.6199999999999999E-2</v>
      </c>
      <c r="I311" s="267">
        <f>'3.  Distribution Rates'!H34</f>
        <v>1.24E-2</v>
      </c>
      <c r="J311" s="267">
        <f>'3.  Distribution Rates'!H35</f>
        <v>4.42</v>
      </c>
      <c r="K311" s="267">
        <f>'3.  Distribution Rates'!H36</f>
        <v>0</v>
      </c>
      <c r="L311" s="267">
        <f>'3.  Distribution Rates'!H37</f>
        <v>0</v>
      </c>
      <c r="M311" s="267">
        <f>'3.  Distribution Rates'!H38</f>
        <v>4.6513</v>
      </c>
      <c r="N311" s="267">
        <f>'3.  Distribution Rates'!H39</f>
        <v>1.34E-2</v>
      </c>
      <c r="O311" s="267"/>
      <c r="P311" s="386"/>
      <c r="Q311" s="66"/>
    </row>
    <row r="312" spans="1:17" ht="15" x14ac:dyDescent="0.25">
      <c r="A312" s="591"/>
      <c r="B312" s="385"/>
      <c r="C312" s="578" t="s">
        <v>239</v>
      </c>
      <c r="D312" s="578"/>
      <c r="E312" s="264"/>
      <c r="F312" s="266"/>
      <c r="G312" s="266"/>
      <c r="H312" s="382">
        <f>H76*H311</f>
        <v>0</v>
      </c>
      <c r="I312" s="382">
        <f t="shared" ref="I312:N312" si="27">I76*I311</f>
        <v>0</v>
      </c>
      <c r="J312" s="382">
        <f t="shared" si="27"/>
        <v>0</v>
      </c>
      <c r="K312" s="382">
        <f t="shared" si="27"/>
        <v>0</v>
      </c>
      <c r="L312" s="382">
        <f t="shared" si="27"/>
        <v>0</v>
      </c>
      <c r="M312" s="382">
        <f t="shared" si="27"/>
        <v>0</v>
      </c>
      <c r="N312" s="382">
        <f t="shared" si="27"/>
        <v>0</v>
      </c>
      <c r="O312" s="255"/>
      <c r="P312" s="281">
        <f>SUM(H312:O312)</f>
        <v>0</v>
      </c>
      <c r="Q312" s="66"/>
    </row>
    <row r="313" spans="1:17" ht="15" x14ac:dyDescent="0.25">
      <c r="A313" s="591"/>
      <c r="B313" s="385"/>
      <c r="C313" s="578" t="s">
        <v>240</v>
      </c>
      <c r="D313" s="578"/>
      <c r="E313" s="264"/>
      <c r="F313" s="266"/>
      <c r="G313" s="266"/>
      <c r="H313" s="382">
        <f>H155*H311</f>
        <v>0</v>
      </c>
      <c r="I313" s="382">
        <f t="shared" ref="I313:N313" si="28">I155*I311</f>
        <v>0</v>
      </c>
      <c r="J313" s="382">
        <f t="shared" si="28"/>
        <v>0</v>
      </c>
      <c r="K313" s="382">
        <f t="shared" si="28"/>
        <v>0</v>
      </c>
      <c r="L313" s="382">
        <f t="shared" si="28"/>
        <v>0</v>
      </c>
      <c r="M313" s="382">
        <f t="shared" si="28"/>
        <v>0</v>
      </c>
      <c r="N313" s="382">
        <f t="shared" si="28"/>
        <v>0</v>
      </c>
      <c r="O313" s="255"/>
      <c r="P313" s="281">
        <f>SUM(H313:O313)</f>
        <v>0</v>
      </c>
      <c r="Q313" s="66"/>
    </row>
    <row r="314" spans="1:17" ht="15" x14ac:dyDescent="0.25">
      <c r="A314" s="591"/>
      <c r="B314" s="385"/>
      <c r="C314" s="578" t="s">
        <v>241</v>
      </c>
      <c r="D314" s="578"/>
      <c r="E314" s="264"/>
      <c r="F314" s="266"/>
      <c r="G314" s="266"/>
      <c r="H314" s="382">
        <f>H235*H311</f>
        <v>0</v>
      </c>
      <c r="I314" s="382">
        <f t="shared" ref="I314:N314" si="29">I235*I311</f>
        <v>0</v>
      </c>
      <c r="J314" s="382">
        <f t="shared" si="29"/>
        <v>0</v>
      </c>
      <c r="K314" s="382">
        <f t="shared" si="29"/>
        <v>0</v>
      </c>
      <c r="L314" s="382">
        <f t="shared" si="29"/>
        <v>0</v>
      </c>
      <c r="M314" s="382">
        <f t="shared" si="29"/>
        <v>0</v>
      </c>
      <c r="N314" s="382">
        <f t="shared" si="29"/>
        <v>0</v>
      </c>
      <c r="O314" s="255"/>
      <c r="P314" s="281">
        <f t="shared" ref="P314" si="30">SUM(H314:O314)</f>
        <v>0</v>
      </c>
      <c r="Q314" s="66"/>
    </row>
    <row r="315" spans="1:17" ht="15" x14ac:dyDescent="0.25">
      <c r="A315" s="591"/>
      <c r="B315" s="385"/>
      <c r="C315" s="578" t="s">
        <v>242</v>
      </c>
      <c r="D315" s="578"/>
      <c r="E315" s="264"/>
      <c r="F315" s="266"/>
      <c r="G315" s="266"/>
      <c r="H315" s="382">
        <f>H306*H311</f>
        <v>0</v>
      </c>
      <c r="I315" s="382">
        <f>I306*I311</f>
        <v>0</v>
      </c>
      <c r="J315" s="382">
        <f>J308*J311</f>
        <v>0</v>
      </c>
      <c r="K315" s="382">
        <f>K308*K311</f>
        <v>0</v>
      </c>
      <c r="L315" s="382">
        <f>L308*L311</f>
        <v>0</v>
      </c>
      <c r="M315" s="382">
        <f>M308*M311</f>
        <v>0</v>
      </c>
      <c r="N315" s="382">
        <f>N306*N311</f>
        <v>0</v>
      </c>
      <c r="O315" s="255"/>
      <c r="P315" s="281">
        <f>SUM(H315:O315)</f>
        <v>0</v>
      </c>
      <c r="Q315" s="66"/>
    </row>
    <row r="316" spans="1:17" ht="15" x14ac:dyDescent="0.25">
      <c r="A316" s="591"/>
      <c r="B316" s="279"/>
      <c r="C316" s="383" t="s">
        <v>207</v>
      </c>
      <c r="D316" s="264"/>
      <c r="E316" s="264"/>
      <c r="F316" s="262"/>
      <c r="G316" s="262"/>
      <c r="H316" s="268">
        <f>SUM(H312:H315)</f>
        <v>0</v>
      </c>
      <c r="I316" s="268">
        <f>SUM(I312:I315)</f>
        <v>0</v>
      </c>
      <c r="J316" s="268">
        <f>SUM(J312:J315)</f>
        <v>0</v>
      </c>
      <c r="K316" s="268">
        <f>SUM(K312:K315)</f>
        <v>0</v>
      </c>
      <c r="L316" s="268">
        <f t="shared" ref="L316:N316" si="31">SUM(L312:L315)</f>
        <v>0</v>
      </c>
      <c r="M316" s="268">
        <f t="shared" si="31"/>
        <v>0</v>
      </c>
      <c r="N316" s="268">
        <f t="shared" si="31"/>
        <v>0</v>
      </c>
      <c r="O316" s="264"/>
      <c r="P316" s="282">
        <f>SUM(P312:P315)</f>
        <v>0</v>
      </c>
      <c r="Q316" s="66"/>
    </row>
    <row r="317" spans="1:17" x14ac:dyDescent="0.25">
      <c r="B317" s="411"/>
      <c r="C317" s="578" t="s">
        <v>437</v>
      </c>
      <c r="D317" s="578"/>
      <c r="E317" s="54"/>
      <c r="F317" s="44"/>
      <c r="G317" s="44"/>
      <c r="H317" s="255">
        <f>$H$307*'6.  Persistence Rates'!$H$28</f>
        <v>0</v>
      </c>
      <c r="I317" s="255">
        <f>I307*'6.  Persistence Rates'!$H$28</f>
        <v>0</v>
      </c>
      <c r="J317" s="255">
        <f>$J$309*'6.  Persistence Rates'!$T$28</f>
        <v>0</v>
      </c>
      <c r="K317" s="255">
        <f>$K$309*'6.  Persistence Rates'!$T$28</f>
        <v>0</v>
      </c>
      <c r="L317" s="255">
        <f>$L$308*'6.  Persistence Rates'!$T$28</f>
        <v>0</v>
      </c>
      <c r="M317" s="255">
        <f>$M$308*'6.  Persistence Rates'!$T$28</f>
        <v>0</v>
      </c>
      <c r="N317" s="255">
        <f>$N$306*'6.  Persistence Rates'!$H$28</f>
        <v>0</v>
      </c>
      <c r="O317" s="44"/>
      <c r="P317" s="412"/>
    </row>
    <row r="318" spans="1:17" x14ac:dyDescent="0.25">
      <c r="B318" s="411"/>
      <c r="C318" s="578" t="s">
        <v>438</v>
      </c>
      <c r="D318" s="578"/>
      <c r="E318" s="54"/>
      <c r="F318" s="44"/>
      <c r="G318" s="44"/>
      <c r="H318" s="255">
        <f>$H$307*'6.  Persistence Rates'!$I$28</f>
        <v>0</v>
      </c>
      <c r="I318" s="255">
        <f>$I$307*'6.  Persistence Rates'!$I$28</f>
        <v>0</v>
      </c>
      <c r="J318" s="255">
        <f>$J$309*'6.  Persistence Rates'!$U$28</f>
        <v>0</v>
      </c>
      <c r="K318" s="255">
        <f>$K$309*'6.  Persistence Rates'!$U$28</f>
        <v>0</v>
      </c>
      <c r="L318" s="255">
        <f>$L$308*'6.  Persistence Rates'!$U$28</f>
        <v>0</v>
      </c>
      <c r="M318" s="255">
        <f>$M$308*'6.  Persistence Rates'!$U$28</f>
        <v>0</v>
      </c>
      <c r="N318" s="255">
        <f>$N$306*'6.  Persistence Rates'!$I$28</f>
        <v>0</v>
      </c>
      <c r="O318" s="44"/>
      <c r="P318" s="412"/>
    </row>
    <row r="319" spans="1:17" x14ac:dyDescent="0.25">
      <c r="B319" s="411"/>
      <c r="C319" s="578" t="s">
        <v>439</v>
      </c>
      <c r="D319" s="578"/>
      <c r="E319" s="54"/>
      <c r="F319" s="44"/>
      <c r="G319" s="44"/>
      <c r="H319" s="255">
        <f>$H$307*'6.  Persistence Rates'!$J$28</f>
        <v>0</v>
      </c>
      <c r="I319" s="255">
        <f>$I$307*'6.  Persistence Rates'!$J$28</f>
        <v>0</v>
      </c>
      <c r="J319" s="255">
        <f>$J$309*'6.  Persistence Rates'!$V$28</f>
        <v>0</v>
      </c>
      <c r="K319" s="255">
        <f>$K$309*'6.  Persistence Rates'!$V$28</f>
        <v>0</v>
      </c>
      <c r="L319" s="255">
        <f>$L$308*'6.  Persistence Rates'!$V$28</f>
        <v>0</v>
      </c>
      <c r="M319" s="255">
        <f>$M$308*'6.  Persistence Rates'!$V$28</f>
        <v>0</v>
      </c>
      <c r="N319" s="255">
        <f>$N$306*'6.  Persistence Rates'!$J$28</f>
        <v>0</v>
      </c>
      <c r="O319" s="44"/>
      <c r="P319" s="412"/>
    </row>
    <row r="320" spans="1:17" x14ac:dyDescent="0.25">
      <c r="B320" s="411"/>
      <c r="C320" s="578" t="s">
        <v>440</v>
      </c>
      <c r="D320" s="578"/>
      <c r="E320" s="54"/>
      <c r="F320" s="44"/>
      <c r="G320" s="44"/>
      <c r="H320" s="255">
        <f>$H$307*'6.  Persistence Rates'!$K$28</f>
        <v>0</v>
      </c>
      <c r="I320" s="255">
        <f>$I$307*'6.  Persistence Rates'!$K$28</f>
        <v>0</v>
      </c>
      <c r="J320" s="255">
        <f>$J$309*'6.  Persistence Rates'!$W$28</f>
        <v>0</v>
      </c>
      <c r="K320" s="255">
        <f>$K$309*'6.  Persistence Rates'!$W$28</f>
        <v>0</v>
      </c>
      <c r="L320" s="255">
        <f>$L$308*'6.  Persistence Rates'!$W$28</f>
        <v>0</v>
      </c>
      <c r="M320" s="255">
        <f>$M$308*'6.  Persistence Rates'!$W$28</f>
        <v>0</v>
      </c>
      <c r="N320" s="255">
        <f>$N$306*'6.  Persistence Rates'!$K$28</f>
        <v>0</v>
      </c>
      <c r="O320" s="44"/>
      <c r="P320" s="412"/>
    </row>
    <row r="321" spans="2:16" x14ac:dyDescent="0.25">
      <c r="B321" s="411"/>
      <c r="C321" s="578" t="s">
        <v>441</v>
      </c>
      <c r="D321" s="578"/>
      <c r="E321" s="54"/>
      <c r="F321" s="44"/>
      <c r="G321" s="44"/>
      <c r="H321" s="255">
        <f>$H$307*'6.  Persistence Rates'!$L$28</f>
        <v>0</v>
      </c>
      <c r="I321" s="255">
        <f>$I$307*'6.  Persistence Rates'!$L$28</f>
        <v>0</v>
      </c>
      <c r="J321" s="255">
        <f>$J$309*'6.  Persistence Rates'!$X$28</f>
        <v>0</v>
      </c>
      <c r="K321" s="255">
        <f>$K$309*'6.  Persistence Rates'!$X$28</f>
        <v>0</v>
      </c>
      <c r="L321" s="255">
        <f>$L$308*'6.  Persistence Rates'!$X$28</f>
        <v>0</v>
      </c>
      <c r="M321" s="255">
        <f>$M$308*'6.  Persistence Rates'!$X$28</f>
        <v>0</v>
      </c>
      <c r="N321" s="255">
        <f>$N$306*'6.  Persistence Rates'!$L$28</f>
        <v>0</v>
      </c>
      <c r="O321" s="44"/>
      <c r="P321" s="412"/>
    </row>
    <row r="322" spans="2:16" x14ac:dyDescent="0.25">
      <c r="B322" s="413"/>
      <c r="C322" s="579" t="s">
        <v>442</v>
      </c>
      <c r="D322" s="579"/>
      <c r="E322" s="414"/>
      <c r="F322" s="112"/>
      <c r="G322" s="112"/>
      <c r="H322" s="531">
        <f>$H$307*'6.  Persistence Rates'!$M$28</f>
        <v>0</v>
      </c>
      <c r="I322" s="531">
        <f>$I$307*'6.  Persistence Rates'!$M$28</f>
        <v>0</v>
      </c>
      <c r="J322" s="531">
        <f>$J$309*'6.  Persistence Rates'!$Y$28</f>
        <v>0</v>
      </c>
      <c r="K322" s="531">
        <f>$K$309*'6.  Persistence Rates'!$Y$28</f>
        <v>0</v>
      </c>
      <c r="L322" s="531">
        <f>$L$308*'6.  Persistence Rates'!$Y$28</f>
        <v>0</v>
      </c>
      <c r="M322" s="531">
        <f>$M$308*'6.  Persistence Rates'!$Y$28</f>
        <v>0</v>
      </c>
      <c r="N322" s="531">
        <f>$N$306*'6.  Persistence Rates'!$M$28</f>
        <v>0</v>
      </c>
      <c r="O322" s="112"/>
      <c r="P322" s="415"/>
    </row>
  </sheetData>
  <mergeCells count="158">
    <mergeCell ref="B19:B20"/>
    <mergeCell ref="D13:E13"/>
    <mergeCell ref="D14:E14"/>
    <mergeCell ref="B3:P3"/>
    <mergeCell ref="C12:C14"/>
    <mergeCell ref="D246:D247"/>
    <mergeCell ref="E166:E167"/>
    <mergeCell ref="E246:E247"/>
    <mergeCell ref="C225:D225"/>
    <mergeCell ref="C227:D227"/>
    <mergeCell ref="C229:D229"/>
    <mergeCell ref="C230:D230"/>
    <mergeCell ref="C70:D70"/>
    <mergeCell ref="C44:D44"/>
    <mergeCell ref="D19:D20"/>
    <mergeCell ref="C53:D53"/>
    <mergeCell ref="C58:D58"/>
    <mergeCell ref="H19:P19"/>
    <mergeCell ref="B17:P17"/>
    <mergeCell ref="C69:D69"/>
    <mergeCell ref="C71:D71"/>
    <mergeCell ref="C31:D31"/>
    <mergeCell ref="C32:D32"/>
    <mergeCell ref="C145:D145"/>
    <mergeCell ref="E19:E20"/>
    <mergeCell ref="C150:D150"/>
    <mergeCell ref="C152:D152"/>
    <mergeCell ref="C124:D124"/>
    <mergeCell ref="C129:D129"/>
    <mergeCell ref="C89:D89"/>
    <mergeCell ref="C139:D139"/>
    <mergeCell ref="C42:D42"/>
    <mergeCell ref="C43:D43"/>
    <mergeCell ref="C51:D51"/>
    <mergeCell ref="C52:D52"/>
    <mergeCell ref="C56:D56"/>
    <mergeCell ref="C57:D57"/>
    <mergeCell ref="E87:E88"/>
    <mergeCell ref="D87:D88"/>
    <mergeCell ref="C75:D75"/>
    <mergeCell ref="C19:C20"/>
    <mergeCell ref="C21:D21"/>
    <mergeCell ref="C33:D33"/>
    <mergeCell ref="C72:D72"/>
    <mergeCell ref="C73:D73"/>
    <mergeCell ref="C67:D67"/>
    <mergeCell ref="C112:D112"/>
    <mergeCell ref="C113:D113"/>
    <mergeCell ref="A90:A155"/>
    <mergeCell ref="A21:A76"/>
    <mergeCell ref="C314:D314"/>
    <mergeCell ref="C313:D313"/>
    <mergeCell ref="C312:D312"/>
    <mergeCell ref="C275:D275"/>
    <mergeCell ref="C285:D285"/>
    <mergeCell ref="C290:D290"/>
    <mergeCell ref="C300:D300"/>
    <mergeCell ref="C306:D306"/>
    <mergeCell ref="C248:D248"/>
    <mergeCell ref="C262:D262"/>
    <mergeCell ref="C233:D233"/>
    <mergeCell ref="C232:D232"/>
    <mergeCell ref="C231:D231"/>
    <mergeCell ref="C235:D235"/>
    <mergeCell ref="B85:P85"/>
    <mergeCell ref="C147:D147"/>
    <mergeCell ref="C148:D148"/>
    <mergeCell ref="C149:D149"/>
    <mergeCell ref="B87:B88"/>
    <mergeCell ref="C87:C88"/>
    <mergeCell ref="H87:P87"/>
    <mergeCell ref="C76:D76"/>
    <mergeCell ref="A168:A235"/>
    <mergeCell ref="A248:A316"/>
    <mergeCell ref="C151:D151"/>
    <mergeCell ref="C154:D154"/>
    <mergeCell ref="C155:D155"/>
    <mergeCell ref="B164:P164"/>
    <mergeCell ref="B166:B167"/>
    <mergeCell ref="C166:C167"/>
    <mergeCell ref="C168:D168"/>
    <mergeCell ref="D166:D167"/>
    <mergeCell ref="H166:P166"/>
    <mergeCell ref="C182:D182"/>
    <mergeCell ref="C195:D195"/>
    <mergeCell ref="C205:D205"/>
    <mergeCell ref="C210:D210"/>
    <mergeCell ref="C219:D219"/>
    <mergeCell ref="C202:D202"/>
    <mergeCell ref="C203:D203"/>
    <mergeCell ref="C204:D204"/>
    <mergeCell ref="C208:D208"/>
    <mergeCell ref="C209:D209"/>
    <mergeCell ref="C180:D180"/>
    <mergeCell ref="C181:D181"/>
    <mergeCell ref="C192:D192"/>
    <mergeCell ref="C121:D121"/>
    <mergeCell ref="C64:D64"/>
    <mergeCell ref="C65:D65"/>
    <mergeCell ref="C66:D66"/>
    <mergeCell ref="C100:D100"/>
    <mergeCell ref="C101:D101"/>
    <mergeCell ref="C102:D102"/>
    <mergeCell ref="C114:D114"/>
    <mergeCell ref="C74:D74"/>
    <mergeCell ref="C137:D137"/>
    <mergeCell ref="C138:D138"/>
    <mergeCell ref="C143:D143"/>
    <mergeCell ref="C144:D144"/>
    <mergeCell ref="C179:D179"/>
    <mergeCell ref="C122:D122"/>
    <mergeCell ref="C123:D123"/>
    <mergeCell ref="C127:D127"/>
    <mergeCell ref="C128:D128"/>
    <mergeCell ref="C136:D136"/>
    <mergeCell ref="C193:D193"/>
    <mergeCell ref="C194:D194"/>
    <mergeCell ref="C236:D236"/>
    <mergeCell ref="C237:D237"/>
    <mergeCell ref="C238:D238"/>
    <mergeCell ref="C239:D239"/>
    <mergeCell ref="C240:D240"/>
    <mergeCell ref="C217:D217"/>
    <mergeCell ref="C218:D218"/>
    <mergeCell ref="C223:D223"/>
    <mergeCell ref="C224:D224"/>
    <mergeCell ref="C228:D228"/>
    <mergeCell ref="C241:D241"/>
    <mergeCell ref="C317:D317"/>
    <mergeCell ref="C318:D318"/>
    <mergeCell ref="C319:D319"/>
    <mergeCell ref="C320:D320"/>
    <mergeCell ref="C298:D298"/>
    <mergeCell ref="C299:D299"/>
    <mergeCell ref="C304:D304"/>
    <mergeCell ref="C305:D305"/>
    <mergeCell ref="C308:D308"/>
    <mergeCell ref="C311:D311"/>
    <mergeCell ref="C315:D315"/>
    <mergeCell ref="B244:P244"/>
    <mergeCell ref="H246:P246"/>
    <mergeCell ref="B246:B247"/>
    <mergeCell ref="C246:C247"/>
    <mergeCell ref="C321:D321"/>
    <mergeCell ref="C322:D322"/>
    <mergeCell ref="C309:D309"/>
    <mergeCell ref="C259:D259"/>
    <mergeCell ref="C260:D260"/>
    <mergeCell ref="C261:D261"/>
    <mergeCell ref="C272:D272"/>
    <mergeCell ref="C273:D273"/>
    <mergeCell ref="C274:D274"/>
    <mergeCell ref="C282:D282"/>
    <mergeCell ref="C283:D283"/>
    <mergeCell ref="C284:D284"/>
    <mergeCell ref="C288:D288"/>
    <mergeCell ref="C289:D289"/>
    <mergeCell ref="C297:D297"/>
  </mergeCells>
  <pageMargins left="0.23622047244094499" right="0.23622047244094499" top="0.38" bottom="0.2" header="0.15748031496063" footer="0.15748031496063"/>
  <pageSetup scale="59" orientation="landscape" cellComments="asDisplayed" r:id="rId1"/>
  <headerFooter>
    <oddHeader>&amp;L&amp;G</oddHeader>
  </headerFooter>
  <rowBreaks count="6" manualBreakCount="6">
    <brk id="43" max="15" man="1"/>
    <brk id="84" max="15" man="1"/>
    <brk id="128" max="15" man="1"/>
    <brk id="177" max="15" man="1"/>
    <brk id="229" max="15" man="1"/>
    <brk id="274" max="15"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130"/>
  <sheetViews>
    <sheetView view="pageBreakPreview" zoomScale="60" zoomScaleNormal="90" workbookViewId="0">
      <pane ySplit="2" topLeftCell="A3" activePane="bottomLeft" state="frozen"/>
      <selection pane="bottomLeft" activeCell="H140" sqref="H140"/>
    </sheetView>
  </sheetViews>
  <sheetFormatPr defaultRowHeight="15" outlineLevelRow="1" x14ac:dyDescent="0.25"/>
  <cols>
    <col min="1" max="1" width="6.5703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8" width="15.5703125" style="23" bestFit="1" customWidth="1"/>
    <col min="9" max="9" width="20.5703125" style="23" bestFit="1" customWidth="1"/>
    <col min="10" max="14" width="12.7109375" style="23" customWidth="1"/>
    <col min="15" max="15" width="8.140625" style="23" customWidth="1"/>
    <col min="16" max="16" width="13" style="23" bestFit="1" customWidth="1"/>
    <col min="17" max="17" width="13.140625" style="23" customWidth="1"/>
    <col min="18" max="16384" width="9.140625" style="23"/>
  </cols>
  <sheetData>
    <row r="1" spans="1:18" ht="167.25" customHeight="1" x14ac:dyDescent="0.3">
      <c r="A1" s="605"/>
      <c r="B1" s="605"/>
      <c r="C1" s="605"/>
      <c r="D1" s="605"/>
      <c r="E1" s="605"/>
      <c r="F1" s="605"/>
      <c r="G1" s="605"/>
      <c r="H1" s="605"/>
      <c r="I1" s="605"/>
      <c r="J1" s="605"/>
      <c r="K1" s="605"/>
      <c r="L1" s="605"/>
      <c r="M1" s="605"/>
      <c r="N1" s="605"/>
      <c r="O1" s="605"/>
    </row>
    <row r="2" spans="1:18" ht="20.25" x14ac:dyDescent="0.3">
      <c r="B2" s="618" t="s">
        <v>265</v>
      </c>
      <c r="C2" s="618"/>
      <c r="D2" s="618"/>
      <c r="E2" s="618"/>
      <c r="F2" s="618"/>
      <c r="G2" s="618"/>
      <c r="H2" s="618"/>
      <c r="I2" s="618"/>
      <c r="J2" s="618"/>
      <c r="K2" s="618"/>
      <c r="L2" s="618"/>
      <c r="M2" s="618"/>
      <c r="N2" s="618"/>
      <c r="O2" s="618"/>
      <c r="P2" s="618"/>
    </row>
    <row r="3" spans="1:18" ht="13.5" customHeight="1" outlineLevel="1" x14ac:dyDescent="0.3">
      <c r="B3" s="35"/>
      <c r="C3" s="178"/>
      <c r="D3" s="46"/>
      <c r="E3" s="35"/>
      <c r="F3" s="35"/>
      <c r="G3" s="35"/>
      <c r="H3" s="35"/>
      <c r="I3" s="35"/>
      <c r="J3" s="35"/>
      <c r="K3" s="35"/>
      <c r="L3" s="35"/>
      <c r="M3" s="35"/>
      <c r="N3" s="35"/>
      <c r="O3" s="35"/>
      <c r="P3" s="35"/>
    </row>
    <row r="4" spans="1:18" ht="24.75" customHeight="1" outlineLevel="1" x14ac:dyDescent="0.3">
      <c r="A4" s="65"/>
      <c r="B4" s="63"/>
      <c r="C4" s="373" t="s">
        <v>401</v>
      </c>
      <c r="D4" s="395"/>
      <c r="E4" s="598" t="s">
        <v>497</v>
      </c>
      <c r="F4" s="598"/>
      <c r="G4" s="598"/>
      <c r="H4" s="598"/>
      <c r="I4" s="598"/>
      <c r="J4" s="598"/>
      <c r="K4" s="598"/>
      <c r="L4" s="598"/>
      <c r="M4" s="598"/>
      <c r="N4" s="598"/>
      <c r="O4" s="598"/>
      <c r="P4" s="598"/>
    </row>
    <row r="5" spans="1:18" ht="36" customHeight="1" outlineLevel="1" x14ac:dyDescent="0.3">
      <c r="A5" s="65"/>
      <c r="B5" s="473"/>
      <c r="C5" s="373"/>
      <c r="D5" s="395"/>
      <c r="E5" s="598" t="s">
        <v>498</v>
      </c>
      <c r="F5" s="598"/>
      <c r="G5" s="598"/>
      <c r="H5" s="598"/>
      <c r="I5" s="598"/>
      <c r="J5" s="598"/>
      <c r="K5" s="598"/>
      <c r="L5" s="598"/>
      <c r="M5" s="598"/>
      <c r="N5" s="598"/>
      <c r="O5" s="598"/>
      <c r="P5" s="598"/>
    </row>
    <row r="6" spans="1:18" ht="18.75" outlineLevel="1" x14ac:dyDescent="0.3">
      <c r="B6" s="63"/>
      <c r="C6" s="396"/>
      <c r="D6" s="395"/>
      <c r="E6" s="599" t="s">
        <v>358</v>
      </c>
      <c r="F6" s="599"/>
      <c r="G6" s="599"/>
      <c r="H6" s="599"/>
      <c r="I6" s="599"/>
      <c r="J6" s="599"/>
      <c r="K6" s="599"/>
      <c r="L6" s="599"/>
      <c r="M6" s="599"/>
      <c r="N6" s="599"/>
      <c r="O6" s="599"/>
      <c r="P6" s="599"/>
    </row>
    <row r="7" spans="1:18" ht="18.75" outlineLevel="1" x14ac:dyDescent="0.3">
      <c r="B7" s="242"/>
      <c r="C7" s="396"/>
      <c r="D7" s="395"/>
      <c r="E7" s="599" t="s">
        <v>359</v>
      </c>
      <c r="F7" s="599"/>
      <c r="G7" s="599"/>
      <c r="H7" s="599"/>
      <c r="I7" s="599"/>
      <c r="J7" s="599"/>
      <c r="K7" s="599"/>
      <c r="L7" s="599"/>
      <c r="M7" s="599"/>
      <c r="N7" s="599"/>
      <c r="O7" s="599"/>
      <c r="P7" s="599"/>
    </row>
    <row r="8" spans="1:18" ht="18.75" outlineLevel="1" x14ac:dyDescent="0.3">
      <c r="B8" s="63"/>
      <c r="C8" s="396"/>
      <c r="D8" s="395"/>
      <c r="E8" s="599" t="s">
        <v>487</v>
      </c>
      <c r="F8" s="599"/>
      <c r="G8" s="599"/>
      <c r="H8" s="599"/>
      <c r="I8" s="599"/>
      <c r="J8" s="599"/>
      <c r="K8" s="599"/>
      <c r="L8" s="599"/>
      <c r="M8" s="599"/>
      <c r="N8" s="599"/>
      <c r="O8" s="599"/>
      <c r="P8" s="599"/>
      <c r="R8" s="82"/>
    </row>
    <row r="9" spans="1:18" ht="14.25" customHeight="1" outlineLevel="1" x14ac:dyDescent="0.3">
      <c r="B9" s="242"/>
      <c r="C9" s="396"/>
      <c r="D9" s="395"/>
      <c r="E9" s="47"/>
      <c r="F9" s="395"/>
      <c r="G9" s="395"/>
      <c r="H9" s="395"/>
      <c r="I9" s="395"/>
      <c r="J9" s="395"/>
      <c r="K9" s="395"/>
      <c r="L9" s="395"/>
      <c r="M9" s="395"/>
      <c r="N9" s="395"/>
      <c r="O9" s="395"/>
      <c r="P9" s="395"/>
      <c r="R9" s="82"/>
    </row>
    <row r="10" spans="1:18" ht="9" customHeight="1" outlineLevel="1" x14ac:dyDescent="0.3">
      <c r="B10" s="63"/>
      <c r="C10" s="178"/>
      <c r="D10" s="63"/>
      <c r="E10" s="171"/>
      <c r="F10" s="63"/>
      <c r="G10" s="63"/>
      <c r="H10" s="63"/>
      <c r="I10" s="63"/>
      <c r="J10" s="63"/>
      <c r="K10" s="63"/>
      <c r="L10" s="63"/>
      <c r="M10" s="63"/>
      <c r="N10" s="63"/>
      <c r="O10" s="63"/>
      <c r="P10" s="63"/>
      <c r="R10" s="82"/>
    </row>
    <row r="11" spans="1:18" ht="15.75" customHeight="1" outlineLevel="1" x14ac:dyDescent="0.3">
      <c r="B11" s="63"/>
      <c r="C11" s="84" t="s">
        <v>338</v>
      </c>
      <c r="D11" s="63"/>
      <c r="E11" s="619" t="s">
        <v>365</v>
      </c>
      <c r="F11" s="619"/>
      <c r="G11" s="63"/>
      <c r="H11" s="63"/>
      <c r="I11" s="63"/>
      <c r="J11" s="63"/>
      <c r="K11" s="63"/>
      <c r="L11" s="63"/>
      <c r="M11" s="63"/>
      <c r="N11" s="63"/>
      <c r="O11" s="63"/>
      <c r="P11" s="63"/>
      <c r="R11" s="82"/>
    </row>
    <row r="12" spans="1:18" ht="14.25" customHeight="1" outlineLevel="1" x14ac:dyDescent="0.3">
      <c r="B12" s="63"/>
      <c r="C12" s="63"/>
      <c r="D12" s="63"/>
      <c r="E12" s="548" t="s">
        <v>339</v>
      </c>
      <c r="F12" s="548"/>
      <c r="G12" s="63"/>
      <c r="H12" s="63"/>
      <c r="I12" s="63"/>
      <c r="J12" s="63"/>
      <c r="K12" s="63"/>
      <c r="L12" s="63"/>
      <c r="M12" s="63"/>
      <c r="N12" s="63"/>
      <c r="O12" s="63"/>
      <c r="P12" s="63"/>
    </row>
    <row r="13" spans="1:18" ht="12" customHeight="1" outlineLevel="1" x14ac:dyDescent="0.3">
      <c r="B13" s="63"/>
      <c r="C13" s="63"/>
      <c r="D13" s="63"/>
      <c r="E13" s="139"/>
      <c r="G13" s="63"/>
      <c r="H13" s="63"/>
      <c r="I13" s="63"/>
      <c r="J13" s="63"/>
      <c r="K13" s="63"/>
      <c r="L13" s="63"/>
      <c r="M13" s="63"/>
      <c r="N13" s="63"/>
      <c r="O13" s="63"/>
      <c r="P13" s="63"/>
    </row>
    <row r="14" spans="1:18" ht="18" customHeight="1" x14ac:dyDescent="0.25">
      <c r="A14" s="33"/>
      <c r="B14" s="192" t="s">
        <v>475</v>
      </c>
      <c r="C14" s="49"/>
      <c r="D14" s="51"/>
      <c r="E14" s="51"/>
    </row>
    <row r="15" spans="1:18" ht="45" x14ac:dyDescent="0.25">
      <c r="B15" s="614" t="s">
        <v>59</v>
      </c>
      <c r="C15" s="606" t="s">
        <v>0</v>
      </c>
      <c r="D15" s="606" t="s">
        <v>45</v>
      </c>
      <c r="E15" s="606" t="s">
        <v>206</v>
      </c>
      <c r="F15" s="431" t="s">
        <v>203</v>
      </c>
      <c r="G15" s="431" t="s">
        <v>46</v>
      </c>
      <c r="H15" s="616" t="s">
        <v>60</v>
      </c>
      <c r="I15" s="616"/>
      <c r="J15" s="616"/>
      <c r="K15" s="616"/>
      <c r="L15" s="616"/>
      <c r="M15" s="616"/>
      <c r="N15" s="616"/>
      <c r="O15" s="616"/>
      <c r="P15" s="617"/>
    </row>
    <row r="16" spans="1:18" ht="60" x14ac:dyDescent="0.25">
      <c r="B16" s="615"/>
      <c r="C16" s="607"/>
      <c r="D16" s="607"/>
      <c r="E16" s="607"/>
      <c r="F16" s="179" t="s">
        <v>214</v>
      </c>
      <c r="G16" s="179" t="s">
        <v>215</v>
      </c>
      <c r="H16" s="141" t="s">
        <v>38</v>
      </c>
      <c r="I16" s="141" t="s">
        <v>40</v>
      </c>
      <c r="J16" s="141" t="s">
        <v>524</v>
      </c>
      <c r="K16" s="141" t="s">
        <v>110</v>
      </c>
      <c r="L16" s="141" t="s">
        <v>41</v>
      </c>
      <c r="M16" s="141" t="s">
        <v>42</v>
      </c>
      <c r="N16" s="141" t="s">
        <v>43</v>
      </c>
      <c r="O16" s="141" t="s">
        <v>106</v>
      </c>
      <c r="P16" s="432" t="s">
        <v>35</v>
      </c>
    </row>
    <row r="17" spans="1:16" ht="22.5" customHeight="1" x14ac:dyDescent="0.25">
      <c r="B17" s="611" t="s">
        <v>142</v>
      </c>
      <c r="C17" s="612"/>
      <c r="D17" s="612"/>
      <c r="E17" s="612"/>
      <c r="F17" s="612"/>
      <c r="G17" s="612"/>
      <c r="H17" s="612"/>
      <c r="I17" s="612"/>
      <c r="J17" s="612"/>
      <c r="K17" s="612"/>
      <c r="L17" s="612"/>
      <c r="M17" s="612"/>
      <c r="N17" s="612"/>
      <c r="O17" s="612"/>
      <c r="P17" s="613"/>
    </row>
    <row r="18" spans="1:16" ht="26.25" customHeight="1" x14ac:dyDescent="0.25">
      <c r="A18" s="34"/>
      <c r="B18" s="600" t="s">
        <v>143</v>
      </c>
      <c r="C18" s="601"/>
      <c r="D18" s="601"/>
      <c r="E18" s="601"/>
      <c r="F18" s="601"/>
      <c r="G18" s="601"/>
      <c r="H18" s="601"/>
      <c r="I18" s="601"/>
      <c r="J18" s="601"/>
      <c r="K18" s="601"/>
      <c r="L18" s="601"/>
      <c r="M18" s="601"/>
      <c r="N18" s="601"/>
      <c r="O18" s="601"/>
      <c r="P18" s="602"/>
    </row>
    <row r="19" spans="1:16" ht="15" customHeight="1" x14ac:dyDescent="0.25">
      <c r="A19" s="34"/>
      <c r="B19" s="433">
        <v>1</v>
      </c>
      <c r="C19" s="418" t="s">
        <v>144</v>
      </c>
      <c r="D19" s="255" t="s">
        <v>34</v>
      </c>
      <c r="E19" s="419"/>
      <c r="F19" s="300">
        <v>842572</v>
      </c>
      <c r="G19" s="300">
        <v>56</v>
      </c>
      <c r="H19" s="430">
        <v>1</v>
      </c>
      <c r="I19" s="420"/>
      <c r="J19" s="420"/>
      <c r="K19" s="420"/>
      <c r="L19" s="420"/>
      <c r="M19" s="420"/>
      <c r="N19" s="420"/>
      <c r="O19" s="420"/>
      <c r="P19" s="434">
        <f>SUM(H19:O19)</f>
        <v>1</v>
      </c>
    </row>
    <row r="20" spans="1:16" x14ac:dyDescent="0.25">
      <c r="A20" s="8"/>
      <c r="B20" s="433">
        <v>2</v>
      </c>
      <c r="C20" s="418" t="s">
        <v>145</v>
      </c>
      <c r="D20" s="255" t="s">
        <v>34</v>
      </c>
      <c r="E20" s="421"/>
      <c r="F20" s="300">
        <v>1478319</v>
      </c>
      <c r="G20" s="300">
        <v>102</v>
      </c>
      <c r="H20" s="430">
        <v>1</v>
      </c>
      <c r="I20" s="420"/>
      <c r="J20" s="420"/>
      <c r="K20" s="420"/>
      <c r="L20" s="420"/>
      <c r="M20" s="420"/>
      <c r="N20" s="420"/>
      <c r="O20" s="420"/>
      <c r="P20" s="434">
        <f t="shared" ref="P20:P81" si="0">SUM(H20:O20)</f>
        <v>1</v>
      </c>
    </row>
    <row r="21" spans="1:16" x14ac:dyDescent="0.25">
      <c r="A21" s="34"/>
      <c r="B21" s="433">
        <v>3</v>
      </c>
      <c r="C21" s="418" t="s">
        <v>146</v>
      </c>
      <c r="D21" s="255" t="s">
        <v>34</v>
      </c>
      <c r="E21" s="421"/>
      <c r="F21" s="300"/>
      <c r="G21" s="300">
        <v>4</v>
      </c>
      <c r="H21" s="430">
        <v>0</v>
      </c>
      <c r="I21" s="420"/>
      <c r="J21" s="420"/>
      <c r="K21" s="420"/>
      <c r="L21" s="420"/>
      <c r="M21" s="420"/>
      <c r="N21" s="420"/>
      <c r="O21" s="420"/>
      <c r="P21" s="434">
        <f t="shared" si="0"/>
        <v>0</v>
      </c>
    </row>
    <row r="22" spans="1:16" x14ac:dyDescent="0.25">
      <c r="A22" s="34"/>
      <c r="B22" s="433">
        <v>4</v>
      </c>
      <c r="C22" s="418" t="s">
        <v>147</v>
      </c>
      <c r="D22" s="255" t="s">
        <v>34</v>
      </c>
      <c r="E22" s="421"/>
      <c r="F22" s="300"/>
      <c r="G22" s="300"/>
      <c r="H22" s="430">
        <v>0</v>
      </c>
      <c r="I22" s="420"/>
      <c r="J22" s="420"/>
      <c r="K22" s="420"/>
      <c r="L22" s="420"/>
      <c r="M22" s="420"/>
      <c r="N22" s="420"/>
      <c r="O22" s="420"/>
      <c r="P22" s="434">
        <f t="shared" si="0"/>
        <v>0</v>
      </c>
    </row>
    <row r="23" spans="1:16" x14ac:dyDescent="0.25">
      <c r="A23" s="34"/>
      <c r="B23" s="433">
        <v>5</v>
      </c>
      <c r="C23" s="418" t="s">
        <v>148</v>
      </c>
      <c r="D23" s="255" t="s">
        <v>34</v>
      </c>
      <c r="E23" s="421"/>
      <c r="F23" s="300">
        <v>1135517</v>
      </c>
      <c r="G23" s="300">
        <v>596</v>
      </c>
      <c r="H23" s="430">
        <v>1</v>
      </c>
      <c r="I23" s="420"/>
      <c r="J23" s="420"/>
      <c r="K23" s="420"/>
      <c r="L23" s="420"/>
      <c r="M23" s="420"/>
      <c r="N23" s="420"/>
      <c r="O23" s="420"/>
      <c r="P23" s="434">
        <f t="shared" si="0"/>
        <v>1</v>
      </c>
    </row>
    <row r="24" spans="1:16" ht="28.5" x14ac:dyDescent="0.25">
      <c r="A24" s="34"/>
      <c r="B24" s="433">
        <v>6</v>
      </c>
      <c r="C24" s="418" t="s">
        <v>149</v>
      </c>
      <c r="D24" s="255" t="s">
        <v>34</v>
      </c>
      <c r="E24" s="421"/>
      <c r="F24" s="300">
        <v>388014</v>
      </c>
      <c r="G24" s="300">
        <v>72</v>
      </c>
      <c r="H24" s="430">
        <v>1</v>
      </c>
      <c r="I24" s="420"/>
      <c r="J24" s="420"/>
      <c r="K24" s="420"/>
      <c r="L24" s="420"/>
      <c r="M24" s="420"/>
      <c r="N24" s="420"/>
      <c r="O24" s="420"/>
      <c r="P24" s="434">
        <f t="shared" si="0"/>
        <v>1</v>
      </c>
    </row>
    <row r="25" spans="1:16" x14ac:dyDescent="0.25">
      <c r="A25" s="34"/>
      <c r="B25" s="435" t="s">
        <v>259</v>
      </c>
      <c r="C25" s="507"/>
      <c r="D25" s="255" t="s">
        <v>254</v>
      </c>
      <c r="E25" s="421"/>
      <c r="F25" s="300"/>
      <c r="G25" s="300"/>
      <c r="H25" s="430"/>
      <c r="I25" s="420"/>
      <c r="J25" s="420"/>
      <c r="K25" s="420"/>
      <c r="L25" s="420"/>
      <c r="M25" s="420"/>
      <c r="N25" s="420"/>
      <c r="O25" s="420"/>
      <c r="P25" s="434"/>
    </row>
    <row r="26" spans="1:16" x14ac:dyDescent="0.25">
      <c r="A26" s="34"/>
      <c r="B26" s="433"/>
      <c r="C26" s="580"/>
      <c r="D26" s="580"/>
      <c r="E26" s="270"/>
      <c r="F26" s="300"/>
      <c r="G26" s="300"/>
      <c r="H26" s="430"/>
      <c r="I26" s="420"/>
      <c r="J26" s="420"/>
      <c r="K26" s="420"/>
      <c r="L26" s="420"/>
      <c r="M26" s="420"/>
      <c r="N26" s="420"/>
      <c r="O26" s="420"/>
      <c r="P26" s="434"/>
    </row>
    <row r="27" spans="1:16" x14ac:dyDescent="0.25">
      <c r="A27" s="34"/>
      <c r="B27" s="433"/>
      <c r="C27" s="580"/>
      <c r="D27" s="580"/>
      <c r="E27" s="270"/>
      <c r="F27" s="300"/>
      <c r="G27" s="300"/>
      <c r="H27" s="430"/>
      <c r="I27" s="420"/>
      <c r="J27" s="420"/>
      <c r="K27" s="420"/>
      <c r="L27" s="420"/>
      <c r="M27" s="420"/>
      <c r="N27" s="420"/>
      <c r="O27" s="420"/>
      <c r="P27" s="434"/>
    </row>
    <row r="28" spans="1:16" x14ac:dyDescent="0.25">
      <c r="A28" s="34"/>
      <c r="B28" s="433"/>
      <c r="C28" s="580"/>
      <c r="D28" s="580"/>
      <c r="E28" s="270"/>
      <c r="F28" s="300"/>
      <c r="G28" s="300"/>
      <c r="H28" s="430"/>
      <c r="I28" s="420"/>
      <c r="J28" s="420"/>
      <c r="K28" s="420"/>
      <c r="L28" s="420"/>
      <c r="M28" s="420"/>
      <c r="N28" s="420"/>
      <c r="O28" s="420"/>
      <c r="P28" s="434"/>
    </row>
    <row r="29" spans="1:16" ht="25.5" customHeight="1" x14ac:dyDescent="0.25">
      <c r="A29" s="34"/>
      <c r="B29" s="600" t="s">
        <v>150</v>
      </c>
      <c r="C29" s="601"/>
      <c r="D29" s="601"/>
      <c r="E29" s="601"/>
      <c r="F29" s="601"/>
      <c r="G29" s="601"/>
      <c r="H29" s="601"/>
      <c r="I29" s="601"/>
      <c r="J29" s="601"/>
      <c r="K29" s="601"/>
      <c r="L29" s="601"/>
      <c r="M29" s="601"/>
      <c r="N29" s="601"/>
      <c r="O29" s="601"/>
      <c r="P29" s="602"/>
    </row>
    <row r="30" spans="1:16" x14ac:dyDescent="0.25">
      <c r="A30" s="34"/>
      <c r="B30" s="433">
        <v>7</v>
      </c>
      <c r="C30" s="418" t="s">
        <v>151</v>
      </c>
      <c r="D30" s="255" t="s">
        <v>34</v>
      </c>
      <c r="E30" s="421">
        <v>12</v>
      </c>
      <c r="F30" s="300"/>
      <c r="G30" s="300"/>
      <c r="H30" s="420"/>
      <c r="I30" s="430">
        <v>0</v>
      </c>
      <c r="J30" s="430">
        <v>0</v>
      </c>
      <c r="K30" s="430">
        <v>0</v>
      </c>
      <c r="L30" s="420"/>
      <c r="M30" s="420"/>
      <c r="N30" s="420"/>
      <c r="O30" s="420"/>
      <c r="P30" s="434">
        <f t="shared" si="0"/>
        <v>0</v>
      </c>
    </row>
    <row r="31" spans="1:16" ht="28.5" x14ac:dyDescent="0.25">
      <c r="A31" s="34"/>
      <c r="B31" s="433">
        <v>8</v>
      </c>
      <c r="C31" s="418" t="s">
        <v>152</v>
      </c>
      <c r="D31" s="255" t="s">
        <v>34</v>
      </c>
      <c r="E31" s="421">
        <v>12</v>
      </c>
      <c r="F31" s="300">
        <v>16393329</v>
      </c>
      <c r="G31" s="300">
        <v>2734</v>
      </c>
      <c r="H31" s="420"/>
      <c r="I31" s="430">
        <v>0.14000000000000001</v>
      </c>
      <c r="J31" s="430">
        <v>0.86</v>
      </c>
      <c r="K31" s="430">
        <v>0</v>
      </c>
      <c r="L31" s="420"/>
      <c r="M31" s="420"/>
      <c r="N31" s="420"/>
      <c r="O31" s="420"/>
      <c r="P31" s="434">
        <f t="shared" si="0"/>
        <v>1</v>
      </c>
    </row>
    <row r="32" spans="1:16" ht="28.5" x14ac:dyDescent="0.25">
      <c r="A32" s="34"/>
      <c r="B32" s="433">
        <v>9</v>
      </c>
      <c r="C32" s="418" t="s">
        <v>153</v>
      </c>
      <c r="D32" s="255" t="s">
        <v>34</v>
      </c>
      <c r="E32" s="421">
        <v>12</v>
      </c>
      <c r="F32" s="300">
        <v>253424</v>
      </c>
      <c r="G32" s="300">
        <v>101</v>
      </c>
      <c r="H32" s="420"/>
      <c r="I32" s="430">
        <v>1</v>
      </c>
      <c r="J32" s="430">
        <v>0</v>
      </c>
      <c r="K32" s="430">
        <v>0</v>
      </c>
      <c r="L32" s="420"/>
      <c r="M32" s="420"/>
      <c r="N32" s="420"/>
      <c r="O32" s="420"/>
      <c r="P32" s="434">
        <f t="shared" si="0"/>
        <v>1</v>
      </c>
    </row>
    <row r="33" spans="1:16" ht="28.5" x14ac:dyDescent="0.25">
      <c r="A33" s="34"/>
      <c r="B33" s="433">
        <v>10</v>
      </c>
      <c r="C33" s="418" t="s">
        <v>154</v>
      </c>
      <c r="D33" s="255" t="s">
        <v>34</v>
      </c>
      <c r="E33" s="421">
        <v>12</v>
      </c>
      <c r="F33" s="300">
        <v>74739</v>
      </c>
      <c r="G33" s="300">
        <v>70</v>
      </c>
      <c r="H33" s="420"/>
      <c r="I33" s="430">
        <v>1</v>
      </c>
      <c r="J33" s="430">
        <v>0</v>
      </c>
      <c r="K33" s="430">
        <v>0</v>
      </c>
      <c r="L33" s="420"/>
      <c r="M33" s="420"/>
      <c r="N33" s="420"/>
      <c r="O33" s="420"/>
      <c r="P33" s="434">
        <f t="shared" si="0"/>
        <v>1</v>
      </c>
    </row>
    <row r="34" spans="1:16" ht="28.5" x14ac:dyDescent="0.25">
      <c r="A34" s="34"/>
      <c r="B34" s="433">
        <v>11</v>
      </c>
      <c r="C34" s="418" t="s">
        <v>155</v>
      </c>
      <c r="D34" s="255" t="s">
        <v>34</v>
      </c>
      <c r="E34" s="421">
        <v>3</v>
      </c>
      <c r="F34" s="300"/>
      <c r="G34" s="300"/>
      <c r="H34" s="420"/>
      <c r="I34" s="430">
        <v>0</v>
      </c>
      <c r="J34" s="430">
        <v>0</v>
      </c>
      <c r="K34" s="430">
        <v>0</v>
      </c>
      <c r="L34" s="420"/>
      <c r="M34" s="420"/>
      <c r="N34" s="420"/>
      <c r="O34" s="420"/>
      <c r="P34" s="434">
        <f t="shared" si="0"/>
        <v>0</v>
      </c>
    </row>
    <row r="35" spans="1:16" x14ac:dyDescent="0.25">
      <c r="A35" s="34"/>
      <c r="B35" s="435" t="s">
        <v>259</v>
      </c>
      <c r="C35" s="418"/>
      <c r="D35" s="255" t="s">
        <v>254</v>
      </c>
      <c r="E35" s="421"/>
      <c r="F35" s="300"/>
      <c r="G35" s="300"/>
      <c r="H35" s="420"/>
      <c r="I35" s="420"/>
      <c r="J35" s="420"/>
      <c r="K35" s="420"/>
      <c r="L35" s="420"/>
      <c r="M35" s="420"/>
      <c r="N35" s="420"/>
      <c r="O35" s="420"/>
      <c r="P35" s="434"/>
    </row>
    <row r="36" spans="1:16" x14ac:dyDescent="0.25">
      <c r="A36" s="34"/>
      <c r="B36" s="433"/>
      <c r="C36" s="580"/>
      <c r="D36" s="580"/>
      <c r="E36" s="270"/>
      <c r="F36" s="300"/>
      <c r="G36" s="300"/>
      <c r="H36" s="420"/>
      <c r="I36" s="420"/>
      <c r="J36" s="420"/>
      <c r="K36" s="420"/>
      <c r="L36" s="420"/>
      <c r="M36" s="420"/>
      <c r="N36" s="420"/>
      <c r="O36" s="420"/>
      <c r="P36" s="434"/>
    </row>
    <row r="37" spans="1:16" x14ac:dyDescent="0.25">
      <c r="A37" s="34"/>
      <c r="B37" s="433"/>
      <c r="C37" s="580"/>
      <c r="D37" s="580"/>
      <c r="E37" s="270"/>
      <c r="F37" s="300"/>
      <c r="G37" s="300"/>
      <c r="H37" s="420"/>
      <c r="I37" s="420"/>
      <c r="J37" s="420"/>
      <c r="K37" s="420"/>
      <c r="L37" s="420"/>
      <c r="M37" s="420"/>
      <c r="N37" s="420"/>
      <c r="O37" s="420"/>
      <c r="P37" s="434"/>
    </row>
    <row r="38" spans="1:16" x14ac:dyDescent="0.25">
      <c r="A38" s="34"/>
      <c r="B38" s="433"/>
      <c r="C38" s="580"/>
      <c r="D38" s="580"/>
      <c r="E38" s="270"/>
      <c r="F38" s="300"/>
      <c r="G38" s="300"/>
      <c r="H38" s="420"/>
      <c r="I38" s="420"/>
      <c r="J38" s="420"/>
      <c r="K38" s="420"/>
      <c r="L38" s="420"/>
      <c r="M38" s="420"/>
      <c r="N38" s="420"/>
      <c r="O38" s="420"/>
      <c r="P38" s="434"/>
    </row>
    <row r="39" spans="1:16" ht="26.25" customHeight="1" x14ac:dyDescent="0.25">
      <c r="A39" s="34"/>
      <c r="B39" s="600" t="s">
        <v>11</v>
      </c>
      <c r="C39" s="601"/>
      <c r="D39" s="601"/>
      <c r="E39" s="601"/>
      <c r="F39" s="601"/>
      <c r="G39" s="601"/>
      <c r="H39" s="601"/>
      <c r="I39" s="601"/>
      <c r="J39" s="601"/>
      <c r="K39" s="601"/>
      <c r="L39" s="601"/>
      <c r="M39" s="601"/>
      <c r="N39" s="601"/>
      <c r="O39" s="601"/>
      <c r="P39" s="602"/>
    </row>
    <row r="40" spans="1:16" ht="28.5" x14ac:dyDescent="0.25">
      <c r="A40" s="34"/>
      <c r="B40" s="433">
        <v>12</v>
      </c>
      <c r="C40" s="418" t="s">
        <v>156</v>
      </c>
      <c r="D40" s="255" t="s">
        <v>34</v>
      </c>
      <c r="E40" s="421">
        <v>12</v>
      </c>
      <c r="F40" s="300"/>
      <c r="G40" s="300"/>
      <c r="H40" s="420"/>
      <c r="I40" s="420"/>
      <c r="J40" s="430">
        <v>0</v>
      </c>
      <c r="K40" s="430">
        <v>0</v>
      </c>
      <c r="L40" s="420"/>
      <c r="M40" s="420"/>
      <c r="N40" s="420"/>
      <c r="O40" s="420"/>
      <c r="P40" s="434">
        <f t="shared" si="0"/>
        <v>0</v>
      </c>
    </row>
    <row r="41" spans="1:16" ht="28.5" x14ac:dyDescent="0.25">
      <c r="A41" s="34"/>
      <c r="B41" s="433">
        <v>13</v>
      </c>
      <c r="C41" s="418" t="s">
        <v>157</v>
      </c>
      <c r="D41" s="255" t="s">
        <v>34</v>
      </c>
      <c r="E41" s="421">
        <v>12</v>
      </c>
      <c r="F41" s="300"/>
      <c r="G41" s="300"/>
      <c r="H41" s="420"/>
      <c r="I41" s="420"/>
      <c r="J41" s="430">
        <v>0</v>
      </c>
      <c r="K41" s="430">
        <v>0</v>
      </c>
      <c r="L41" s="420"/>
      <c r="M41" s="420"/>
      <c r="N41" s="420"/>
      <c r="O41" s="420"/>
      <c r="P41" s="434">
        <f t="shared" si="0"/>
        <v>0</v>
      </c>
    </row>
    <row r="42" spans="1:16" ht="28.5" x14ac:dyDescent="0.25">
      <c r="A42" s="34"/>
      <c r="B42" s="433">
        <v>14</v>
      </c>
      <c r="C42" s="418" t="s">
        <v>158</v>
      </c>
      <c r="D42" s="255" t="s">
        <v>34</v>
      </c>
      <c r="E42" s="421">
        <v>12</v>
      </c>
      <c r="F42" s="300">
        <v>768099</v>
      </c>
      <c r="G42" s="300">
        <v>127</v>
      </c>
      <c r="H42" s="420"/>
      <c r="I42" s="420"/>
      <c r="J42" s="430">
        <v>1</v>
      </c>
      <c r="K42" s="430">
        <v>0</v>
      </c>
      <c r="L42" s="420"/>
      <c r="M42" s="420"/>
      <c r="N42" s="420"/>
      <c r="O42" s="420"/>
      <c r="P42" s="434">
        <f t="shared" si="0"/>
        <v>1</v>
      </c>
    </row>
    <row r="43" spans="1:16" x14ac:dyDescent="0.25">
      <c r="A43" s="34"/>
      <c r="B43" s="435" t="s">
        <v>259</v>
      </c>
      <c r="C43" s="418"/>
      <c r="D43" s="255" t="s">
        <v>254</v>
      </c>
      <c r="E43" s="421"/>
      <c r="F43" s="300"/>
      <c r="G43" s="300"/>
      <c r="H43" s="420"/>
      <c r="I43" s="420"/>
      <c r="J43" s="420"/>
      <c r="K43" s="420"/>
      <c r="L43" s="420"/>
      <c r="M43" s="420"/>
      <c r="N43" s="420"/>
      <c r="O43" s="420"/>
      <c r="P43" s="434"/>
    </row>
    <row r="44" spans="1:16" x14ac:dyDescent="0.25">
      <c r="A44" s="34"/>
      <c r="B44" s="433"/>
      <c r="C44" s="580"/>
      <c r="D44" s="580"/>
      <c r="E44" s="270"/>
      <c r="F44" s="300"/>
      <c r="G44" s="300"/>
      <c r="H44" s="420"/>
      <c r="I44" s="420"/>
      <c r="J44" s="420"/>
      <c r="K44" s="420"/>
      <c r="L44" s="420"/>
      <c r="M44" s="420"/>
      <c r="N44" s="420"/>
      <c r="O44" s="420"/>
      <c r="P44" s="434"/>
    </row>
    <row r="45" spans="1:16" x14ac:dyDescent="0.25">
      <c r="A45" s="34"/>
      <c r="B45" s="433"/>
      <c r="C45" s="580"/>
      <c r="D45" s="580"/>
      <c r="E45" s="270"/>
      <c r="F45" s="300"/>
      <c r="G45" s="300"/>
      <c r="H45" s="420"/>
      <c r="I45" s="420"/>
      <c r="J45" s="420"/>
      <c r="K45" s="420"/>
      <c r="L45" s="420"/>
      <c r="M45" s="420"/>
      <c r="N45" s="420"/>
      <c r="O45" s="420"/>
      <c r="P45" s="434"/>
    </row>
    <row r="46" spans="1:16" x14ac:dyDescent="0.25">
      <c r="A46" s="34"/>
      <c r="B46" s="433"/>
      <c r="C46" s="580"/>
      <c r="D46" s="580"/>
      <c r="E46" s="270"/>
      <c r="F46" s="300"/>
      <c r="G46" s="300"/>
      <c r="H46" s="420"/>
      <c r="I46" s="420"/>
      <c r="J46" s="420"/>
      <c r="K46" s="420"/>
      <c r="L46" s="420"/>
      <c r="M46" s="420"/>
      <c r="N46" s="420"/>
      <c r="O46" s="420"/>
      <c r="P46" s="434"/>
    </row>
    <row r="47" spans="1:16" ht="24" customHeight="1" x14ac:dyDescent="0.25">
      <c r="A47" s="34"/>
      <c r="B47" s="600" t="s">
        <v>159</v>
      </c>
      <c r="C47" s="601"/>
      <c r="D47" s="601"/>
      <c r="E47" s="601"/>
      <c r="F47" s="601"/>
      <c r="G47" s="601"/>
      <c r="H47" s="601"/>
      <c r="I47" s="601"/>
      <c r="J47" s="601"/>
      <c r="K47" s="601"/>
      <c r="L47" s="601"/>
      <c r="M47" s="601"/>
      <c r="N47" s="601"/>
      <c r="O47" s="601"/>
      <c r="P47" s="602"/>
    </row>
    <row r="48" spans="1:16" x14ac:dyDescent="0.25">
      <c r="A48" s="34"/>
      <c r="B48" s="433">
        <v>15</v>
      </c>
      <c r="C48" s="418" t="s">
        <v>160</v>
      </c>
      <c r="D48" s="255" t="s">
        <v>34</v>
      </c>
      <c r="E48" s="421"/>
      <c r="F48" s="300">
        <v>89267</v>
      </c>
      <c r="G48" s="300">
        <v>23</v>
      </c>
      <c r="H48" s="430">
        <v>1</v>
      </c>
      <c r="I48" s="420"/>
      <c r="J48" s="420"/>
      <c r="K48" s="420"/>
      <c r="L48" s="420"/>
      <c r="M48" s="420"/>
      <c r="N48" s="420"/>
      <c r="O48" s="420"/>
      <c r="P48" s="434">
        <f t="shared" si="0"/>
        <v>1</v>
      </c>
    </row>
    <row r="49" spans="1:16" x14ac:dyDescent="0.25">
      <c r="A49" s="34"/>
      <c r="B49" s="435" t="s">
        <v>259</v>
      </c>
      <c r="C49" s="418"/>
      <c r="D49" s="255" t="s">
        <v>254</v>
      </c>
      <c r="E49" s="421"/>
      <c r="F49" s="300"/>
      <c r="G49" s="300"/>
      <c r="H49" s="430"/>
      <c r="I49" s="420"/>
      <c r="J49" s="420"/>
      <c r="K49" s="420"/>
      <c r="L49" s="420"/>
      <c r="M49" s="420"/>
      <c r="N49" s="420"/>
      <c r="O49" s="420"/>
      <c r="P49" s="434">
        <f t="shared" si="0"/>
        <v>0</v>
      </c>
    </row>
    <row r="50" spans="1:16" x14ac:dyDescent="0.25">
      <c r="A50" s="34"/>
      <c r="B50" s="433"/>
      <c r="C50" s="580"/>
      <c r="D50" s="580"/>
      <c r="E50" s="270"/>
      <c r="F50" s="300"/>
      <c r="G50" s="300"/>
      <c r="H50" s="430"/>
      <c r="I50" s="420"/>
      <c r="J50" s="420"/>
      <c r="K50" s="420"/>
      <c r="L50" s="420"/>
      <c r="M50" s="420"/>
      <c r="N50" s="420"/>
      <c r="O50" s="420"/>
      <c r="P50" s="434">
        <f t="shared" si="0"/>
        <v>0</v>
      </c>
    </row>
    <row r="51" spans="1:16" x14ac:dyDescent="0.25">
      <c r="A51" s="34"/>
      <c r="B51" s="433"/>
      <c r="C51" s="580"/>
      <c r="D51" s="580"/>
      <c r="E51" s="270"/>
      <c r="F51" s="300"/>
      <c r="G51" s="300"/>
      <c r="H51" s="430"/>
      <c r="I51" s="420"/>
      <c r="J51" s="420"/>
      <c r="K51" s="420"/>
      <c r="L51" s="420"/>
      <c r="M51" s="420"/>
      <c r="N51" s="420"/>
      <c r="O51" s="420"/>
      <c r="P51" s="434"/>
    </row>
    <row r="52" spans="1:16" x14ac:dyDescent="0.25">
      <c r="A52" s="34"/>
      <c r="B52" s="433"/>
      <c r="C52" s="580"/>
      <c r="D52" s="580"/>
      <c r="E52" s="270"/>
      <c r="F52" s="300"/>
      <c r="G52" s="300"/>
      <c r="H52" s="430"/>
      <c r="I52" s="420"/>
      <c r="J52" s="420"/>
      <c r="K52" s="420"/>
      <c r="L52" s="420"/>
      <c r="M52" s="420"/>
      <c r="N52" s="420"/>
      <c r="O52" s="420"/>
      <c r="P52" s="434">
        <f t="shared" si="0"/>
        <v>0</v>
      </c>
    </row>
    <row r="53" spans="1:16" ht="21" customHeight="1" x14ac:dyDescent="0.25">
      <c r="A53" s="33"/>
      <c r="B53" s="600" t="s">
        <v>161</v>
      </c>
      <c r="C53" s="601"/>
      <c r="D53" s="601"/>
      <c r="E53" s="601"/>
      <c r="F53" s="601"/>
      <c r="G53" s="601"/>
      <c r="H53" s="601"/>
      <c r="I53" s="601"/>
      <c r="J53" s="601"/>
      <c r="K53" s="601"/>
      <c r="L53" s="601"/>
      <c r="M53" s="601"/>
      <c r="N53" s="601"/>
      <c r="O53" s="601"/>
      <c r="P53" s="602"/>
    </row>
    <row r="54" spans="1:16" x14ac:dyDescent="0.25">
      <c r="A54" s="34"/>
      <c r="B54" s="433">
        <v>16</v>
      </c>
      <c r="C54" s="418" t="s">
        <v>162</v>
      </c>
      <c r="D54" s="255" t="s">
        <v>34</v>
      </c>
      <c r="E54" s="421">
        <v>12</v>
      </c>
      <c r="F54" s="300">
        <v>441961</v>
      </c>
      <c r="G54" s="300">
        <v>52</v>
      </c>
      <c r="H54" s="420"/>
      <c r="I54" s="420"/>
      <c r="J54" s="420">
        <v>1</v>
      </c>
      <c r="K54" s="420"/>
      <c r="L54" s="420"/>
      <c r="M54" s="420"/>
      <c r="N54" s="420"/>
      <c r="O54" s="420"/>
      <c r="P54" s="434">
        <f t="shared" si="0"/>
        <v>1</v>
      </c>
    </row>
    <row r="55" spans="1:16" x14ac:dyDescent="0.25">
      <c r="A55" s="34"/>
      <c r="B55" s="433">
        <v>17</v>
      </c>
      <c r="C55" s="418" t="s">
        <v>163</v>
      </c>
      <c r="D55" s="255" t="s">
        <v>34</v>
      </c>
      <c r="E55" s="421"/>
      <c r="F55" s="300"/>
      <c r="G55" s="300"/>
      <c r="H55" s="420"/>
      <c r="I55" s="420"/>
      <c r="J55" s="420"/>
      <c r="K55" s="420"/>
      <c r="L55" s="420"/>
      <c r="M55" s="420"/>
      <c r="N55" s="420"/>
      <c r="O55" s="420"/>
      <c r="P55" s="434">
        <f t="shared" si="0"/>
        <v>0</v>
      </c>
    </row>
    <row r="56" spans="1:16" x14ac:dyDescent="0.25">
      <c r="A56" s="34"/>
      <c r="B56" s="433">
        <v>18</v>
      </c>
      <c r="C56" s="418" t="s">
        <v>164</v>
      </c>
      <c r="D56" s="255" t="s">
        <v>34</v>
      </c>
      <c r="E56" s="421"/>
      <c r="F56" s="300"/>
      <c r="G56" s="300"/>
      <c r="H56" s="420"/>
      <c r="I56" s="420"/>
      <c r="J56" s="420"/>
      <c r="K56" s="420"/>
      <c r="L56" s="420"/>
      <c r="M56" s="420"/>
      <c r="N56" s="420"/>
      <c r="O56" s="420"/>
      <c r="P56" s="434">
        <f t="shared" si="0"/>
        <v>0</v>
      </c>
    </row>
    <row r="57" spans="1:16" x14ac:dyDescent="0.25">
      <c r="A57" s="34"/>
      <c r="B57" s="433">
        <v>19</v>
      </c>
      <c r="C57" s="418" t="s">
        <v>165</v>
      </c>
      <c r="D57" s="255" t="s">
        <v>34</v>
      </c>
      <c r="E57" s="421"/>
      <c r="F57" s="300"/>
      <c r="G57" s="300"/>
      <c r="H57" s="420"/>
      <c r="I57" s="420"/>
      <c r="J57" s="420"/>
      <c r="K57" s="420"/>
      <c r="L57" s="420"/>
      <c r="M57" s="420"/>
      <c r="N57" s="420"/>
      <c r="O57" s="420"/>
      <c r="P57" s="434">
        <f t="shared" si="0"/>
        <v>0</v>
      </c>
    </row>
    <row r="58" spans="1:16" x14ac:dyDescent="0.25">
      <c r="A58" s="34"/>
      <c r="B58" s="435" t="s">
        <v>259</v>
      </c>
      <c r="C58" s="418"/>
      <c r="D58" s="255" t="s">
        <v>254</v>
      </c>
      <c r="E58" s="421"/>
      <c r="F58" s="300"/>
      <c r="G58" s="300"/>
      <c r="H58" s="420"/>
      <c r="I58" s="420"/>
      <c r="J58" s="420"/>
      <c r="K58" s="420"/>
      <c r="L58" s="420"/>
      <c r="M58" s="420"/>
      <c r="N58" s="420"/>
      <c r="O58" s="420"/>
      <c r="P58" s="434">
        <f t="shared" si="0"/>
        <v>0</v>
      </c>
    </row>
    <row r="59" spans="1:16" x14ac:dyDescent="0.25">
      <c r="A59" s="34"/>
      <c r="B59" s="435"/>
      <c r="C59" s="580"/>
      <c r="D59" s="580"/>
      <c r="E59" s="270"/>
      <c r="F59" s="300"/>
      <c r="G59" s="300"/>
      <c r="H59" s="420"/>
      <c r="I59" s="420"/>
      <c r="J59" s="420"/>
      <c r="K59" s="420"/>
      <c r="L59" s="420"/>
      <c r="M59" s="420"/>
      <c r="N59" s="420"/>
      <c r="O59" s="420"/>
      <c r="P59" s="434"/>
    </row>
    <row r="60" spans="1:16" x14ac:dyDescent="0.25">
      <c r="A60" s="34"/>
      <c r="B60" s="435"/>
      <c r="C60" s="580"/>
      <c r="D60" s="580"/>
      <c r="E60" s="270"/>
      <c r="F60" s="300"/>
      <c r="G60" s="300"/>
      <c r="H60" s="420"/>
      <c r="I60" s="420"/>
      <c r="J60" s="420"/>
      <c r="K60" s="420"/>
      <c r="L60" s="420"/>
      <c r="M60" s="420"/>
      <c r="N60" s="420"/>
      <c r="O60" s="420"/>
      <c r="P60" s="434"/>
    </row>
    <row r="61" spans="1:16" x14ac:dyDescent="0.25">
      <c r="A61" s="33"/>
      <c r="B61" s="436"/>
      <c r="C61" s="580"/>
      <c r="D61" s="580"/>
      <c r="E61" s="270"/>
      <c r="F61" s="300"/>
      <c r="G61" s="300"/>
      <c r="H61" s="424"/>
      <c r="I61" s="424"/>
      <c r="J61" s="424"/>
      <c r="K61" s="424"/>
      <c r="L61" s="424"/>
      <c r="M61" s="424"/>
      <c r="N61" s="424"/>
      <c r="O61" s="424"/>
      <c r="P61" s="434"/>
    </row>
    <row r="62" spans="1:16" ht="27" customHeight="1" x14ac:dyDescent="0.25">
      <c r="B62" s="608" t="s">
        <v>166</v>
      </c>
      <c r="C62" s="609"/>
      <c r="D62" s="609"/>
      <c r="E62" s="609"/>
      <c r="F62" s="609"/>
      <c r="G62" s="609"/>
      <c r="H62" s="609"/>
      <c r="I62" s="609"/>
      <c r="J62" s="609"/>
      <c r="K62" s="609"/>
      <c r="L62" s="609"/>
      <c r="M62" s="609"/>
      <c r="N62" s="609"/>
      <c r="O62" s="609"/>
      <c r="P62" s="610"/>
    </row>
    <row r="63" spans="1:16" ht="16.5" x14ac:dyDescent="0.25">
      <c r="B63" s="437"/>
      <c r="C63" s="418"/>
      <c r="D63" s="421"/>
      <c r="E63" s="421"/>
      <c r="F63" s="417"/>
      <c r="G63" s="417"/>
      <c r="H63" s="417"/>
      <c r="I63" s="417"/>
      <c r="J63" s="417"/>
      <c r="K63" s="417"/>
      <c r="L63" s="417"/>
      <c r="M63" s="417"/>
      <c r="N63" s="417"/>
      <c r="O63" s="417"/>
      <c r="P63" s="438"/>
    </row>
    <row r="64" spans="1:16" ht="25.5" customHeight="1" x14ac:dyDescent="0.25">
      <c r="A64" s="34"/>
      <c r="B64" s="603" t="s">
        <v>167</v>
      </c>
      <c r="C64" s="593"/>
      <c r="D64" s="593"/>
      <c r="E64" s="593"/>
      <c r="F64" s="593"/>
      <c r="G64" s="593"/>
      <c r="H64" s="593"/>
      <c r="I64" s="593"/>
      <c r="J64" s="593"/>
      <c r="K64" s="593"/>
      <c r="L64" s="593"/>
      <c r="M64" s="593"/>
      <c r="N64" s="593"/>
      <c r="O64" s="593"/>
      <c r="P64" s="604"/>
    </row>
    <row r="65" spans="1:16" x14ac:dyDescent="0.25">
      <c r="A65" s="34"/>
      <c r="B65" s="433">
        <v>21</v>
      </c>
      <c r="C65" s="418" t="s">
        <v>168</v>
      </c>
      <c r="D65" s="255" t="s">
        <v>34</v>
      </c>
      <c r="E65" s="421"/>
      <c r="F65" s="300"/>
      <c r="G65" s="300"/>
      <c r="H65" s="430">
        <v>0</v>
      </c>
      <c r="I65" s="420"/>
      <c r="J65" s="420"/>
      <c r="K65" s="420"/>
      <c r="L65" s="420"/>
      <c r="M65" s="420"/>
      <c r="N65" s="420"/>
      <c r="O65" s="420"/>
      <c r="P65" s="434">
        <f t="shared" si="0"/>
        <v>0</v>
      </c>
    </row>
    <row r="66" spans="1:16" ht="28.5" x14ac:dyDescent="0.25">
      <c r="A66" s="34"/>
      <c r="B66" s="433">
        <v>22</v>
      </c>
      <c r="C66" s="418" t="s">
        <v>169</v>
      </c>
      <c r="D66" s="255" t="s">
        <v>34</v>
      </c>
      <c r="E66" s="421"/>
      <c r="F66" s="300"/>
      <c r="G66" s="300"/>
      <c r="H66" s="430">
        <v>0</v>
      </c>
      <c r="I66" s="420"/>
      <c r="J66" s="420"/>
      <c r="K66" s="420"/>
      <c r="L66" s="420"/>
      <c r="M66" s="420"/>
      <c r="N66" s="420"/>
      <c r="O66" s="420"/>
      <c r="P66" s="434">
        <f t="shared" si="0"/>
        <v>0</v>
      </c>
    </row>
    <row r="67" spans="1:16" x14ac:dyDescent="0.25">
      <c r="A67" s="34"/>
      <c r="B67" s="433">
        <v>23</v>
      </c>
      <c r="C67" s="418" t="s">
        <v>170</v>
      </c>
      <c r="D67" s="255" t="s">
        <v>34</v>
      </c>
      <c r="E67" s="421"/>
      <c r="F67" s="300"/>
      <c r="G67" s="300"/>
      <c r="H67" s="430">
        <v>0</v>
      </c>
      <c r="I67" s="420"/>
      <c r="J67" s="420"/>
      <c r="K67" s="420"/>
      <c r="L67" s="420"/>
      <c r="M67" s="420"/>
      <c r="N67" s="420"/>
      <c r="O67" s="420"/>
      <c r="P67" s="434">
        <f t="shared" si="0"/>
        <v>0</v>
      </c>
    </row>
    <row r="68" spans="1:16" x14ac:dyDescent="0.25">
      <c r="A68" s="34"/>
      <c r="B68" s="433">
        <v>24</v>
      </c>
      <c r="C68" s="418" t="s">
        <v>171</v>
      </c>
      <c r="D68" s="255" t="s">
        <v>34</v>
      </c>
      <c r="E68" s="421"/>
      <c r="F68" s="300"/>
      <c r="G68" s="300"/>
      <c r="H68" s="430">
        <v>0</v>
      </c>
      <c r="I68" s="420"/>
      <c r="J68" s="420"/>
      <c r="K68" s="420"/>
      <c r="L68" s="420"/>
      <c r="M68" s="420"/>
      <c r="N68" s="420"/>
      <c r="O68" s="420"/>
      <c r="P68" s="434">
        <f t="shared" si="0"/>
        <v>0</v>
      </c>
    </row>
    <row r="69" spans="1:16" x14ac:dyDescent="0.25">
      <c r="A69" s="34"/>
      <c r="B69" s="435" t="s">
        <v>259</v>
      </c>
      <c r="C69" s="418"/>
      <c r="D69" s="255" t="s">
        <v>254</v>
      </c>
      <c r="E69" s="421"/>
      <c r="F69" s="300"/>
      <c r="G69" s="300"/>
      <c r="H69" s="430"/>
      <c r="I69" s="420"/>
      <c r="J69" s="420"/>
      <c r="K69" s="420"/>
      <c r="L69" s="420"/>
      <c r="M69" s="420"/>
      <c r="N69" s="420"/>
      <c r="O69" s="420"/>
      <c r="P69" s="434"/>
    </row>
    <row r="70" spans="1:16" x14ac:dyDescent="0.25">
      <c r="A70" s="34"/>
      <c r="B70" s="433"/>
      <c r="C70" s="580"/>
      <c r="D70" s="580"/>
      <c r="E70" s="270"/>
      <c r="F70" s="300"/>
      <c r="G70" s="300"/>
      <c r="H70" s="430"/>
      <c r="I70" s="420"/>
      <c r="J70" s="420"/>
      <c r="K70" s="420"/>
      <c r="L70" s="420"/>
      <c r="M70" s="420"/>
      <c r="N70" s="420"/>
      <c r="O70" s="420"/>
      <c r="P70" s="434"/>
    </row>
    <row r="71" spans="1:16" x14ac:dyDescent="0.25">
      <c r="A71" s="34"/>
      <c r="B71" s="433"/>
      <c r="C71" s="580"/>
      <c r="D71" s="580"/>
      <c r="E71" s="270"/>
      <c r="F71" s="300"/>
      <c r="G71" s="300"/>
      <c r="H71" s="430"/>
      <c r="I71" s="420"/>
      <c r="J71" s="420"/>
      <c r="K71" s="420"/>
      <c r="L71" s="420"/>
      <c r="M71" s="420"/>
      <c r="N71" s="420"/>
      <c r="O71" s="420"/>
      <c r="P71" s="434"/>
    </row>
    <row r="72" spans="1:16" x14ac:dyDescent="0.25">
      <c r="A72" s="34"/>
      <c r="B72" s="433"/>
      <c r="C72" s="580"/>
      <c r="D72" s="580"/>
      <c r="E72" s="270"/>
      <c r="F72" s="300"/>
      <c r="G72" s="300"/>
      <c r="H72" s="420"/>
      <c r="I72" s="420"/>
      <c r="J72" s="420"/>
      <c r="K72" s="420"/>
      <c r="L72" s="420"/>
      <c r="M72" s="420"/>
      <c r="N72" s="420"/>
      <c r="O72" s="420"/>
      <c r="P72" s="434"/>
    </row>
    <row r="73" spans="1:16" ht="28.5" customHeight="1" x14ac:dyDescent="0.25">
      <c r="A73" s="34"/>
      <c r="B73" s="603" t="s">
        <v>172</v>
      </c>
      <c r="C73" s="593"/>
      <c r="D73" s="593"/>
      <c r="E73" s="593"/>
      <c r="F73" s="593"/>
      <c r="G73" s="593"/>
      <c r="H73" s="593"/>
      <c r="I73" s="593"/>
      <c r="J73" s="593"/>
      <c r="K73" s="593"/>
      <c r="L73" s="593"/>
      <c r="M73" s="593"/>
      <c r="N73" s="593"/>
      <c r="O73" s="593"/>
      <c r="P73" s="604"/>
    </row>
    <row r="74" spans="1:16" x14ac:dyDescent="0.25">
      <c r="A74" s="34"/>
      <c r="B74" s="433">
        <v>25</v>
      </c>
      <c r="C74" s="418" t="s">
        <v>173</v>
      </c>
      <c r="D74" s="255" t="s">
        <v>34</v>
      </c>
      <c r="E74" s="421">
        <v>12</v>
      </c>
      <c r="F74" s="300"/>
      <c r="G74" s="300"/>
      <c r="H74" s="420"/>
      <c r="I74" s="430">
        <v>0</v>
      </c>
      <c r="J74" s="430">
        <v>0</v>
      </c>
      <c r="K74" s="430">
        <v>0</v>
      </c>
      <c r="L74" s="420"/>
      <c r="M74" s="420"/>
      <c r="N74" s="420"/>
      <c r="O74" s="420"/>
      <c r="P74" s="434">
        <f t="shared" si="0"/>
        <v>0</v>
      </c>
    </row>
    <row r="75" spans="1:16" x14ac:dyDescent="0.25">
      <c r="A75" s="34"/>
      <c r="B75" s="433">
        <v>26</v>
      </c>
      <c r="C75" s="418" t="s">
        <v>174</v>
      </c>
      <c r="D75" s="255" t="s">
        <v>34</v>
      </c>
      <c r="E75" s="421">
        <v>12</v>
      </c>
      <c r="F75" s="300"/>
      <c r="G75" s="300"/>
      <c r="H75" s="420"/>
      <c r="I75" s="430">
        <v>0</v>
      </c>
      <c r="J75" s="430">
        <v>0</v>
      </c>
      <c r="K75" s="430">
        <v>0</v>
      </c>
      <c r="L75" s="420"/>
      <c r="M75" s="420"/>
      <c r="N75" s="420"/>
      <c r="O75" s="420"/>
      <c r="P75" s="434">
        <f t="shared" si="0"/>
        <v>0</v>
      </c>
    </row>
    <row r="76" spans="1:16" ht="28.5" x14ac:dyDescent="0.25">
      <c r="A76" s="34"/>
      <c r="B76" s="433">
        <v>27</v>
      </c>
      <c r="C76" s="418" t="s">
        <v>175</v>
      </c>
      <c r="D76" s="255" t="s">
        <v>34</v>
      </c>
      <c r="E76" s="421">
        <v>12</v>
      </c>
      <c r="F76" s="300"/>
      <c r="G76" s="300"/>
      <c r="H76" s="420"/>
      <c r="I76" s="430">
        <v>0</v>
      </c>
      <c r="J76" s="430">
        <v>0</v>
      </c>
      <c r="K76" s="430">
        <v>0</v>
      </c>
      <c r="L76" s="420"/>
      <c r="M76" s="420"/>
      <c r="N76" s="420"/>
      <c r="O76" s="420"/>
      <c r="P76" s="434">
        <f t="shared" si="0"/>
        <v>0</v>
      </c>
    </row>
    <row r="77" spans="1:16" ht="28.5" x14ac:dyDescent="0.25">
      <c r="A77" s="34"/>
      <c r="B77" s="433">
        <v>28</v>
      </c>
      <c r="C77" s="418" t="s">
        <v>176</v>
      </c>
      <c r="D77" s="255" t="s">
        <v>34</v>
      </c>
      <c r="E77" s="421">
        <v>12</v>
      </c>
      <c r="F77" s="300"/>
      <c r="G77" s="300"/>
      <c r="H77" s="420"/>
      <c r="I77" s="430">
        <v>0</v>
      </c>
      <c r="J77" s="430">
        <v>0</v>
      </c>
      <c r="K77" s="430">
        <v>0</v>
      </c>
      <c r="L77" s="420"/>
      <c r="M77" s="420"/>
      <c r="N77" s="420"/>
      <c r="O77" s="420"/>
      <c r="P77" s="434">
        <f t="shared" si="0"/>
        <v>0</v>
      </c>
    </row>
    <row r="78" spans="1:16" ht="28.5" x14ac:dyDescent="0.25">
      <c r="A78" s="34"/>
      <c r="B78" s="433">
        <v>29</v>
      </c>
      <c r="C78" s="418" t="s">
        <v>177</v>
      </c>
      <c r="D78" s="255" t="s">
        <v>34</v>
      </c>
      <c r="E78" s="421">
        <v>3</v>
      </c>
      <c r="F78" s="300"/>
      <c r="G78" s="300"/>
      <c r="H78" s="420"/>
      <c r="I78" s="430">
        <v>0</v>
      </c>
      <c r="J78" s="430">
        <v>0</v>
      </c>
      <c r="K78" s="430">
        <v>0</v>
      </c>
      <c r="L78" s="420"/>
      <c r="M78" s="420"/>
      <c r="N78" s="420"/>
      <c r="O78" s="420"/>
      <c r="P78" s="434">
        <f t="shared" si="0"/>
        <v>0</v>
      </c>
    </row>
    <row r="79" spans="1:16" ht="28.5" x14ac:dyDescent="0.25">
      <c r="A79" s="34"/>
      <c r="B79" s="433">
        <v>30</v>
      </c>
      <c r="C79" s="418" t="s">
        <v>178</v>
      </c>
      <c r="D79" s="255" t="s">
        <v>34</v>
      </c>
      <c r="E79" s="421">
        <v>12</v>
      </c>
      <c r="F79" s="300"/>
      <c r="G79" s="300"/>
      <c r="H79" s="420"/>
      <c r="I79" s="430">
        <v>0</v>
      </c>
      <c r="J79" s="430">
        <v>0</v>
      </c>
      <c r="K79" s="430">
        <v>0</v>
      </c>
      <c r="L79" s="420"/>
      <c r="M79" s="420"/>
      <c r="N79" s="420"/>
      <c r="O79" s="420"/>
      <c r="P79" s="434">
        <f t="shared" si="0"/>
        <v>0</v>
      </c>
    </row>
    <row r="80" spans="1:16" ht="28.5" x14ac:dyDescent="0.25">
      <c r="A80" s="34"/>
      <c r="B80" s="433">
        <v>31</v>
      </c>
      <c r="C80" s="418" t="s">
        <v>179</v>
      </c>
      <c r="D80" s="255" t="s">
        <v>34</v>
      </c>
      <c r="E80" s="421">
        <v>12</v>
      </c>
      <c r="F80" s="300"/>
      <c r="G80" s="300"/>
      <c r="H80" s="420"/>
      <c r="I80" s="430">
        <v>0</v>
      </c>
      <c r="J80" s="430">
        <v>0</v>
      </c>
      <c r="K80" s="430">
        <v>0</v>
      </c>
      <c r="L80" s="420"/>
      <c r="M80" s="420"/>
      <c r="N80" s="420"/>
      <c r="O80" s="420"/>
      <c r="P80" s="434">
        <f t="shared" si="0"/>
        <v>0</v>
      </c>
    </row>
    <row r="81" spans="1:16" x14ac:dyDescent="0.25">
      <c r="A81" s="34"/>
      <c r="B81" s="433">
        <v>32</v>
      </c>
      <c r="C81" s="418" t="s">
        <v>180</v>
      </c>
      <c r="D81" s="255" t="s">
        <v>34</v>
      </c>
      <c r="E81" s="421">
        <v>12</v>
      </c>
      <c r="F81" s="300"/>
      <c r="G81" s="300"/>
      <c r="H81" s="420"/>
      <c r="I81" s="430">
        <v>0</v>
      </c>
      <c r="J81" s="430">
        <v>0</v>
      </c>
      <c r="K81" s="430">
        <v>0</v>
      </c>
      <c r="L81" s="420"/>
      <c r="M81" s="420"/>
      <c r="N81" s="420"/>
      <c r="O81" s="420"/>
      <c r="P81" s="434">
        <f t="shared" si="0"/>
        <v>0</v>
      </c>
    </row>
    <row r="82" spans="1:16" x14ac:dyDescent="0.25">
      <c r="A82" s="34"/>
      <c r="B82" s="435" t="s">
        <v>259</v>
      </c>
      <c r="C82" s="418"/>
      <c r="D82" s="255" t="s">
        <v>254</v>
      </c>
      <c r="E82" s="421"/>
      <c r="F82" s="300"/>
      <c r="G82" s="300"/>
      <c r="H82" s="420"/>
      <c r="I82" s="420"/>
      <c r="J82" s="420"/>
      <c r="K82" s="420"/>
      <c r="L82" s="420"/>
      <c r="M82" s="420"/>
      <c r="N82" s="420"/>
      <c r="O82" s="420"/>
      <c r="P82" s="434"/>
    </row>
    <row r="83" spans="1:16" x14ac:dyDescent="0.25">
      <c r="A83" s="34"/>
      <c r="B83" s="433"/>
      <c r="C83" s="580"/>
      <c r="D83" s="580"/>
      <c r="E83" s="270"/>
      <c r="F83" s="300"/>
      <c r="G83" s="300"/>
      <c r="H83" s="420"/>
      <c r="I83" s="420"/>
      <c r="J83" s="420"/>
      <c r="K83" s="420"/>
      <c r="L83" s="420"/>
      <c r="M83" s="420"/>
      <c r="N83" s="420"/>
      <c r="O83" s="420"/>
      <c r="P83" s="434"/>
    </row>
    <row r="84" spans="1:16" x14ac:dyDescent="0.25">
      <c r="A84" s="34"/>
      <c r="B84" s="433"/>
      <c r="C84" s="580"/>
      <c r="D84" s="580"/>
      <c r="E84" s="270"/>
      <c r="F84" s="300"/>
      <c r="G84" s="300"/>
      <c r="H84" s="420"/>
      <c r="I84" s="420"/>
      <c r="J84" s="420"/>
      <c r="K84" s="420"/>
      <c r="L84" s="420"/>
      <c r="M84" s="420"/>
      <c r="N84" s="420"/>
      <c r="O84" s="420"/>
      <c r="P84" s="434"/>
    </row>
    <row r="85" spans="1:16" x14ac:dyDescent="0.25">
      <c r="A85" s="34"/>
      <c r="B85" s="433"/>
      <c r="C85" s="580"/>
      <c r="D85" s="580"/>
      <c r="E85" s="270"/>
      <c r="F85" s="300"/>
      <c r="G85" s="300"/>
      <c r="H85" s="420"/>
      <c r="I85" s="420"/>
      <c r="J85" s="420"/>
      <c r="K85" s="420"/>
      <c r="L85" s="420"/>
      <c r="M85" s="420"/>
      <c r="N85" s="420"/>
      <c r="O85" s="420"/>
      <c r="P85" s="434"/>
    </row>
    <row r="86" spans="1:16" ht="25.5" customHeight="1" x14ac:dyDescent="0.25">
      <c r="A86" s="34"/>
      <c r="B86" s="603" t="s">
        <v>181</v>
      </c>
      <c r="C86" s="593"/>
      <c r="D86" s="593"/>
      <c r="E86" s="593"/>
      <c r="F86" s="593"/>
      <c r="G86" s="593"/>
      <c r="H86" s="593"/>
      <c r="I86" s="593"/>
      <c r="J86" s="593"/>
      <c r="K86" s="593"/>
      <c r="L86" s="593"/>
      <c r="M86" s="593"/>
      <c r="N86" s="593"/>
      <c r="O86" s="593"/>
      <c r="P86" s="604"/>
    </row>
    <row r="87" spans="1:16" x14ac:dyDescent="0.25">
      <c r="A87" s="34"/>
      <c r="B87" s="433">
        <v>33</v>
      </c>
      <c r="C87" s="418" t="s">
        <v>182</v>
      </c>
      <c r="D87" s="255" t="s">
        <v>34</v>
      </c>
      <c r="E87" s="421">
        <v>12</v>
      </c>
      <c r="F87" s="300"/>
      <c r="G87" s="300"/>
      <c r="H87" s="426"/>
      <c r="I87" s="426"/>
      <c r="J87" s="426"/>
      <c r="K87" s="426"/>
      <c r="L87" s="426"/>
      <c r="M87" s="426"/>
      <c r="N87" s="426"/>
      <c r="O87" s="426"/>
      <c r="P87" s="434">
        <f t="shared" ref="P87:P108" si="1">SUM(H87:O87)</f>
        <v>0</v>
      </c>
    </row>
    <row r="88" spans="1:16" x14ac:dyDescent="0.25">
      <c r="A88" s="34"/>
      <c r="B88" s="433">
        <v>34</v>
      </c>
      <c r="C88" s="418" t="s">
        <v>183</v>
      </c>
      <c r="D88" s="255" t="s">
        <v>34</v>
      </c>
      <c r="E88" s="421"/>
      <c r="F88" s="300"/>
      <c r="G88" s="300"/>
      <c r="H88" s="426"/>
      <c r="I88" s="426"/>
      <c r="J88" s="426"/>
      <c r="K88" s="426"/>
      <c r="L88" s="426"/>
      <c r="M88" s="426"/>
      <c r="N88" s="426"/>
      <c r="O88" s="426"/>
      <c r="P88" s="434">
        <f t="shared" si="1"/>
        <v>0</v>
      </c>
    </row>
    <row r="89" spans="1:16" x14ac:dyDescent="0.25">
      <c r="A89" s="34"/>
      <c r="B89" s="433">
        <v>35</v>
      </c>
      <c r="C89" s="418" t="s">
        <v>184</v>
      </c>
      <c r="D89" s="255" t="s">
        <v>34</v>
      </c>
      <c r="E89" s="421"/>
      <c r="F89" s="300"/>
      <c r="G89" s="300"/>
      <c r="H89" s="426"/>
      <c r="I89" s="426"/>
      <c r="J89" s="426"/>
      <c r="K89" s="426"/>
      <c r="L89" s="426"/>
      <c r="M89" s="426"/>
      <c r="N89" s="426"/>
      <c r="O89" s="426"/>
      <c r="P89" s="434">
        <f t="shared" si="1"/>
        <v>0</v>
      </c>
    </row>
    <row r="90" spans="1:16" x14ac:dyDescent="0.25">
      <c r="A90" s="34"/>
      <c r="B90" s="435" t="s">
        <v>259</v>
      </c>
      <c r="C90" s="418"/>
      <c r="D90" s="255" t="s">
        <v>254</v>
      </c>
      <c r="E90" s="421"/>
      <c r="F90" s="300"/>
      <c r="G90" s="300"/>
      <c r="H90" s="426"/>
      <c r="I90" s="426"/>
      <c r="J90" s="426"/>
      <c r="K90" s="426"/>
      <c r="L90" s="426"/>
      <c r="M90" s="426"/>
      <c r="N90" s="426"/>
      <c r="O90" s="426"/>
      <c r="P90" s="434"/>
    </row>
    <row r="91" spans="1:16" x14ac:dyDescent="0.25">
      <c r="A91" s="34"/>
      <c r="B91" s="433"/>
      <c r="C91" s="580"/>
      <c r="D91" s="580"/>
      <c r="E91" s="270"/>
      <c r="F91" s="300"/>
      <c r="G91" s="300"/>
      <c r="H91" s="426"/>
      <c r="I91" s="426"/>
      <c r="J91" s="426"/>
      <c r="K91" s="426"/>
      <c r="L91" s="426"/>
      <c r="M91" s="426"/>
      <c r="N91" s="426"/>
      <c r="O91" s="426"/>
      <c r="P91" s="434"/>
    </row>
    <row r="92" spans="1:16" x14ac:dyDescent="0.25">
      <c r="A92" s="34"/>
      <c r="B92" s="433"/>
      <c r="C92" s="580"/>
      <c r="D92" s="580"/>
      <c r="E92" s="270"/>
      <c r="F92" s="300"/>
      <c r="G92" s="300"/>
      <c r="H92" s="426"/>
      <c r="I92" s="426"/>
      <c r="J92" s="426"/>
      <c r="K92" s="426"/>
      <c r="L92" s="426"/>
      <c r="M92" s="426"/>
      <c r="N92" s="426"/>
      <c r="O92" s="426"/>
      <c r="P92" s="434"/>
    </row>
    <row r="93" spans="1:16" x14ac:dyDescent="0.25">
      <c r="A93" s="34"/>
      <c r="B93" s="433"/>
      <c r="C93" s="580"/>
      <c r="D93" s="580"/>
      <c r="E93" s="270"/>
      <c r="F93" s="300"/>
      <c r="G93" s="300"/>
      <c r="H93" s="426"/>
      <c r="I93" s="426"/>
      <c r="J93" s="426"/>
      <c r="K93" s="426"/>
      <c r="L93" s="426"/>
      <c r="M93" s="426"/>
      <c r="N93" s="426"/>
      <c r="O93" s="426"/>
      <c r="P93" s="434"/>
    </row>
    <row r="94" spans="1:16" ht="24" customHeight="1" x14ac:dyDescent="0.25">
      <c r="A94" s="34"/>
      <c r="B94" s="603" t="s">
        <v>185</v>
      </c>
      <c r="C94" s="593"/>
      <c r="D94" s="593"/>
      <c r="E94" s="593"/>
      <c r="F94" s="593"/>
      <c r="G94" s="593"/>
      <c r="H94" s="593"/>
      <c r="I94" s="593"/>
      <c r="J94" s="593"/>
      <c r="K94" s="593"/>
      <c r="L94" s="593"/>
      <c r="M94" s="593"/>
      <c r="N94" s="593"/>
      <c r="O94" s="593"/>
      <c r="P94" s="604"/>
    </row>
    <row r="95" spans="1:16" ht="42.75" x14ac:dyDescent="0.25">
      <c r="A95" s="34"/>
      <c r="B95" s="433">
        <v>36</v>
      </c>
      <c r="C95" s="418" t="s">
        <v>186</v>
      </c>
      <c r="D95" s="255" t="s">
        <v>34</v>
      </c>
      <c r="E95" s="421"/>
      <c r="F95" s="300"/>
      <c r="G95" s="300"/>
      <c r="H95" s="426"/>
      <c r="I95" s="426"/>
      <c r="J95" s="426"/>
      <c r="K95" s="426"/>
      <c r="L95" s="426"/>
      <c r="M95" s="426"/>
      <c r="N95" s="426"/>
      <c r="O95" s="426"/>
      <c r="P95" s="434">
        <f t="shared" si="1"/>
        <v>0</v>
      </c>
    </row>
    <row r="96" spans="1:16" ht="28.5" x14ac:dyDescent="0.25">
      <c r="A96" s="34"/>
      <c r="B96" s="433">
        <v>37</v>
      </c>
      <c r="C96" s="418" t="s">
        <v>187</v>
      </c>
      <c r="D96" s="255" t="s">
        <v>34</v>
      </c>
      <c r="E96" s="421"/>
      <c r="F96" s="300"/>
      <c r="G96" s="300"/>
      <c r="H96" s="426"/>
      <c r="I96" s="426"/>
      <c r="J96" s="426"/>
      <c r="K96" s="426"/>
      <c r="L96" s="426"/>
      <c r="M96" s="426"/>
      <c r="N96" s="426"/>
      <c r="O96" s="426"/>
      <c r="P96" s="434">
        <f t="shared" si="1"/>
        <v>0</v>
      </c>
    </row>
    <row r="97" spans="1:16" x14ac:dyDescent="0.25">
      <c r="A97" s="34"/>
      <c r="B97" s="433">
        <v>38</v>
      </c>
      <c r="C97" s="418" t="s">
        <v>188</v>
      </c>
      <c r="D97" s="255" t="s">
        <v>34</v>
      </c>
      <c r="E97" s="421"/>
      <c r="F97" s="300"/>
      <c r="G97" s="300"/>
      <c r="H97" s="426"/>
      <c r="I97" s="426"/>
      <c r="J97" s="426"/>
      <c r="K97" s="426"/>
      <c r="L97" s="426"/>
      <c r="M97" s="426"/>
      <c r="N97" s="426"/>
      <c r="O97" s="426"/>
      <c r="P97" s="434">
        <f t="shared" si="1"/>
        <v>0</v>
      </c>
    </row>
    <row r="98" spans="1:16" ht="28.5" x14ac:dyDescent="0.25">
      <c r="A98" s="34"/>
      <c r="B98" s="433">
        <v>39</v>
      </c>
      <c r="C98" s="418" t="s">
        <v>189</v>
      </c>
      <c r="D98" s="255" t="s">
        <v>34</v>
      </c>
      <c r="E98" s="421"/>
      <c r="F98" s="300"/>
      <c r="G98" s="300"/>
      <c r="H98" s="426"/>
      <c r="I98" s="426"/>
      <c r="J98" s="426"/>
      <c r="K98" s="426"/>
      <c r="L98" s="426"/>
      <c r="M98" s="426"/>
      <c r="N98" s="426"/>
      <c r="O98" s="426"/>
      <c r="P98" s="434">
        <f t="shared" si="1"/>
        <v>0</v>
      </c>
    </row>
    <row r="99" spans="1:16" ht="28.5" x14ac:dyDescent="0.25">
      <c r="A99" s="34"/>
      <c r="B99" s="433">
        <v>40</v>
      </c>
      <c r="C99" s="418" t="s">
        <v>190</v>
      </c>
      <c r="D99" s="255" t="s">
        <v>34</v>
      </c>
      <c r="E99" s="421"/>
      <c r="F99" s="300"/>
      <c r="G99" s="300"/>
      <c r="H99" s="426"/>
      <c r="I99" s="426"/>
      <c r="J99" s="426"/>
      <c r="K99" s="426"/>
      <c r="L99" s="426"/>
      <c r="M99" s="426"/>
      <c r="N99" s="426"/>
      <c r="O99" s="426"/>
      <c r="P99" s="434">
        <f t="shared" si="1"/>
        <v>0</v>
      </c>
    </row>
    <row r="100" spans="1:16" ht="28.5" x14ac:dyDescent="0.25">
      <c r="A100" s="34"/>
      <c r="B100" s="433">
        <v>41</v>
      </c>
      <c r="C100" s="418" t="s">
        <v>191</v>
      </c>
      <c r="D100" s="255" t="s">
        <v>34</v>
      </c>
      <c r="E100" s="421"/>
      <c r="F100" s="300"/>
      <c r="G100" s="300"/>
      <c r="H100" s="426"/>
      <c r="I100" s="426"/>
      <c r="J100" s="426"/>
      <c r="K100" s="426"/>
      <c r="L100" s="426"/>
      <c r="M100" s="426"/>
      <c r="N100" s="426"/>
      <c r="O100" s="426"/>
      <c r="P100" s="434">
        <f t="shared" si="1"/>
        <v>0</v>
      </c>
    </row>
    <row r="101" spans="1:16" ht="28.5" x14ac:dyDescent="0.25">
      <c r="A101" s="34"/>
      <c r="B101" s="433">
        <v>42</v>
      </c>
      <c r="C101" s="418" t="s">
        <v>192</v>
      </c>
      <c r="D101" s="255" t="s">
        <v>34</v>
      </c>
      <c r="E101" s="421"/>
      <c r="F101" s="300"/>
      <c r="G101" s="300"/>
      <c r="H101" s="426"/>
      <c r="I101" s="426"/>
      <c r="J101" s="426"/>
      <c r="K101" s="426"/>
      <c r="L101" s="426"/>
      <c r="M101" s="426"/>
      <c r="N101" s="426"/>
      <c r="O101" s="426"/>
      <c r="P101" s="434">
        <f t="shared" si="1"/>
        <v>0</v>
      </c>
    </row>
    <row r="102" spans="1:16" x14ac:dyDescent="0.25">
      <c r="A102" s="34"/>
      <c r="B102" s="433">
        <v>43</v>
      </c>
      <c r="C102" s="418" t="s">
        <v>193</v>
      </c>
      <c r="D102" s="255" t="s">
        <v>34</v>
      </c>
      <c r="E102" s="421"/>
      <c r="F102" s="300"/>
      <c r="G102" s="300"/>
      <c r="H102" s="426"/>
      <c r="I102" s="426"/>
      <c r="J102" s="426"/>
      <c r="K102" s="426"/>
      <c r="L102" s="426"/>
      <c r="M102" s="426"/>
      <c r="N102" s="426"/>
      <c r="O102" s="426"/>
      <c r="P102" s="434">
        <f t="shared" si="1"/>
        <v>0</v>
      </c>
    </row>
    <row r="103" spans="1:16" ht="42.75" x14ac:dyDescent="0.25">
      <c r="A103" s="34"/>
      <c r="B103" s="433">
        <v>44</v>
      </c>
      <c r="C103" s="418" t="s">
        <v>194</v>
      </c>
      <c r="D103" s="255" t="s">
        <v>34</v>
      </c>
      <c r="E103" s="421"/>
      <c r="F103" s="300"/>
      <c r="G103" s="300"/>
      <c r="H103" s="426"/>
      <c r="I103" s="426"/>
      <c r="J103" s="426"/>
      <c r="K103" s="426"/>
      <c r="L103" s="426"/>
      <c r="M103" s="426"/>
      <c r="N103" s="426"/>
      <c r="O103" s="426"/>
      <c r="P103" s="434">
        <f t="shared" si="1"/>
        <v>0</v>
      </c>
    </row>
    <row r="104" spans="1:16" ht="28.5" x14ac:dyDescent="0.25">
      <c r="A104" s="34"/>
      <c r="B104" s="433">
        <v>45</v>
      </c>
      <c r="C104" s="418" t="s">
        <v>195</v>
      </c>
      <c r="D104" s="255" t="s">
        <v>34</v>
      </c>
      <c r="E104" s="421"/>
      <c r="F104" s="300"/>
      <c r="G104" s="300"/>
      <c r="H104" s="426"/>
      <c r="I104" s="426"/>
      <c r="J104" s="426"/>
      <c r="K104" s="426"/>
      <c r="L104" s="426"/>
      <c r="M104" s="426"/>
      <c r="N104" s="426"/>
      <c r="O104" s="426"/>
      <c r="P104" s="434">
        <f t="shared" si="1"/>
        <v>0</v>
      </c>
    </row>
    <row r="105" spans="1:16" ht="28.5" x14ac:dyDescent="0.25">
      <c r="A105" s="34"/>
      <c r="B105" s="433">
        <v>46</v>
      </c>
      <c r="C105" s="418" t="s">
        <v>196</v>
      </c>
      <c r="D105" s="255" t="s">
        <v>34</v>
      </c>
      <c r="E105" s="421"/>
      <c r="F105" s="300"/>
      <c r="G105" s="300"/>
      <c r="H105" s="426"/>
      <c r="I105" s="426"/>
      <c r="J105" s="426"/>
      <c r="K105" s="426"/>
      <c r="L105" s="426"/>
      <c r="M105" s="426"/>
      <c r="N105" s="426"/>
      <c r="O105" s="426"/>
      <c r="P105" s="434">
        <f t="shared" si="1"/>
        <v>0</v>
      </c>
    </row>
    <row r="106" spans="1:16" ht="28.5" x14ac:dyDescent="0.25">
      <c r="A106" s="34"/>
      <c r="B106" s="433">
        <v>47</v>
      </c>
      <c r="C106" s="418" t="s">
        <v>197</v>
      </c>
      <c r="D106" s="255" t="s">
        <v>34</v>
      </c>
      <c r="E106" s="421"/>
      <c r="F106" s="300"/>
      <c r="G106" s="300"/>
      <c r="H106" s="426"/>
      <c r="I106" s="426"/>
      <c r="J106" s="426"/>
      <c r="K106" s="426"/>
      <c r="L106" s="426"/>
      <c r="M106" s="426"/>
      <c r="N106" s="426"/>
      <c r="O106" s="426"/>
      <c r="P106" s="434">
        <f t="shared" si="1"/>
        <v>0</v>
      </c>
    </row>
    <row r="107" spans="1:16" ht="28.5" x14ac:dyDescent="0.25">
      <c r="A107" s="34"/>
      <c r="B107" s="433">
        <v>48</v>
      </c>
      <c r="C107" s="418" t="s">
        <v>198</v>
      </c>
      <c r="D107" s="255" t="s">
        <v>34</v>
      </c>
      <c r="E107" s="421"/>
      <c r="F107" s="300"/>
      <c r="G107" s="300"/>
      <c r="H107" s="426"/>
      <c r="I107" s="426"/>
      <c r="J107" s="426"/>
      <c r="K107" s="426"/>
      <c r="L107" s="426"/>
      <c r="M107" s="426"/>
      <c r="N107" s="426"/>
      <c r="O107" s="426"/>
      <c r="P107" s="434">
        <f t="shared" si="1"/>
        <v>0</v>
      </c>
    </row>
    <row r="108" spans="1:16" ht="28.5" x14ac:dyDescent="0.25">
      <c r="A108" s="34"/>
      <c r="B108" s="433">
        <v>49</v>
      </c>
      <c r="C108" s="418" t="s">
        <v>199</v>
      </c>
      <c r="D108" s="255" t="s">
        <v>34</v>
      </c>
      <c r="E108" s="421"/>
      <c r="F108" s="300"/>
      <c r="G108" s="300"/>
      <c r="H108" s="426"/>
      <c r="I108" s="426"/>
      <c r="J108" s="426"/>
      <c r="K108" s="426"/>
      <c r="L108" s="426"/>
      <c r="M108" s="426"/>
      <c r="N108" s="426"/>
      <c r="O108" s="426"/>
      <c r="P108" s="434">
        <f t="shared" si="1"/>
        <v>0</v>
      </c>
    </row>
    <row r="109" spans="1:16" x14ac:dyDescent="0.25">
      <c r="A109" s="34"/>
      <c r="B109" s="435" t="s">
        <v>259</v>
      </c>
      <c r="C109" s="418"/>
      <c r="D109" s="255" t="s">
        <v>254</v>
      </c>
      <c r="E109" s="421"/>
      <c r="F109" s="300"/>
      <c r="G109" s="300"/>
      <c r="H109" s="426"/>
      <c r="I109" s="426"/>
      <c r="J109" s="426"/>
      <c r="K109" s="426"/>
      <c r="L109" s="426"/>
      <c r="M109" s="426"/>
      <c r="N109" s="426"/>
      <c r="O109" s="426"/>
      <c r="P109" s="434"/>
    </row>
    <row r="110" spans="1:16" x14ac:dyDescent="0.25">
      <c r="A110" s="34"/>
      <c r="B110" s="433"/>
      <c r="C110" s="580"/>
      <c r="D110" s="580"/>
      <c r="E110" s="270"/>
      <c r="F110" s="300"/>
      <c r="G110" s="300"/>
      <c r="H110" s="426"/>
      <c r="I110" s="426"/>
      <c r="J110" s="426"/>
      <c r="K110" s="426"/>
      <c r="L110" s="426"/>
      <c r="M110" s="426"/>
      <c r="N110" s="426"/>
      <c r="O110" s="426"/>
      <c r="P110" s="434"/>
    </row>
    <row r="111" spans="1:16" x14ac:dyDescent="0.25">
      <c r="A111" s="34"/>
      <c r="B111" s="433"/>
      <c r="C111" s="580"/>
      <c r="D111" s="580"/>
      <c r="E111" s="270"/>
      <c r="F111" s="300"/>
      <c r="G111" s="300"/>
      <c r="H111" s="426"/>
      <c r="I111" s="426"/>
      <c r="J111" s="426"/>
      <c r="K111" s="426"/>
      <c r="L111" s="426"/>
      <c r="M111" s="426"/>
      <c r="N111" s="426"/>
      <c r="O111" s="426"/>
      <c r="P111" s="434"/>
    </row>
    <row r="112" spans="1:16" x14ac:dyDescent="0.25">
      <c r="A112" s="34"/>
      <c r="B112" s="439"/>
      <c r="C112" s="580"/>
      <c r="D112" s="580"/>
      <c r="E112" s="270"/>
      <c r="F112" s="408"/>
      <c r="G112" s="408"/>
      <c r="H112" s="440"/>
      <c r="I112" s="440"/>
      <c r="J112" s="440"/>
      <c r="K112" s="440"/>
      <c r="L112" s="440"/>
      <c r="M112" s="440"/>
      <c r="N112" s="440"/>
      <c r="O112" s="440"/>
      <c r="P112" s="441"/>
    </row>
    <row r="113" spans="2:17" x14ac:dyDescent="0.25">
      <c r="B113" s="357"/>
      <c r="C113" s="594" t="s">
        <v>222</v>
      </c>
      <c r="D113" s="594"/>
      <c r="E113" s="358"/>
      <c r="F113" s="359"/>
      <c r="G113" s="359"/>
      <c r="H113" s="360">
        <f>SUM(F19*H19,F20*H20,F21*H21,F22*H22,F23*H23,F24*H24,F48*H48,F65*H65,F66*H66,F67*H67,F68*H68)</f>
        <v>3933689</v>
      </c>
      <c r="I113" s="360">
        <f>SUM(F30*I30,F31*I31,F32*I32,F33*I33,F34*I34,F74*I74,F75*I75,F76*I76,F77*I77,F78*I78,F79*I79,F80*I80,F81*I81,F87*I87,F88*I88,F89*I89)</f>
        <v>2623229.06</v>
      </c>
      <c r="J113" s="361"/>
      <c r="K113" s="358"/>
      <c r="L113" s="358"/>
      <c r="M113" s="358"/>
      <c r="N113" s="360"/>
      <c r="O113" s="358"/>
      <c r="P113" s="362">
        <f>SUM(H113:O113)</f>
        <v>6556918.0600000005</v>
      </c>
    </row>
    <row r="114" spans="2:17" x14ac:dyDescent="0.25">
      <c r="B114" s="277"/>
      <c r="C114" s="580" t="s">
        <v>261</v>
      </c>
      <c r="D114" s="580"/>
      <c r="E114" s="271"/>
      <c r="F114" s="269"/>
      <c r="G114" s="269"/>
      <c r="H114" s="271"/>
      <c r="I114" s="271"/>
      <c r="J114" s="272">
        <f>SUM($E$30*$G$30*J30,$E$31*$G$31*J31,$E$32*$G$32*J32,$E$33*$G$33*J33,$E$34*$G$34*J34,$E$40*$G$40*J40,$E$41*$G$41*J41,$E$42*$G$42*J42,$E$74*$G$74*J74,$E$75*$G$75*J75,$E$76*$G$76*J76,$E$77*$G$77*J77,$E$78*$G$78*J78,$E$79*$G$79*J79,$E$80*$G$80*J80,$E$81*$G$81*J81, E54*G54*J54)</f>
        <v>30362.880000000001</v>
      </c>
      <c r="K114" s="272">
        <f>SUM($E$30*$G$30*K30,$E$31*$G$31*K31,$E$32*$G$32*K32,$E$33*$G$33*K33,$E$34*$G$34*K34,$E$40*$G$40*K40,$E$41*$G$41*K41,$E$42*$G$42*K42,$E$74*$G$74*K74,$E$75*$G$75*K75,$E$76*$G$76*K76,$E$77*$G$77*K77,$E$78*$G$78*K78,$E$79*$G$79*K79,$E$80*$G$80*K80,$E$81*$G$81*K81)</f>
        <v>0</v>
      </c>
      <c r="L114" s="272"/>
      <c r="M114" s="272"/>
      <c r="N114" s="271"/>
      <c r="O114" s="271"/>
      <c r="P114" s="278">
        <f>SUM(H114:O114)</f>
        <v>30362.880000000001</v>
      </c>
    </row>
    <row r="115" spans="2:17" x14ac:dyDescent="0.25">
      <c r="B115" s="277"/>
      <c r="C115" s="580" t="s">
        <v>501</v>
      </c>
      <c r="D115" s="580"/>
      <c r="E115" s="271"/>
      <c r="F115" s="269"/>
      <c r="G115" s="269"/>
      <c r="H115" s="271"/>
      <c r="I115" s="271"/>
      <c r="J115" s="272">
        <f>J114-SUM($E$34*$G$34*J34,$E$78*$G$78*J78)</f>
        <v>30362.880000000001</v>
      </c>
      <c r="K115" s="272">
        <f>K114-SUM($E$34*$G$34*K34,$E$78*$G$78*K78)</f>
        <v>0</v>
      </c>
      <c r="L115" s="271"/>
      <c r="M115" s="271"/>
      <c r="N115" s="271"/>
      <c r="O115" s="271"/>
      <c r="P115" s="278"/>
    </row>
    <row r="116" spans="2:17" x14ac:dyDescent="0.25">
      <c r="B116" s="279"/>
      <c r="C116" s="595"/>
      <c r="D116" s="595"/>
      <c r="E116" s="264"/>
      <c r="F116" s="262"/>
      <c r="G116" s="262"/>
      <c r="H116" s="264"/>
      <c r="I116" s="264"/>
      <c r="J116" s="264"/>
      <c r="K116" s="264"/>
      <c r="L116" s="264"/>
      <c r="M116" s="264"/>
      <c r="N116" s="264"/>
      <c r="O116" s="264"/>
      <c r="P116" s="280"/>
    </row>
    <row r="117" spans="2:17" x14ac:dyDescent="0.25">
      <c r="B117" s="279"/>
      <c r="C117" s="522"/>
      <c r="D117" s="264"/>
      <c r="E117" s="264"/>
      <c r="F117" s="262"/>
      <c r="G117" s="262"/>
      <c r="H117" s="264"/>
      <c r="I117" s="264"/>
      <c r="J117" s="264"/>
      <c r="K117" s="264"/>
      <c r="L117" s="264"/>
      <c r="M117" s="264"/>
      <c r="N117" s="264"/>
      <c r="O117" s="264"/>
      <c r="P117" s="280"/>
    </row>
    <row r="118" spans="2:17" x14ac:dyDescent="0.25">
      <c r="B118" s="385"/>
      <c r="C118" s="578" t="s">
        <v>325</v>
      </c>
      <c r="D118" s="578"/>
      <c r="E118" s="255"/>
      <c r="F118" s="266"/>
      <c r="G118" s="255"/>
      <c r="H118" s="267">
        <f>'3.  Distribution Rates'!I33</f>
        <v>1.6400000000000001E-2</v>
      </c>
      <c r="I118" s="267">
        <f>'3.  Distribution Rates'!I34</f>
        <v>1.26E-2</v>
      </c>
      <c r="J118" s="267">
        <f>'3.  Distribution Rates'!I35</f>
        <v>4.4840999999999998</v>
      </c>
      <c r="K118" s="267">
        <f>'3.  Distribution Rates'!I36</f>
        <v>0</v>
      </c>
      <c r="L118" s="267">
        <f>'3.  Distribution Rates'!I37</f>
        <v>0</v>
      </c>
      <c r="M118" s="267">
        <f>'3.  Distribution Rates'!I38</f>
        <v>4.7187000000000001</v>
      </c>
      <c r="N118" s="267">
        <f>'3.  Distribution Rates'!I39</f>
        <v>1.3599999999999999E-2</v>
      </c>
      <c r="O118" s="267"/>
      <c r="P118" s="386"/>
    </row>
    <row r="119" spans="2:17" x14ac:dyDescent="0.25">
      <c r="B119" s="385"/>
      <c r="C119" s="578" t="s">
        <v>229</v>
      </c>
      <c r="D119" s="578"/>
      <c r="E119" s="264"/>
      <c r="F119" s="266"/>
      <c r="G119" s="266"/>
      <c r="H119" s="382">
        <f>'4.  2011-14 LRAM'!H$77*H118</f>
        <v>0</v>
      </c>
      <c r="I119" s="382">
        <f>'4.  2011-14 LRAM'!I$77*I118</f>
        <v>0</v>
      </c>
      <c r="J119" s="382">
        <f>'4.  2011-14 LRAM'!J$77*J118</f>
        <v>0</v>
      </c>
      <c r="K119" s="382">
        <f>'4.  2011-14 LRAM'!K$77*K118</f>
        <v>0</v>
      </c>
      <c r="L119" s="382">
        <f>'4.  2011-14 LRAM'!L$77*L118</f>
        <v>0</v>
      </c>
      <c r="M119" s="382">
        <f>'4.  2011-14 LRAM'!M$77*M118</f>
        <v>0</v>
      </c>
      <c r="N119" s="382">
        <f>'4.  2011-14 LRAM'!N$77*N118</f>
        <v>0</v>
      </c>
      <c r="O119" s="255"/>
      <c r="P119" s="281">
        <f>SUM(H119:O119)</f>
        <v>0</v>
      </c>
      <c r="Q119" s="17"/>
    </row>
    <row r="120" spans="2:17" x14ac:dyDescent="0.25">
      <c r="B120" s="385"/>
      <c r="C120" s="578" t="s">
        <v>230</v>
      </c>
      <c r="D120" s="578"/>
      <c r="E120" s="264"/>
      <c r="F120" s="266"/>
      <c r="G120" s="266"/>
      <c r="H120" s="382">
        <f>'4.  2011-14 LRAM'!H$156*H118</f>
        <v>0</v>
      </c>
      <c r="I120" s="382">
        <f>'4.  2011-14 LRAM'!I$156*I118</f>
        <v>0</v>
      </c>
      <c r="J120" s="382">
        <f>'4.  2011-14 LRAM'!J$156*J118</f>
        <v>0</v>
      </c>
      <c r="K120" s="382">
        <f>'4.  2011-14 LRAM'!K$156*K118</f>
        <v>0</v>
      </c>
      <c r="L120" s="382">
        <f>'4.  2011-14 LRAM'!L$156*L118</f>
        <v>0</v>
      </c>
      <c r="M120" s="382">
        <f>'4.  2011-14 LRAM'!M$156*M118</f>
        <v>0</v>
      </c>
      <c r="N120" s="382">
        <f>'4.  2011-14 LRAM'!N$156*N118</f>
        <v>0</v>
      </c>
      <c r="O120" s="255"/>
      <c r="P120" s="281">
        <f>SUM(H120:O120)</f>
        <v>0</v>
      </c>
    </row>
    <row r="121" spans="2:17" x14ac:dyDescent="0.25">
      <c r="B121" s="385"/>
      <c r="C121" s="578" t="s">
        <v>231</v>
      </c>
      <c r="D121" s="578"/>
      <c r="E121" s="264"/>
      <c r="F121" s="266"/>
      <c r="G121" s="266"/>
      <c r="H121" s="382">
        <f>'4.  2011-14 LRAM'!H$236*H118</f>
        <v>0</v>
      </c>
      <c r="I121" s="382">
        <f>'4.  2011-14 LRAM'!I$236*I118</f>
        <v>0</v>
      </c>
      <c r="J121" s="382">
        <f>'4.  2011-14 LRAM'!J$236*J118</f>
        <v>0</v>
      </c>
      <c r="K121" s="382">
        <f>'4.  2011-14 LRAM'!K$236*K118</f>
        <v>0</v>
      </c>
      <c r="L121" s="382">
        <f>'4.  2011-14 LRAM'!L$236*L118</f>
        <v>0</v>
      </c>
      <c r="M121" s="382">
        <f>'4.  2011-14 LRAM'!M$236*M118</f>
        <v>0</v>
      </c>
      <c r="N121" s="382">
        <f>'4.  2011-14 LRAM'!N$236*N118</f>
        <v>0</v>
      </c>
      <c r="O121" s="255"/>
      <c r="P121" s="281">
        <f t="shared" ref="P121" si="2">SUM(H121:O121)</f>
        <v>0</v>
      </c>
    </row>
    <row r="122" spans="2:17" x14ac:dyDescent="0.25">
      <c r="B122" s="385"/>
      <c r="C122" s="578" t="s">
        <v>232</v>
      </c>
      <c r="D122" s="578"/>
      <c r="E122" s="264"/>
      <c r="F122" s="266"/>
      <c r="G122" s="266"/>
      <c r="H122" s="382">
        <f>'4.  2011-14 LRAM'!H$317*H118</f>
        <v>0</v>
      </c>
      <c r="I122" s="382">
        <f>'4.  2011-14 LRAM'!I$317*I118</f>
        <v>0</v>
      </c>
      <c r="J122" s="382">
        <f>'4.  2011-14 LRAM'!J$317*J118</f>
        <v>0</v>
      </c>
      <c r="K122" s="382">
        <f>'4.  2011-14 LRAM'!K$317*K118</f>
        <v>0</v>
      </c>
      <c r="L122" s="382">
        <f>'4.  2011-14 LRAM'!L$317*L118</f>
        <v>0</v>
      </c>
      <c r="M122" s="382">
        <f>'4.  2011-14 LRAM'!M$317*M118</f>
        <v>0</v>
      </c>
      <c r="N122" s="382">
        <f>'4.  2011-14 LRAM'!N$317*N118</f>
        <v>0</v>
      </c>
      <c r="O122" s="255"/>
      <c r="P122" s="281">
        <f>SUM(H122:O122)</f>
        <v>0</v>
      </c>
    </row>
    <row r="123" spans="2:17" x14ac:dyDescent="0.25">
      <c r="B123" s="385"/>
      <c r="C123" s="578" t="s">
        <v>233</v>
      </c>
      <c r="D123" s="578"/>
      <c r="E123" s="264"/>
      <c r="F123" s="266"/>
      <c r="G123" s="266"/>
      <c r="H123" s="382">
        <f>H113*H118</f>
        <v>64512.499600000003</v>
      </c>
      <c r="I123" s="382">
        <f>I113*I118</f>
        <v>33052.686156000003</v>
      </c>
      <c r="J123" s="382">
        <f>J114*J118</f>
        <v>136150.19020799999</v>
      </c>
      <c r="K123" s="382">
        <f>K114*K118</f>
        <v>0</v>
      </c>
      <c r="L123" s="382">
        <f>L114*L118</f>
        <v>0</v>
      </c>
      <c r="M123" s="382">
        <f>M114*M118</f>
        <v>0</v>
      </c>
      <c r="N123" s="382">
        <f>N113*N118</f>
        <v>0</v>
      </c>
      <c r="O123" s="255"/>
      <c r="P123" s="281">
        <f>SUM(H123:O123)</f>
        <v>233715.37596400001</v>
      </c>
    </row>
    <row r="124" spans="2:17" x14ac:dyDescent="0.25">
      <c r="B124" s="279"/>
      <c r="C124" s="383" t="s">
        <v>223</v>
      </c>
      <c r="D124" s="264"/>
      <c r="E124" s="264"/>
      <c r="F124" s="262"/>
      <c r="G124" s="262"/>
      <c r="H124" s="268">
        <f>SUM(H119:H123)</f>
        <v>64512.499600000003</v>
      </c>
      <c r="I124" s="268">
        <f>SUM(I119:I123)</f>
        <v>33052.686156000003</v>
      </c>
      <c r="J124" s="268">
        <f t="shared" ref="J124:N124" si="3">SUM(J119:J123)</f>
        <v>136150.19020799999</v>
      </c>
      <c r="K124" s="268">
        <f t="shared" si="3"/>
        <v>0</v>
      </c>
      <c r="L124" s="268">
        <f t="shared" si="3"/>
        <v>0</v>
      </c>
      <c r="M124" s="268">
        <f t="shared" si="3"/>
        <v>0</v>
      </c>
      <c r="N124" s="268">
        <f t="shared" si="3"/>
        <v>0</v>
      </c>
      <c r="O124" s="264"/>
      <c r="P124" s="282">
        <f>SUM(P119:P123)</f>
        <v>233715.37596400001</v>
      </c>
    </row>
    <row r="125" spans="2:17" x14ac:dyDescent="0.25">
      <c r="B125" s="283"/>
      <c r="C125" s="457"/>
      <c r="D125" s="284"/>
      <c r="E125" s="284"/>
      <c r="F125" s="285"/>
      <c r="G125" s="285"/>
      <c r="H125" s="458"/>
      <c r="I125" s="458"/>
      <c r="J125" s="458"/>
      <c r="K125" s="458"/>
      <c r="L125" s="458"/>
      <c r="M125" s="458"/>
      <c r="N125" s="458"/>
      <c r="O125" s="284"/>
      <c r="P125" s="459"/>
    </row>
    <row r="126" spans="2:17" hidden="1" x14ac:dyDescent="0.25">
      <c r="B126" s="427"/>
      <c r="C126" s="578" t="s">
        <v>224</v>
      </c>
      <c r="D126" s="578"/>
      <c r="E126" s="419"/>
      <c r="F126" s="160"/>
      <c r="G126" s="160"/>
      <c r="H126" s="508">
        <f>$H$113*'6.  Persistence Rates'!$E$44</f>
        <v>0</v>
      </c>
      <c r="I126" s="508">
        <f>I113*'6.  Persistence Rates'!$E$44</f>
        <v>0</v>
      </c>
      <c r="J126" s="508">
        <f>$J$115*'6.  Persistence Rates'!$R$44</f>
        <v>0</v>
      </c>
      <c r="K126" s="508">
        <f>$K$115*'6.  Persistence Rates'!$R$44</f>
        <v>0</v>
      </c>
      <c r="L126" s="508">
        <f>$L$114*'6.  Persistence Rates'!$R$44</f>
        <v>0</v>
      </c>
      <c r="M126" s="508">
        <f>$M$114*'6.  Persistence Rates'!$R$44</f>
        <v>0</v>
      </c>
      <c r="N126" s="508">
        <f>$N$113*'6.  Persistence Rates'!$E$44</f>
        <v>0</v>
      </c>
      <c r="O126" s="160"/>
      <c r="P126" s="354"/>
      <c r="Q126" s="17"/>
    </row>
    <row r="127" spans="2:17" hidden="1" x14ac:dyDescent="0.25">
      <c r="B127" s="427"/>
      <c r="C127" s="578" t="s">
        <v>225</v>
      </c>
      <c r="D127" s="578"/>
      <c r="E127" s="419"/>
      <c r="F127" s="160"/>
      <c r="G127" s="160"/>
      <c r="H127" s="508">
        <f>H113*'6.  Persistence Rates'!F$44</f>
        <v>0</v>
      </c>
      <c r="I127" s="508">
        <f>I113*'6.  Persistence Rates'!F$44</f>
        <v>0</v>
      </c>
      <c r="J127" s="508">
        <f>$J$115*'6.  Persistence Rates'!$S$44</f>
        <v>0</v>
      </c>
      <c r="K127" s="508">
        <f>$K$115*'6.  Persistence Rates'!$S$44</f>
        <v>0</v>
      </c>
      <c r="L127" s="508">
        <f>$L$114*'6.  Persistence Rates'!$S$44</f>
        <v>0</v>
      </c>
      <c r="M127" s="508">
        <f>$M$114*'6.  Persistence Rates'!$S$44</f>
        <v>0</v>
      </c>
      <c r="N127" s="508">
        <f>$N$113*'6.  Persistence Rates'!$F$44</f>
        <v>0</v>
      </c>
      <c r="O127" s="160"/>
      <c r="P127" s="354"/>
    </row>
    <row r="128" spans="2:17" hidden="1" x14ac:dyDescent="0.25">
      <c r="B128" s="427"/>
      <c r="C128" s="578" t="s">
        <v>226</v>
      </c>
      <c r="D128" s="578"/>
      <c r="E128" s="419"/>
      <c r="F128" s="160"/>
      <c r="G128" s="160"/>
      <c r="H128" s="508">
        <f>H113*'6.  Persistence Rates'!G$44</f>
        <v>0</v>
      </c>
      <c r="I128" s="508">
        <f>I113*'6.  Persistence Rates'!G$44</f>
        <v>0</v>
      </c>
      <c r="J128" s="508">
        <f>$J$115*'6.  Persistence Rates'!$T$44</f>
        <v>0</v>
      </c>
      <c r="K128" s="508">
        <f>$K$115*'6.  Persistence Rates'!$T$44</f>
        <v>0</v>
      </c>
      <c r="L128" s="508">
        <f>$L$114*'6.  Persistence Rates'!$T$44</f>
        <v>0</v>
      </c>
      <c r="M128" s="508">
        <f>$M$114*'6.  Persistence Rates'!$T$44</f>
        <v>0</v>
      </c>
      <c r="N128" s="508">
        <f>$N$113*'6.  Persistence Rates'!$G$44</f>
        <v>0</v>
      </c>
      <c r="O128" s="160"/>
      <c r="P128" s="354"/>
    </row>
    <row r="129" spans="2:16" hidden="1" x14ac:dyDescent="0.25">
      <c r="B129" s="427"/>
      <c r="C129" s="578" t="s">
        <v>227</v>
      </c>
      <c r="D129" s="578"/>
      <c r="E129" s="419"/>
      <c r="F129" s="160"/>
      <c r="G129" s="160"/>
      <c r="H129" s="508">
        <f>H113*'6.  Persistence Rates'!H$44</f>
        <v>0</v>
      </c>
      <c r="I129" s="508">
        <f>I113*'6.  Persistence Rates'!H$44</f>
        <v>0</v>
      </c>
      <c r="J129" s="508">
        <f>$J$115*'6.  Persistence Rates'!$U$44</f>
        <v>0</v>
      </c>
      <c r="K129" s="508">
        <f>$K$115*'6.  Persistence Rates'!$U$44</f>
        <v>0</v>
      </c>
      <c r="L129" s="508">
        <f>$L$114*'6.  Persistence Rates'!$U$44</f>
        <v>0</v>
      </c>
      <c r="M129" s="508">
        <f>$M$114*'6.  Persistence Rates'!$U$44</f>
        <v>0</v>
      </c>
      <c r="N129" s="508">
        <f>$N$113*'6.  Persistence Rates'!$H$44</f>
        <v>0</v>
      </c>
      <c r="O129" s="160"/>
      <c r="P129" s="354"/>
    </row>
    <row r="130" spans="2:16" hidden="1" x14ac:dyDescent="0.25">
      <c r="B130" s="428"/>
      <c r="C130" s="579" t="s">
        <v>228</v>
      </c>
      <c r="D130" s="579"/>
      <c r="E130" s="429"/>
      <c r="F130" s="334"/>
      <c r="G130" s="334"/>
      <c r="H130" s="508">
        <f>H113*'6.  Persistence Rates'!I$44</f>
        <v>0</v>
      </c>
      <c r="I130" s="508">
        <f>I113*'6.  Persistence Rates'!I$44</f>
        <v>0</v>
      </c>
      <c r="J130" s="508">
        <f>$J$115*'6.  Persistence Rates'!$V$44</f>
        <v>0</v>
      </c>
      <c r="K130" s="508">
        <f>$K$115*'6.  Persistence Rates'!$V$44</f>
        <v>0</v>
      </c>
      <c r="L130" s="508">
        <f>$L$114*'6.  Persistence Rates'!$V$44</f>
        <v>0</v>
      </c>
      <c r="M130" s="508">
        <f>$M$114*'6.  Persistence Rates'!$V$44</f>
        <v>0</v>
      </c>
      <c r="N130" s="508">
        <f>$N$113*'6.  Persistence Rates'!$I$44</f>
        <v>0</v>
      </c>
      <c r="O130" s="334"/>
      <c r="P130" s="404"/>
    </row>
  </sheetData>
  <mergeCells count="67">
    <mergeCell ref="C113:D113"/>
    <mergeCell ref="A1:O1"/>
    <mergeCell ref="D15:D16"/>
    <mergeCell ref="E15:E16"/>
    <mergeCell ref="B62:P62"/>
    <mergeCell ref="E4:P4"/>
    <mergeCell ref="B17:P17"/>
    <mergeCell ref="B15:B16"/>
    <mergeCell ref="C15:C16"/>
    <mergeCell ref="H15:P15"/>
    <mergeCell ref="B2:P2"/>
    <mergeCell ref="E11:F11"/>
    <mergeCell ref="E12:F12"/>
    <mergeCell ref="B18:P18"/>
    <mergeCell ref="B29:P29"/>
    <mergeCell ref="B39:P39"/>
    <mergeCell ref="C130:D130"/>
    <mergeCell ref="C114:D114"/>
    <mergeCell ref="C115:D115"/>
    <mergeCell ref="C123:D123"/>
    <mergeCell ref="C119:D119"/>
    <mergeCell ref="C126:D126"/>
    <mergeCell ref="C127:D127"/>
    <mergeCell ref="C128:D128"/>
    <mergeCell ref="C129:D129"/>
    <mergeCell ref="C116:D116"/>
    <mergeCell ref="C118:D118"/>
    <mergeCell ref="C122:D122"/>
    <mergeCell ref="C121:D121"/>
    <mergeCell ref="C120:D120"/>
    <mergeCell ref="B53:P53"/>
    <mergeCell ref="B64:P64"/>
    <mergeCell ref="B73:P73"/>
    <mergeCell ref="B86:P86"/>
    <mergeCell ref="C83:D83"/>
    <mergeCell ref="C84:D84"/>
    <mergeCell ref="C85:D85"/>
    <mergeCell ref="C70:D70"/>
    <mergeCell ref="C71:D71"/>
    <mergeCell ref="C72:D72"/>
    <mergeCell ref="C59:D59"/>
    <mergeCell ref="C60:D60"/>
    <mergeCell ref="B94:P94"/>
    <mergeCell ref="C110:D110"/>
    <mergeCell ref="C111:D111"/>
    <mergeCell ref="C61:D61"/>
    <mergeCell ref="C112:D112"/>
    <mergeCell ref="C91:D91"/>
    <mergeCell ref="C92:D92"/>
    <mergeCell ref="C93:D93"/>
    <mergeCell ref="C27:D27"/>
    <mergeCell ref="C28:D28"/>
    <mergeCell ref="C52:D52"/>
    <mergeCell ref="C44:D44"/>
    <mergeCell ref="C45:D45"/>
    <mergeCell ref="C46:D46"/>
    <mergeCell ref="C36:D36"/>
    <mergeCell ref="C37:D37"/>
    <mergeCell ref="C38:D38"/>
    <mergeCell ref="B47:P47"/>
    <mergeCell ref="C50:D50"/>
    <mergeCell ref="C51:D51"/>
    <mergeCell ref="E5:P5"/>
    <mergeCell ref="E6:P6"/>
    <mergeCell ref="E7:P7"/>
    <mergeCell ref="E8:P8"/>
    <mergeCell ref="C26:D26"/>
  </mergeCells>
  <pageMargins left="0.28999999999999998" right="0.13" top="0.42" bottom="0.26" header="0.3" footer="0.18"/>
  <pageSetup scale="56" fitToHeight="0" orientation="landscape" r:id="rId1"/>
  <rowBreaks count="1" manualBreakCount="1">
    <brk id="89" max="15"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R129"/>
  <sheetViews>
    <sheetView zoomScale="90" zoomScaleNormal="90" workbookViewId="0">
      <pane ySplit="16" topLeftCell="A17" activePane="bottomLeft" state="frozen"/>
      <selection pane="bottomLeft" activeCell="B13" sqref="B13:B14"/>
    </sheetView>
  </sheetViews>
  <sheetFormatPr defaultRowHeight="15" outlineLevelRow="1" x14ac:dyDescent="0.25"/>
  <cols>
    <col min="1" max="1" width="6.5703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9.140625" style="23"/>
  </cols>
  <sheetData>
    <row r="1" spans="1:18" ht="19.5" customHeight="1" x14ac:dyDescent="0.25"/>
    <row r="2" spans="1:18" ht="18.75" customHeight="1" x14ac:dyDescent="0.3">
      <c r="B2" s="618" t="s">
        <v>266</v>
      </c>
      <c r="C2" s="618"/>
      <c r="D2" s="618"/>
      <c r="E2" s="618"/>
      <c r="F2" s="618"/>
      <c r="G2" s="618"/>
      <c r="H2" s="618"/>
      <c r="I2" s="618"/>
      <c r="J2" s="618"/>
      <c r="K2" s="618"/>
      <c r="L2" s="618"/>
      <c r="M2" s="618"/>
      <c r="N2" s="618"/>
      <c r="O2" s="618"/>
      <c r="P2" s="618"/>
    </row>
    <row r="3" spans="1:18" ht="18.75" customHeight="1" outlineLevel="1" x14ac:dyDescent="0.3">
      <c r="B3" s="63"/>
      <c r="C3" s="178"/>
      <c r="D3" s="63"/>
      <c r="E3" s="63"/>
      <c r="F3" s="63"/>
      <c r="G3" s="63"/>
      <c r="H3" s="63"/>
      <c r="I3" s="63"/>
      <c r="J3" s="63"/>
      <c r="K3" s="63"/>
      <c r="L3" s="63"/>
      <c r="M3" s="63"/>
      <c r="N3" s="63"/>
      <c r="O3" s="63"/>
      <c r="P3" s="63"/>
    </row>
    <row r="4" spans="1:18" ht="35.25" customHeight="1" outlineLevel="1" x14ac:dyDescent="0.3">
      <c r="A4" s="245"/>
      <c r="B4" s="395"/>
      <c r="C4" s="373" t="s">
        <v>401</v>
      </c>
      <c r="D4" s="395"/>
      <c r="E4" s="566" t="s">
        <v>364</v>
      </c>
      <c r="F4" s="566"/>
      <c r="G4" s="566"/>
      <c r="H4" s="566"/>
      <c r="I4" s="566"/>
      <c r="J4" s="566"/>
      <c r="K4" s="566"/>
      <c r="L4" s="566"/>
      <c r="M4" s="566"/>
      <c r="N4" s="566"/>
      <c r="O4" s="566"/>
      <c r="P4" s="566"/>
    </row>
    <row r="5" spans="1:18" ht="18.75" customHeight="1" outlineLevel="1" x14ac:dyDescent="0.3">
      <c r="A5" s="47"/>
      <c r="B5" s="395"/>
      <c r="C5" s="396"/>
      <c r="D5" s="395"/>
      <c r="E5" s="376" t="s">
        <v>358</v>
      </c>
      <c r="F5" s="395"/>
      <c r="G5" s="395"/>
      <c r="H5" s="395"/>
      <c r="I5" s="395"/>
      <c r="J5" s="395"/>
      <c r="K5" s="395"/>
      <c r="L5" s="395"/>
      <c r="M5" s="395"/>
      <c r="N5" s="395"/>
      <c r="O5" s="395"/>
      <c r="P5" s="395"/>
    </row>
    <row r="6" spans="1:18" ht="18.75" customHeight="1" outlineLevel="1" x14ac:dyDescent="0.3">
      <c r="A6" s="47"/>
      <c r="B6" s="395"/>
      <c r="C6" s="396"/>
      <c r="D6" s="395"/>
      <c r="E6" s="376" t="s">
        <v>359</v>
      </c>
      <c r="F6" s="395"/>
      <c r="G6" s="395"/>
      <c r="H6" s="395"/>
      <c r="I6" s="395"/>
      <c r="J6" s="395"/>
      <c r="K6" s="395"/>
      <c r="L6" s="395"/>
      <c r="M6" s="395"/>
      <c r="N6" s="395"/>
      <c r="O6" s="395"/>
      <c r="P6" s="395"/>
    </row>
    <row r="7" spans="1:18" ht="18.75" customHeight="1" outlineLevel="1" x14ac:dyDescent="0.3">
      <c r="A7" s="47"/>
      <c r="B7" s="395"/>
      <c r="C7" s="396"/>
      <c r="D7" s="395"/>
      <c r="E7" s="376" t="s">
        <v>418</v>
      </c>
      <c r="F7" s="395"/>
      <c r="G7" s="395"/>
      <c r="H7" s="395"/>
      <c r="I7" s="395"/>
      <c r="J7" s="395"/>
      <c r="K7" s="395"/>
      <c r="L7" s="395"/>
      <c r="M7" s="395"/>
      <c r="N7" s="395"/>
      <c r="O7" s="395"/>
      <c r="P7" s="395"/>
    </row>
    <row r="8" spans="1:18" ht="18.75" customHeight="1" outlineLevel="1" x14ac:dyDescent="0.3">
      <c r="A8" s="47"/>
      <c r="B8" s="395"/>
      <c r="C8" s="396"/>
      <c r="D8" s="395"/>
      <c r="E8" s="376"/>
      <c r="F8" s="395"/>
      <c r="G8" s="395"/>
      <c r="H8" s="395"/>
      <c r="I8" s="395"/>
      <c r="J8" s="395"/>
      <c r="K8" s="395"/>
      <c r="L8" s="395"/>
      <c r="M8" s="395"/>
      <c r="N8" s="395"/>
      <c r="O8" s="395"/>
      <c r="P8" s="395"/>
    </row>
    <row r="9" spans="1:18" ht="18.75" customHeight="1" outlineLevel="1" x14ac:dyDescent="0.3">
      <c r="A9" s="47"/>
      <c r="B9" s="395"/>
      <c r="C9" s="397" t="s">
        <v>338</v>
      </c>
      <c r="D9" s="395"/>
      <c r="E9" s="626" t="s">
        <v>365</v>
      </c>
      <c r="F9" s="626"/>
      <c r="G9" s="395"/>
      <c r="H9" s="395"/>
      <c r="I9" s="395"/>
      <c r="J9" s="395"/>
      <c r="K9" s="395"/>
      <c r="L9" s="395"/>
      <c r="M9" s="395"/>
      <c r="N9" s="395"/>
      <c r="O9" s="395"/>
      <c r="P9" s="395"/>
      <c r="R9" s="82"/>
    </row>
    <row r="10" spans="1:18" ht="18.75" customHeight="1" outlineLevel="1" x14ac:dyDescent="0.3">
      <c r="A10" s="47"/>
      <c r="B10" s="395"/>
      <c r="C10" s="396"/>
      <c r="D10" s="395"/>
      <c r="E10" s="627" t="s">
        <v>339</v>
      </c>
      <c r="F10" s="627"/>
      <c r="G10" s="395"/>
      <c r="H10" s="395"/>
      <c r="I10" s="395"/>
      <c r="J10" s="395"/>
      <c r="K10" s="395"/>
      <c r="L10" s="395"/>
      <c r="M10" s="395"/>
      <c r="N10" s="395"/>
      <c r="O10" s="395"/>
      <c r="P10" s="395"/>
    </row>
    <row r="11" spans="1:18" ht="18.75" customHeight="1" x14ac:dyDescent="0.3">
      <c r="B11" s="63"/>
      <c r="C11" s="63"/>
      <c r="D11" s="63"/>
      <c r="E11" s="139"/>
      <c r="G11" s="63"/>
      <c r="H11" s="63"/>
      <c r="I11" s="63"/>
      <c r="J11" s="63"/>
      <c r="K11" s="63"/>
      <c r="L11" s="63"/>
      <c r="M11" s="63"/>
      <c r="N11" s="63"/>
      <c r="O11" s="63"/>
      <c r="P11" s="63"/>
    </row>
    <row r="12" spans="1:18" ht="18.75" customHeight="1" x14ac:dyDescent="0.3">
      <c r="B12" s="192" t="s">
        <v>476</v>
      </c>
      <c r="C12" s="63"/>
      <c r="D12" s="63"/>
      <c r="E12" s="171"/>
      <c r="F12" s="63"/>
      <c r="G12" s="63"/>
      <c r="H12" s="63"/>
      <c r="I12" s="63"/>
      <c r="J12" s="63"/>
      <c r="K12" s="63"/>
      <c r="L12" s="63"/>
      <c r="M12" s="63"/>
      <c r="N12" s="63"/>
      <c r="O12" s="63"/>
      <c r="P12" s="63"/>
    </row>
    <row r="13" spans="1:18" ht="45" x14ac:dyDescent="0.25">
      <c r="B13" s="620" t="s">
        <v>59</v>
      </c>
      <c r="C13" s="622" t="s">
        <v>0</v>
      </c>
      <c r="D13" s="622" t="s">
        <v>45</v>
      </c>
      <c r="E13" s="622" t="s">
        <v>206</v>
      </c>
      <c r="F13" s="240" t="s">
        <v>203</v>
      </c>
      <c r="G13" s="240" t="s">
        <v>46</v>
      </c>
      <c r="H13" s="624" t="s">
        <v>60</v>
      </c>
      <c r="I13" s="624"/>
      <c r="J13" s="624"/>
      <c r="K13" s="624"/>
      <c r="L13" s="624"/>
      <c r="M13" s="624"/>
      <c r="N13" s="624"/>
      <c r="O13" s="624"/>
      <c r="P13" s="625"/>
    </row>
    <row r="14" spans="1:18" ht="60" x14ac:dyDescent="0.25">
      <c r="B14" s="621"/>
      <c r="C14" s="623"/>
      <c r="D14" s="623"/>
      <c r="E14" s="623"/>
      <c r="F14" s="442" t="s">
        <v>214</v>
      </c>
      <c r="G14" s="442" t="s">
        <v>215</v>
      </c>
      <c r="H14" s="443" t="s">
        <v>38</v>
      </c>
      <c r="I14" s="443" t="s">
        <v>40</v>
      </c>
      <c r="J14" s="443" t="s">
        <v>109</v>
      </c>
      <c r="K14" s="443" t="s">
        <v>110</v>
      </c>
      <c r="L14" s="443" t="s">
        <v>41</v>
      </c>
      <c r="M14" s="443" t="s">
        <v>42</v>
      </c>
      <c r="N14" s="443" t="s">
        <v>43</v>
      </c>
      <c r="O14" s="443" t="s">
        <v>106</v>
      </c>
      <c r="P14" s="446" t="s">
        <v>35</v>
      </c>
    </row>
    <row r="15" spans="1:18" ht="29.25" customHeight="1" x14ac:dyDescent="0.25">
      <c r="B15" s="608" t="s">
        <v>142</v>
      </c>
      <c r="C15" s="609"/>
      <c r="D15" s="609"/>
      <c r="E15" s="609"/>
      <c r="F15" s="609"/>
      <c r="G15" s="609"/>
      <c r="H15" s="609"/>
      <c r="I15" s="609"/>
      <c r="J15" s="609"/>
      <c r="K15" s="609"/>
      <c r="L15" s="609"/>
      <c r="M15" s="609"/>
      <c r="N15" s="609"/>
      <c r="O15" s="609"/>
      <c r="P15" s="610"/>
    </row>
    <row r="16" spans="1:18" ht="26.25" customHeight="1" x14ac:dyDescent="0.25">
      <c r="A16" s="50"/>
      <c r="B16" s="600" t="s">
        <v>143</v>
      </c>
      <c r="C16" s="601"/>
      <c r="D16" s="601"/>
      <c r="E16" s="601"/>
      <c r="F16" s="601"/>
      <c r="G16" s="601"/>
      <c r="H16" s="601"/>
      <c r="I16" s="601"/>
      <c r="J16" s="601"/>
      <c r="K16" s="601"/>
      <c r="L16" s="601"/>
      <c r="M16" s="601"/>
      <c r="N16" s="601"/>
      <c r="O16" s="601"/>
      <c r="P16" s="602"/>
    </row>
    <row r="17" spans="1:16" x14ac:dyDescent="0.25">
      <c r="A17" s="34"/>
      <c r="B17" s="433">
        <v>1</v>
      </c>
      <c r="C17" s="418" t="s">
        <v>144</v>
      </c>
      <c r="D17" s="255" t="s">
        <v>34</v>
      </c>
      <c r="E17" s="419"/>
      <c r="F17" s="300"/>
      <c r="G17" s="300"/>
      <c r="H17" s="430">
        <v>1</v>
      </c>
      <c r="I17" s="420"/>
      <c r="J17" s="420"/>
      <c r="K17" s="420"/>
      <c r="L17" s="420"/>
      <c r="M17" s="420"/>
      <c r="N17" s="420"/>
      <c r="O17" s="420"/>
      <c r="P17" s="434">
        <f>SUM(H17:O17)</f>
        <v>1</v>
      </c>
    </row>
    <row r="18" spans="1:16" x14ac:dyDescent="0.25">
      <c r="A18" s="8"/>
      <c r="B18" s="433">
        <v>2</v>
      </c>
      <c r="C18" s="418" t="s">
        <v>145</v>
      </c>
      <c r="D18" s="255" t="s">
        <v>34</v>
      </c>
      <c r="E18" s="421"/>
      <c r="F18" s="300"/>
      <c r="G18" s="300"/>
      <c r="H18" s="430">
        <v>1</v>
      </c>
      <c r="I18" s="420"/>
      <c r="J18" s="420"/>
      <c r="K18" s="420"/>
      <c r="L18" s="420"/>
      <c r="M18" s="420"/>
      <c r="N18" s="420"/>
      <c r="O18" s="420"/>
      <c r="P18" s="434">
        <f t="shared" ref="P18:P79" si="0">SUM(H18:O18)</f>
        <v>1</v>
      </c>
    </row>
    <row r="19" spans="1:16" x14ac:dyDescent="0.25">
      <c r="A19" s="34"/>
      <c r="B19" s="433">
        <v>3</v>
      </c>
      <c r="C19" s="418" t="s">
        <v>146</v>
      </c>
      <c r="D19" s="255" t="s">
        <v>34</v>
      </c>
      <c r="E19" s="421"/>
      <c r="F19" s="300"/>
      <c r="G19" s="300"/>
      <c r="H19" s="430">
        <v>1</v>
      </c>
      <c r="I19" s="420"/>
      <c r="J19" s="420"/>
      <c r="K19" s="420"/>
      <c r="L19" s="420"/>
      <c r="M19" s="420"/>
      <c r="N19" s="420"/>
      <c r="O19" s="420"/>
      <c r="P19" s="434">
        <f t="shared" si="0"/>
        <v>1</v>
      </c>
    </row>
    <row r="20" spans="1:16" x14ac:dyDescent="0.25">
      <c r="A20" s="34"/>
      <c r="B20" s="433">
        <v>4</v>
      </c>
      <c r="C20" s="418" t="s">
        <v>147</v>
      </c>
      <c r="D20" s="255" t="s">
        <v>34</v>
      </c>
      <c r="E20" s="421"/>
      <c r="F20" s="300"/>
      <c r="G20" s="300"/>
      <c r="H20" s="430">
        <v>1</v>
      </c>
      <c r="I20" s="420"/>
      <c r="J20" s="420"/>
      <c r="K20" s="420"/>
      <c r="L20" s="420"/>
      <c r="M20" s="420"/>
      <c r="N20" s="420"/>
      <c r="O20" s="420"/>
      <c r="P20" s="434">
        <f t="shared" si="0"/>
        <v>1</v>
      </c>
    </row>
    <row r="21" spans="1:16" x14ac:dyDescent="0.25">
      <c r="A21" s="34"/>
      <c r="B21" s="433">
        <v>5</v>
      </c>
      <c r="C21" s="418" t="s">
        <v>148</v>
      </c>
      <c r="D21" s="255" t="s">
        <v>34</v>
      </c>
      <c r="E21" s="421"/>
      <c r="F21" s="300"/>
      <c r="G21" s="300"/>
      <c r="H21" s="430">
        <v>1</v>
      </c>
      <c r="I21" s="420"/>
      <c r="J21" s="420"/>
      <c r="K21" s="420"/>
      <c r="L21" s="420"/>
      <c r="M21" s="420"/>
      <c r="N21" s="420"/>
      <c r="O21" s="420"/>
      <c r="P21" s="434">
        <f t="shared" si="0"/>
        <v>1</v>
      </c>
    </row>
    <row r="22" spans="1:16" ht="28.5" x14ac:dyDescent="0.25">
      <c r="A22" s="34"/>
      <c r="B22" s="433">
        <v>6</v>
      </c>
      <c r="C22" s="418" t="s">
        <v>149</v>
      </c>
      <c r="D22" s="255" t="s">
        <v>34</v>
      </c>
      <c r="E22" s="421"/>
      <c r="F22" s="300"/>
      <c r="G22" s="300"/>
      <c r="H22" s="430">
        <v>1</v>
      </c>
      <c r="I22" s="420"/>
      <c r="J22" s="420"/>
      <c r="K22" s="420"/>
      <c r="L22" s="420"/>
      <c r="M22" s="420"/>
      <c r="N22" s="420"/>
      <c r="O22" s="420"/>
      <c r="P22" s="434">
        <f t="shared" si="0"/>
        <v>1</v>
      </c>
    </row>
    <row r="23" spans="1:16" x14ac:dyDescent="0.25">
      <c r="A23" s="34"/>
      <c r="B23" s="435" t="s">
        <v>264</v>
      </c>
      <c r="C23" s="418"/>
      <c r="D23" s="255" t="s">
        <v>254</v>
      </c>
      <c r="E23" s="421"/>
      <c r="F23" s="300"/>
      <c r="G23" s="300"/>
      <c r="H23" s="430"/>
      <c r="I23" s="420"/>
      <c r="J23" s="420"/>
      <c r="K23" s="420"/>
      <c r="L23" s="420"/>
      <c r="M23" s="420"/>
      <c r="N23" s="420"/>
      <c r="O23" s="420"/>
      <c r="P23" s="434">
        <f t="shared" si="0"/>
        <v>0</v>
      </c>
    </row>
    <row r="24" spans="1:16" x14ac:dyDescent="0.25">
      <c r="A24" s="34"/>
      <c r="B24" s="433"/>
      <c r="C24" s="580"/>
      <c r="D24" s="580"/>
      <c r="E24" s="270"/>
      <c r="F24" s="300"/>
      <c r="G24" s="300"/>
      <c r="H24" s="430"/>
      <c r="I24" s="420"/>
      <c r="J24" s="420"/>
      <c r="K24" s="420"/>
      <c r="L24" s="420"/>
      <c r="M24" s="420"/>
      <c r="N24" s="420"/>
      <c r="O24" s="420"/>
      <c r="P24" s="434">
        <f t="shared" si="0"/>
        <v>0</v>
      </c>
    </row>
    <row r="25" spans="1:16" x14ac:dyDescent="0.25">
      <c r="A25" s="34"/>
      <c r="B25" s="433"/>
      <c r="C25" s="580"/>
      <c r="D25" s="580"/>
      <c r="E25" s="270"/>
      <c r="F25" s="300"/>
      <c r="G25" s="300"/>
      <c r="H25" s="430"/>
      <c r="I25" s="420"/>
      <c r="J25" s="420"/>
      <c r="K25" s="420"/>
      <c r="L25" s="420"/>
      <c r="M25" s="420"/>
      <c r="N25" s="420"/>
      <c r="O25" s="420"/>
      <c r="P25" s="434">
        <f t="shared" si="0"/>
        <v>0</v>
      </c>
    </row>
    <row r="26" spans="1:16" x14ac:dyDescent="0.25">
      <c r="A26" s="34"/>
      <c r="B26" s="433"/>
      <c r="C26" s="580"/>
      <c r="D26" s="580"/>
      <c r="E26" s="270"/>
      <c r="F26" s="300"/>
      <c r="G26" s="300"/>
      <c r="H26" s="430"/>
      <c r="I26" s="420"/>
      <c r="J26" s="420"/>
      <c r="K26" s="420"/>
      <c r="L26" s="420"/>
      <c r="M26" s="420"/>
      <c r="N26" s="420"/>
      <c r="O26" s="420"/>
      <c r="P26" s="434">
        <f t="shared" si="0"/>
        <v>0</v>
      </c>
    </row>
    <row r="27" spans="1:16" ht="25.5" customHeight="1" x14ac:dyDescent="0.25">
      <c r="A27" s="50"/>
      <c r="B27" s="600" t="s">
        <v>150</v>
      </c>
      <c r="C27" s="601"/>
      <c r="D27" s="601"/>
      <c r="E27" s="601"/>
      <c r="F27" s="601"/>
      <c r="G27" s="601"/>
      <c r="H27" s="601"/>
      <c r="I27" s="601"/>
      <c r="J27" s="601"/>
      <c r="K27" s="601"/>
      <c r="L27" s="601"/>
      <c r="M27" s="601"/>
      <c r="N27" s="601"/>
      <c r="O27" s="601"/>
      <c r="P27" s="602"/>
    </row>
    <row r="28" spans="1:16" x14ac:dyDescent="0.25">
      <c r="A28" s="34"/>
      <c r="B28" s="433">
        <v>7</v>
      </c>
      <c r="C28" s="418" t="s">
        <v>151</v>
      </c>
      <c r="D28" s="255" t="s">
        <v>34</v>
      </c>
      <c r="E28" s="421">
        <v>12</v>
      </c>
      <c r="F28" s="300"/>
      <c r="G28" s="300">
        <v>50</v>
      </c>
      <c r="H28" s="420"/>
      <c r="I28" s="430">
        <v>0.2</v>
      </c>
      <c r="J28" s="430">
        <v>0.5</v>
      </c>
      <c r="K28" s="430">
        <v>0.3</v>
      </c>
      <c r="L28" s="420"/>
      <c r="M28" s="420"/>
      <c r="N28" s="420"/>
      <c r="O28" s="420"/>
      <c r="P28" s="434">
        <f t="shared" si="0"/>
        <v>1</v>
      </c>
    </row>
    <row r="29" spans="1:16" ht="28.5" x14ac:dyDescent="0.25">
      <c r="A29" s="34"/>
      <c r="B29" s="433">
        <v>8</v>
      </c>
      <c r="C29" s="418" t="s">
        <v>152</v>
      </c>
      <c r="D29" s="255" t="s">
        <v>34</v>
      </c>
      <c r="E29" s="421">
        <v>12</v>
      </c>
      <c r="F29" s="300"/>
      <c r="G29" s="300"/>
      <c r="H29" s="420"/>
      <c r="I29" s="430">
        <v>0.8</v>
      </c>
      <c r="J29" s="430">
        <v>0.2</v>
      </c>
      <c r="K29" s="420"/>
      <c r="L29" s="420"/>
      <c r="M29" s="420"/>
      <c r="N29" s="420"/>
      <c r="O29" s="420"/>
      <c r="P29" s="434">
        <f t="shared" si="0"/>
        <v>1</v>
      </c>
    </row>
    <row r="30" spans="1:16" ht="28.5" x14ac:dyDescent="0.25">
      <c r="A30" s="34"/>
      <c r="B30" s="433">
        <v>9</v>
      </c>
      <c r="C30" s="418" t="s">
        <v>153</v>
      </c>
      <c r="D30" s="255" t="s">
        <v>34</v>
      </c>
      <c r="E30" s="421">
        <v>12</v>
      </c>
      <c r="F30" s="300"/>
      <c r="G30" s="300"/>
      <c r="H30" s="420"/>
      <c r="I30" s="430">
        <v>0.5</v>
      </c>
      <c r="J30" s="430">
        <v>0.5</v>
      </c>
      <c r="K30" s="420"/>
      <c r="L30" s="420"/>
      <c r="M30" s="420"/>
      <c r="N30" s="420"/>
      <c r="O30" s="420"/>
      <c r="P30" s="434">
        <f t="shared" si="0"/>
        <v>1</v>
      </c>
    </row>
    <row r="31" spans="1:16" ht="28.5" x14ac:dyDescent="0.25">
      <c r="A31" s="34"/>
      <c r="B31" s="433">
        <v>10</v>
      </c>
      <c r="C31" s="418" t="s">
        <v>154</v>
      </c>
      <c r="D31" s="255" t="s">
        <v>34</v>
      </c>
      <c r="E31" s="421">
        <v>12</v>
      </c>
      <c r="F31" s="300"/>
      <c r="G31" s="300"/>
      <c r="H31" s="420"/>
      <c r="I31" s="430">
        <v>1</v>
      </c>
      <c r="J31" s="420"/>
      <c r="K31" s="420"/>
      <c r="L31" s="420"/>
      <c r="M31" s="420"/>
      <c r="N31" s="420"/>
      <c r="O31" s="420"/>
      <c r="P31" s="434">
        <f t="shared" si="0"/>
        <v>1</v>
      </c>
    </row>
    <row r="32" spans="1:16" ht="28.5" x14ac:dyDescent="0.25">
      <c r="A32" s="34"/>
      <c r="B32" s="433">
        <v>11</v>
      </c>
      <c r="C32" s="418" t="s">
        <v>155</v>
      </c>
      <c r="D32" s="255" t="s">
        <v>34</v>
      </c>
      <c r="E32" s="421">
        <v>3</v>
      </c>
      <c r="F32" s="300"/>
      <c r="G32" s="300"/>
      <c r="H32" s="420"/>
      <c r="I32" s="420"/>
      <c r="J32" s="430">
        <v>0.9</v>
      </c>
      <c r="K32" s="430">
        <v>0.1</v>
      </c>
      <c r="L32" s="420"/>
      <c r="M32" s="420"/>
      <c r="N32" s="420"/>
      <c r="O32" s="420"/>
      <c r="P32" s="434">
        <f t="shared" si="0"/>
        <v>1</v>
      </c>
    </row>
    <row r="33" spans="1:16" x14ac:dyDescent="0.25">
      <c r="A33" s="34"/>
      <c r="B33" s="435" t="s">
        <v>264</v>
      </c>
      <c r="C33" s="418"/>
      <c r="D33" s="255" t="s">
        <v>254</v>
      </c>
      <c r="E33" s="421"/>
      <c r="F33" s="300"/>
      <c r="G33" s="300"/>
      <c r="H33" s="420"/>
      <c r="I33" s="420"/>
      <c r="J33" s="420"/>
      <c r="K33" s="420"/>
      <c r="L33" s="420"/>
      <c r="M33" s="420"/>
      <c r="N33" s="420"/>
      <c r="O33" s="420"/>
      <c r="P33" s="434">
        <f t="shared" si="0"/>
        <v>0</v>
      </c>
    </row>
    <row r="34" spans="1:16" x14ac:dyDescent="0.25">
      <c r="A34" s="34"/>
      <c r="B34" s="433"/>
      <c r="C34" s="580"/>
      <c r="D34" s="580"/>
      <c r="E34" s="270"/>
      <c r="F34" s="300"/>
      <c r="G34" s="300"/>
      <c r="H34" s="420"/>
      <c r="I34" s="420"/>
      <c r="J34" s="420"/>
      <c r="K34" s="420"/>
      <c r="L34" s="420"/>
      <c r="M34" s="420"/>
      <c r="N34" s="420"/>
      <c r="O34" s="420"/>
      <c r="P34" s="434">
        <f t="shared" si="0"/>
        <v>0</v>
      </c>
    </row>
    <row r="35" spans="1:16" x14ac:dyDescent="0.25">
      <c r="A35" s="34"/>
      <c r="B35" s="433"/>
      <c r="C35" s="580"/>
      <c r="D35" s="580"/>
      <c r="E35" s="270"/>
      <c r="F35" s="300"/>
      <c r="G35" s="300"/>
      <c r="H35" s="420"/>
      <c r="I35" s="420"/>
      <c r="J35" s="420"/>
      <c r="K35" s="420"/>
      <c r="L35" s="420"/>
      <c r="M35" s="420"/>
      <c r="N35" s="420"/>
      <c r="O35" s="420"/>
      <c r="P35" s="434">
        <f t="shared" si="0"/>
        <v>0</v>
      </c>
    </row>
    <row r="36" spans="1:16" x14ac:dyDescent="0.25">
      <c r="A36" s="34"/>
      <c r="B36" s="433"/>
      <c r="C36" s="580"/>
      <c r="D36" s="580"/>
      <c r="E36" s="270"/>
      <c r="F36" s="300"/>
      <c r="G36" s="300"/>
      <c r="H36" s="420"/>
      <c r="I36" s="420"/>
      <c r="J36" s="420"/>
      <c r="K36" s="420"/>
      <c r="L36" s="420"/>
      <c r="M36" s="420"/>
      <c r="N36" s="420"/>
      <c r="O36" s="420"/>
      <c r="P36" s="434">
        <f t="shared" si="0"/>
        <v>0</v>
      </c>
    </row>
    <row r="37" spans="1:16" ht="26.25" customHeight="1" x14ac:dyDescent="0.25">
      <c r="A37" s="50"/>
      <c r="B37" s="600" t="s">
        <v>11</v>
      </c>
      <c r="C37" s="601"/>
      <c r="D37" s="601"/>
      <c r="E37" s="601"/>
      <c r="F37" s="601"/>
      <c r="G37" s="601"/>
      <c r="H37" s="601"/>
      <c r="I37" s="601"/>
      <c r="J37" s="601"/>
      <c r="K37" s="601"/>
      <c r="L37" s="601"/>
      <c r="M37" s="601"/>
      <c r="N37" s="601"/>
      <c r="O37" s="601"/>
      <c r="P37" s="602"/>
    </row>
    <row r="38" spans="1:16" ht="28.5" x14ac:dyDescent="0.25">
      <c r="A38" s="34"/>
      <c r="B38" s="433">
        <v>12</v>
      </c>
      <c r="C38" s="418" t="s">
        <v>156</v>
      </c>
      <c r="D38" s="255" t="s">
        <v>34</v>
      </c>
      <c r="E38" s="421">
        <v>12</v>
      </c>
      <c r="F38" s="300"/>
      <c r="G38" s="300"/>
      <c r="H38" s="420"/>
      <c r="I38" s="420"/>
      <c r="J38" s="430">
        <v>1</v>
      </c>
      <c r="K38" s="420"/>
      <c r="L38" s="420"/>
      <c r="M38" s="420"/>
      <c r="N38" s="420"/>
      <c r="O38" s="420"/>
      <c r="P38" s="434">
        <f t="shared" si="0"/>
        <v>1</v>
      </c>
    </row>
    <row r="39" spans="1:16" ht="28.5" x14ac:dyDescent="0.25">
      <c r="A39" s="34"/>
      <c r="B39" s="433">
        <v>13</v>
      </c>
      <c r="C39" s="418" t="s">
        <v>157</v>
      </c>
      <c r="D39" s="255" t="s">
        <v>34</v>
      </c>
      <c r="E39" s="421">
        <v>12</v>
      </c>
      <c r="F39" s="300"/>
      <c r="G39" s="300"/>
      <c r="H39" s="420"/>
      <c r="I39" s="420"/>
      <c r="J39" s="430">
        <v>1</v>
      </c>
      <c r="K39" s="420"/>
      <c r="L39" s="420"/>
      <c r="M39" s="420"/>
      <c r="N39" s="420"/>
      <c r="O39" s="420"/>
      <c r="P39" s="434">
        <f t="shared" si="0"/>
        <v>1</v>
      </c>
    </row>
    <row r="40" spans="1:16" ht="28.5" x14ac:dyDescent="0.25">
      <c r="A40" s="34"/>
      <c r="B40" s="433">
        <v>14</v>
      </c>
      <c r="C40" s="418" t="s">
        <v>158</v>
      </c>
      <c r="D40" s="255" t="s">
        <v>34</v>
      </c>
      <c r="E40" s="421">
        <v>12</v>
      </c>
      <c r="F40" s="300"/>
      <c r="G40" s="300"/>
      <c r="H40" s="420"/>
      <c r="I40" s="420"/>
      <c r="J40" s="430">
        <v>1</v>
      </c>
      <c r="K40" s="420"/>
      <c r="L40" s="420"/>
      <c r="M40" s="420"/>
      <c r="N40" s="420"/>
      <c r="O40" s="420"/>
      <c r="P40" s="434">
        <f t="shared" si="0"/>
        <v>1</v>
      </c>
    </row>
    <row r="41" spans="1:16" x14ac:dyDescent="0.25">
      <c r="A41" s="34"/>
      <c r="B41" s="435" t="s">
        <v>264</v>
      </c>
      <c r="C41" s="418"/>
      <c r="D41" s="255" t="s">
        <v>254</v>
      </c>
      <c r="E41" s="421"/>
      <c r="F41" s="300"/>
      <c r="G41" s="300"/>
      <c r="H41" s="420"/>
      <c r="I41" s="420"/>
      <c r="J41" s="420"/>
      <c r="K41" s="420"/>
      <c r="L41" s="420"/>
      <c r="M41" s="420"/>
      <c r="N41" s="420"/>
      <c r="O41" s="420"/>
      <c r="P41" s="434">
        <f t="shared" si="0"/>
        <v>0</v>
      </c>
    </row>
    <row r="42" spans="1:16" x14ac:dyDescent="0.25">
      <c r="A42" s="34"/>
      <c r="B42" s="433"/>
      <c r="C42" s="580"/>
      <c r="D42" s="580"/>
      <c r="E42" s="270"/>
      <c r="F42" s="300"/>
      <c r="G42" s="300"/>
      <c r="H42" s="420"/>
      <c r="I42" s="420"/>
      <c r="J42" s="420"/>
      <c r="K42" s="420"/>
      <c r="L42" s="420"/>
      <c r="M42" s="420"/>
      <c r="N42" s="420"/>
      <c r="O42" s="420"/>
      <c r="P42" s="434">
        <f t="shared" si="0"/>
        <v>0</v>
      </c>
    </row>
    <row r="43" spans="1:16" x14ac:dyDescent="0.25">
      <c r="A43" s="34"/>
      <c r="B43" s="433"/>
      <c r="C43" s="580"/>
      <c r="D43" s="580"/>
      <c r="E43" s="270"/>
      <c r="F43" s="300"/>
      <c r="G43" s="300"/>
      <c r="H43" s="420"/>
      <c r="I43" s="420"/>
      <c r="J43" s="420"/>
      <c r="K43" s="420"/>
      <c r="L43" s="420"/>
      <c r="M43" s="420"/>
      <c r="N43" s="420"/>
      <c r="O43" s="420"/>
      <c r="P43" s="434">
        <f t="shared" si="0"/>
        <v>0</v>
      </c>
    </row>
    <row r="44" spans="1:16" x14ac:dyDescent="0.25">
      <c r="A44" s="34"/>
      <c r="B44" s="433"/>
      <c r="C44" s="580"/>
      <c r="D44" s="580"/>
      <c r="E44" s="270"/>
      <c r="F44" s="300"/>
      <c r="G44" s="300"/>
      <c r="H44" s="420"/>
      <c r="I44" s="420"/>
      <c r="J44" s="420"/>
      <c r="K44" s="420"/>
      <c r="L44" s="420"/>
      <c r="M44" s="420"/>
      <c r="N44" s="420"/>
      <c r="O44" s="420"/>
      <c r="P44" s="434">
        <f t="shared" si="0"/>
        <v>0</v>
      </c>
    </row>
    <row r="45" spans="1:16" ht="24" customHeight="1" x14ac:dyDescent="0.25">
      <c r="A45" s="50"/>
      <c r="B45" s="600" t="s">
        <v>159</v>
      </c>
      <c r="C45" s="601"/>
      <c r="D45" s="601"/>
      <c r="E45" s="601"/>
      <c r="F45" s="601"/>
      <c r="G45" s="601"/>
      <c r="H45" s="601"/>
      <c r="I45" s="601"/>
      <c r="J45" s="601"/>
      <c r="K45" s="601"/>
      <c r="L45" s="601"/>
      <c r="M45" s="601"/>
      <c r="N45" s="601"/>
      <c r="O45" s="601"/>
      <c r="P45" s="602"/>
    </row>
    <row r="46" spans="1:16" x14ac:dyDescent="0.25">
      <c r="A46" s="34"/>
      <c r="B46" s="433">
        <v>15</v>
      </c>
      <c r="C46" s="418" t="s">
        <v>160</v>
      </c>
      <c r="D46" s="255" t="s">
        <v>34</v>
      </c>
      <c r="E46" s="421"/>
      <c r="F46" s="300"/>
      <c r="G46" s="300"/>
      <c r="H46" s="430">
        <v>1</v>
      </c>
      <c r="I46" s="420"/>
      <c r="J46" s="420"/>
      <c r="K46" s="420"/>
      <c r="L46" s="420"/>
      <c r="M46" s="420"/>
      <c r="N46" s="420"/>
      <c r="O46" s="420"/>
      <c r="P46" s="434">
        <f t="shared" si="0"/>
        <v>1</v>
      </c>
    </row>
    <row r="47" spans="1:16" x14ac:dyDescent="0.25">
      <c r="A47" s="34"/>
      <c r="B47" s="435" t="s">
        <v>264</v>
      </c>
      <c r="C47" s="418"/>
      <c r="D47" s="255" t="s">
        <v>254</v>
      </c>
      <c r="E47" s="421"/>
      <c r="F47" s="300"/>
      <c r="G47" s="300"/>
      <c r="H47" s="430"/>
      <c r="I47" s="420"/>
      <c r="J47" s="420"/>
      <c r="K47" s="420"/>
      <c r="L47" s="420"/>
      <c r="M47" s="420"/>
      <c r="N47" s="420"/>
      <c r="O47" s="420"/>
      <c r="P47" s="434">
        <f t="shared" si="0"/>
        <v>0</v>
      </c>
    </row>
    <row r="48" spans="1:16" x14ac:dyDescent="0.25">
      <c r="A48" s="34"/>
      <c r="B48" s="433"/>
      <c r="C48" s="580"/>
      <c r="D48" s="580"/>
      <c r="E48" s="270"/>
      <c r="F48" s="300"/>
      <c r="G48" s="300"/>
      <c r="H48" s="430"/>
      <c r="I48" s="420"/>
      <c r="J48" s="420"/>
      <c r="K48" s="420"/>
      <c r="L48" s="420"/>
      <c r="M48" s="420"/>
      <c r="N48" s="420"/>
      <c r="O48" s="420"/>
      <c r="P48" s="434">
        <f t="shared" si="0"/>
        <v>0</v>
      </c>
    </row>
    <row r="49" spans="1:16" x14ac:dyDescent="0.25">
      <c r="A49" s="34"/>
      <c r="B49" s="433"/>
      <c r="C49" s="580"/>
      <c r="D49" s="580"/>
      <c r="E49" s="270"/>
      <c r="F49" s="300"/>
      <c r="G49" s="300"/>
      <c r="H49" s="430"/>
      <c r="I49" s="420"/>
      <c r="J49" s="420"/>
      <c r="K49" s="420"/>
      <c r="L49" s="420"/>
      <c r="M49" s="420"/>
      <c r="N49" s="420"/>
      <c r="O49" s="420"/>
      <c r="P49" s="434"/>
    </row>
    <row r="50" spans="1:16" x14ac:dyDescent="0.25">
      <c r="A50" s="34"/>
      <c r="B50" s="433"/>
      <c r="C50" s="580"/>
      <c r="D50" s="580"/>
      <c r="E50" s="270"/>
      <c r="F50" s="300"/>
      <c r="G50" s="300"/>
      <c r="H50" s="430"/>
      <c r="I50" s="420"/>
      <c r="J50" s="420"/>
      <c r="K50" s="420"/>
      <c r="L50" s="420"/>
      <c r="M50" s="420"/>
      <c r="N50" s="420"/>
      <c r="O50" s="420"/>
      <c r="P50" s="434">
        <f t="shared" si="0"/>
        <v>0</v>
      </c>
    </row>
    <row r="51" spans="1:16" ht="21" customHeight="1" x14ac:dyDescent="0.25">
      <c r="A51" s="48"/>
      <c r="B51" s="600" t="s">
        <v>161</v>
      </c>
      <c r="C51" s="601"/>
      <c r="D51" s="601"/>
      <c r="E51" s="601"/>
      <c r="F51" s="601"/>
      <c r="G51" s="601"/>
      <c r="H51" s="601"/>
      <c r="I51" s="601"/>
      <c r="J51" s="601"/>
      <c r="K51" s="601"/>
      <c r="L51" s="601"/>
      <c r="M51" s="601"/>
      <c r="N51" s="601"/>
      <c r="O51" s="601"/>
      <c r="P51" s="602"/>
    </row>
    <row r="52" spans="1:16" x14ac:dyDescent="0.25">
      <c r="A52" s="34"/>
      <c r="B52" s="433">
        <v>16</v>
      </c>
      <c r="C52" s="418" t="s">
        <v>162</v>
      </c>
      <c r="D52" s="255" t="s">
        <v>34</v>
      </c>
      <c r="E52" s="421"/>
      <c r="F52" s="300"/>
      <c r="G52" s="300"/>
      <c r="H52" s="420"/>
      <c r="I52" s="420"/>
      <c r="J52" s="420"/>
      <c r="K52" s="420"/>
      <c r="L52" s="420"/>
      <c r="M52" s="420"/>
      <c r="N52" s="420"/>
      <c r="O52" s="420"/>
      <c r="P52" s="434">
        <f t="shared" si="0"/>
        <v>0</v>
      </c>
    </row>
    <row r="53" spans="1:16" x14ac:dyDescent="0.25">
      <c r="A53" s="34"/>
      <c r="B53" s="433">
        <v>17</v>
      </c>
      <c r="C53" s="418" t="s">
        <v>163</v>
      </c>
      <c r="D53" s="255" t="s">
        <v>34</v>
      </c>
      <c r="E53" s="421"/>
      <c r="F53" s="300"/>
      <c r="G53" s="300"/>
      <c r="H53" s="420"/>
      <c r="I53" s="420"/>
      <c r="J53" s="420"/>
      <c r="K53" s="420"/>
      <c r="L53" s="420"/>
      <c r="M53" s="420"/>
      <c r="N53" s="420"/>
      <c r="O53" s="420"/>
      <c r="P53" s="434">
        <f t="shared" si="0"/>
        <v>0</v>
      </c>
    </row>
    <row r="54" spans="1:16" x14ac:dyDescent="0.25">
      <c r="A54" s="34"/>
      <c r="B54" s="433">
        <v>18</v>
      </c>
      <c r="C54" s="418" t="s">
        <v>164</v>
      </c>
      <c r="D54" s="255" t="s">
        <v>34</v>
      </c>
      <c r="E54" s="421"/>
      <c r="F54" s="300"/>
      <c r="G54" s="300"/>
      <c r="H54" s="420"/>
      <c r="I54" s="420"/>
      <c r="J54" s="420"/>
      <c r="K54" s="420"/>
      <c r="L54" s="420"/>
      <c r="M54" s="420"/>
      <c r="N54" s="420"/>
      <c r="O54" s="420"/>
      <c r="P54" s="434">
        <f t="shared" si="0"/>
        <v>0</v>
      </c>
    </row>
    <row r="55" spans="1:16" x14ac:dyDescent="0.25">
      <c r="A55" s="34"/>
      <c r="B55" s="433">
        <v>19</v>
      </c>
      <c r="C55" s="418" t="s">
        <v>165</v>
      </c>
      <c r="D55" s="255" t="s">
        <v>34</v>
      </c>
      <c r="E55" s="421"/>
      <c r="F55" s="300"/>
      <c r="G55" s="300"/>
      <c r="H55" s="420"/>
      <c r="I55" s="420"/>
      <c r="J55" s="420"/>
      <c r="K55" s="420"/>
      <c r="L55" s="420"/>
      <c r="M55" s="420"/>
      <c r="N55" s="420"/>
      <c r="O55" s="420"/>
      <c r="P55" s="434">
        <f t="shared" si="0"/>
        <v>0</v>
      </c>
    </row>
    <row r="56" spans="1:16" x14ac:dyDescent="0.25">
      <c r="A56" s="34"/>
      <c r="B56" s="435" t="s">
        <v>264</v>
      </c>
      <c r="C56" s="418"/>
      <c r="D56" s="255" t="s">
        <v>254</v>
      </c>
      <c r="E56" s="421"/>
      <c r="F56" s="300"/>
      <c r="G56" s="300"/>
      <c r="H56" s="420"/>
      <c r="I56" s="420"/>
      <c r="J56" s="420"/>
      <c r="K56" s="420"/>
      <c r="L56" s="420"/>
      <c r="M56" s="420"/>
      <c r="N56" s="420"/>
      <c r="O56" s="420"/>
      <c r="P56" s="434">
        <f t="shared" si="0"/>
        <v>0</v>
      </c>
    </row>
    <row r="57" spans="1:16" x14ac:dyDescent="0.25">
      <c r="A57" s="34"/>
      <c r="B57" s="435"/>
      <c r="C57" s="580"/>
      <c r="D57" s="580"/>
      <c r="E57" s="270"/>
      <c r="F57" s="300"/>
      <c r="G57" s="300"/>
      <c r="H57" s="420"/>
      <c r="I57" s="420"/>
      <c r="J57" s="420"/>
      <c r="K57" s="420"/>
      <c r="L57" s="420"/>
      <c r="M57" s="420"/>
      <c r="N57" s="420"/>
      <c r="O57" s="420"/>
      <c r="P57" s="434"/>
    </row>
    <row r="58" spans="1:16" x14ac:dyDescent="0.25">
      <c r="A58" s="34"/>
      <c r="B58" s="435"/>
      <c r="C58" s="580"/>
      <c r="D58" s="580"/>
      <c r="E58" s="270"/>
      <c r="F58" s="300"/>
      <c r="G58" s="300"/>
      <c r="H58" s="420"/>
      <c r="I58" s="420"/>
      <c r="J58" s="420"/>
      <c r="K58" s="420"/>
      <c r="L58" s="420"/>
      <c r="M58" s="420"/>
      <c r="N58" s="420"/>
      <c r="O58" s="420"/>
      <c r="P58" s="434"/>
    </row>
    <row r="59" spans="1:16" x14ac:dyDescent="0.25">
      <c r="A59" s="33"/>
      <c r="B59" s="436"/>
      <c r="C59" s="580"/>
      <c r="D59" s="580"/>
      <c r="E59" s="270"/>
      <c r="F59" s="300"/>
      <c r="G59" s="300"/>
      <c r="H59" s="424"/>
      <c r="I59" s="424"/>
      <c r="J59" s="424"/>
      <c r="K59" s="424"/>
      <c r="L59" s="424"/>
      <c r="M59" s="424"/>
      <c r="N59" s="424"/>
      <c r="O59" s="424"/>
      <c r="P59" s="434"/>
    </row>
    <row r="60" spans="1:16" ht="27" customHeight="1" x14ac:dyDescent="0.25">
      <c r="B60" s="608" t="s">
        <v>166</v>
      </c>
      <c r="C60" s="609"/>
      <c r="D60" s="609"/>
      <c r="E60" s="609"/>
      <c r="F60" s="609"/>
      <c r="G60" s="609"/>
      <c r="H60" s="609"/>
      <c r="I60" s="609"/>
      <c r="J60" s="609"/>
      <c r="K60" s="609"/>
      <c r="L60" s="609"/>
      <c r="M60" s="609"/>
      <c r="N60" s="609"/>
      <c r="O60" s="609"/>
      <c r="P60" s="610"/>
    </row>
    <row r="61" spans="1:16" ht="16.5" x14ac:dyDescent="0.25">
      <c r="B61" s="437"/>
      <c r="C61" s="418"/>
      <c r="D61" s="421"/>
      <c r="E61" s="421"/>
      <c r="F61" s="417"/>
      <c r="G61" s="417"/>
      <c r="H61" s="417"/>
      <c r="I61" s="417"/>
      <c r="J61" s="417"/>
      <c r="K61" s="417"/>
      <c r="L61" s="417"/>
      <c r="M61" s="417"/>
      <c r="N61" s="417"/>
      <c r="O61" s="417"/>
      <c r="P61" s="438"/>
    </row>
    <row r="62" spans="1:16" ht="25.5" customHeight="1" x14ac:dyDescent="0.25">
      <c r="A62" s="50"/>
      <c r="B62" s="603" t="s">
        <v>167</v>
      </c>
      <c r="C62" s="593"/>
      <c r="D62" s="593"/>
      <c r="E62" s="593"/>
      <c r="F62" s="593"/>
      <c r="G62" s="593"/>
      <c r="H62" s="593"/>
      <c r="I62" s="593"/>
      <c r="J62" s="593"/>
      <c r="K62" s="593"/>
      <c r="L62" s="593"/>
      <c r="M62" s="593"/>
      <c r="N62" s="593"/>
      <c r="O62" s="593"/>
      <c r="P62" s="604"/>
    </row>
    <row r="63" spans="1:16" x14ac:dyDescent="0.25">
      <c r="A63" s="34"/>
      <c r="B63" s="433">
        <v>21</v>
      </c>
      <c r="C63" s="418" t="s">
        <v>168</v>
      </c>
      <c r="D63" s="255" t="s">
        <v>34</v>
      </c>
      <c r="E63" s="421"/>
      <c r="F63" s="300"/>
      <c r="G63" s="300"/>
      <c r="H63" s="430">
        <v>1</v>
      </c>
      <c r="I63" s="420"/>
      <c r="J63" s="420"/>
      <c r="K63" s="420"/>
      <c r="L63" s="420"/>
      <c r="M63" s="420"/>
      <c r="N63" s="420"/>
      <c r="O63" s="420"/>
      <c r="P63" s="434">
        <f t="shared" si="0"/>
        <v>1</v>
      </c>
    </row>
    <row r="64" spans="1:16" ht="28.5" x14ac:dyDescent="0.25">
      <c r="A64" s="34"/>
      <c r="B64" s="433">
        <v>22</v>
      </c>
      <c r="C64" s="418" t="s">
        <v>169</v>
      </c>
      <c r="D64" s="255" t="s">
        <v>34</v>
      </c>
      <c r="E64" s="421"/>
      <c r="F64" s="300"/>
      <c r="G64" s="300"/>
      <c r="H64" s="430">
        <v>1</v>
      </c>
      <c r="I64" s="420"/>
      <c r="J64" s="420"/>
      <c r="K64" s="420"/>
      <c r="L64" s="420"/>
      <c r="M64" s="420"/>
      <c r="N64" s="420"/>
      <c r="O64" s="420"/>
      <c r="P64" s="434">
        <f t="shared" si="0"/>
        <v>1</v>
      </c>
    </row>
    <row r="65" spans="1:16" x14ac:dyDescent="0.25">
      <c r="A65" s="34"/>
      <c r="B65" s="433">
        <v>23</v>
      </c>
      <c r="C65" s="418" t="s">
        <v>170</v>
      </c>
      <c r="D65" s="255" t="s">
        <v>34</v>
      </c>
      <c r="E65" s="421"/>
      <c r="F65" s="300"/>
      <c r="G65" s="300"/>
      <c r="H65" s="430">
        <v>1</v>
      </c>
      <c r="I65" s="420"/>
      <c r="J65" s="420"/>
      <c r="K65" s="420"/>
      <c r="L65" s="420"/>
      <c r="M65" s="420"/>
      <c r="N65" s="420"/>
      <c r="O65" s="420"/>
      <c r="P65" s="434">
        <f t="shared" si="0"/>
        <v>1</v>
      </c>
    </row>
    <row r="66" spans="1:16" x14ac:dyDescent="0.25">
      <c r="A66" s="34"/>
      <c r="B66" s="433">
        <v>24</v>
      </c>
      <c r="C66" s="418" t="s">
        <v>171</v>
      </c>
      <c r="D66" s="255" t="s">
        <v>34</v>
      </c>
      <c r="E66" s="421"/>
      <c r="F66" s="300"/>
      <c r="G66" s="300"/>
      <c r="H66" s="430">
        <v>1</v>
      </c>
      <c r="I66" s="420"/>
      <c r="J66" s="420"/>
      <c r="K66" s="420"/>
      <c r="L66" s="420"/>
      <c r="M66" s="420"/>
      <c r="N66" s="420"/>
      <c r="O66" s="420"/>
      <c r="P66" s="434">
        <f t="shared" si="0"/>
        <v>1</v>
      </c>
    </row>
    <row r="67" spans="1:16" x14ac:dyDescent="0.25">
      <c r="A67" s="34"/>
      <c r="B67" s="435" t="s">
        <v>264</v>
      </c>
      <c r="C67" s="418"/>
      <c r="D67" s="255" t="s">
        <v>254</v>
      </c>
      <c r="E67" s="421"/>
      <c r="F67" s="300"/>
      <c r="G67" s="300"/>
      <c r="H67" s="430"/>
      <c r="I67" s="420"/>
      <c r="J67" s="420"/>
      <c r="K67" s="420"/>
      <c r="L67" s="420"/>
      <c r="M67" s="420"/>
      <c r="N67" s="420"/>
      <c r="O67" s="420"/>
      <c r="P67" s="434"/>
    </row>
    <row r="68" spans="1:16" x14ac:dyDescent="0.25">
      <c r="A68" s="34"/>
      <c r="B68" s="433"/>
      <c r="C68" s="580"/>
      <c r="D68" s="580"/>
      <c r="E68" s="270"/>
      <c r="F68" s="300"/>
      <c r="G68" s="300"/>
      <c r="H68" s="430"/>
      <c r="I68" s="420"/>
      <c r="J68" s="420"/>
      <c r="K68" s="420"/>
      <c r="L68" s="420"/>
      <c r="M68" s="420"/>
      <c r="N68" s="420"/>
      <c r="O68" s="420"/>
      <c r="P68" s="434"/>
    </row>
    <row r="69" spans="1:16" x14ac:dyDescent="0.25">
      <c r="A69" s="34"/>
      <c r="B69" s="433"/>
      <c r="C69" s="580"/>
      <c r="D69" s="580"/>
      <c r="E69" s="270"/>
      <c r="F69" s="300"/>
      <c r="G69" s="300"/>
      <c r="H69" s="430"/>
      <c r="I69" s="420"/>
      <c r="J69" s="420"/>
      <c r="K69" s="420"/>
      <c r="L69" s="420"/>
      <c r="M69" s="420"/>
      <c r="N69" s="420"/>
      <c r="O69" s="420"/>
      <c r="P69" s="434"/>
    </row>
    <row r="70" spans="1:16" x14ac:dyDescent="0.25">
      <c r="A70" s="34"/>
      <c r="B70" s="433"/>
      <c r="C70" s="580"/>
      <c r="D70" s="580"/>
      <c r="E70" s="270"/>
      <c r="F70" s="300"/>
      <c r="G70" s="300"/>
      <c r="H70" s="420"/>
      <c r="I70" s="420"/>
      <c r="J70" s="420"/>
      <c r="K70" s="420"/>
      <c r="L70" s="420"/>
      <c r="M70" s="420"/>
      <c r="N70" s="420"/>
      <c r="O70" s="420"/>
      <c r="P70" s="434">
        <f t="shared" si="0"/>
        <v>0</v>
      </c>
    </row>
    <row r="71" spans="1:16" ht="28.5" customHeight="1" x14ac:dyDescent="0.25">
      <c r="A71" s="50"/>
      <c r="B71" s="603" t="s">
        <v>172</v>
      </c>
      <c r="C71" s="593"/>
      <c r="D71" s="593"/>
      <c r="E71" s="593"/>
      <c r="F71" s="593"/>
      <c r="G71" s="593"/>
      <c r="H71" s="593"/>
      <c r="I71" s="593"/>
      <c r="J71" s="593"/>
      <c r="K71" s="593"/>
      <c r="L71" s="593"/>
      <c r="M71" s="593"/>
      <c r="N71" s="593"/>
      <c r="O71" s="593"/>
      <c r="P71" s="604"/>
    </row>
    <row r="72" spans="1:16" x14ac:dyDescent="0.25">
      <c r="A72" s="34"/>
      <c r="B72" s="433">
        <v>25</v>
      </c>
      <c r="C72" s="418" t="s">
        <v>173</v>
      </c>
      <c r="D72" s="255" t="s">
        <v>34</v>
      </c>
      <c r="E72" s="421"/>
      <c r="F72" s="300"/>
      <c r="G72" s="300"/>
      <c r="H72" s="420"/>
      <c r="I72" s="430">
        <v>1</v>
      </c>
      <c r="J72" s="420"/>
      <c r="K72" s="420"/>
      <c r="L72" s="420"/>
      <c r="M72" s="420"/>
      <c r="N72" s="420"/>
      <c r="O72" s="420"/>
      <c r="P72" s="434">
        <f t="shared" si="0"/>
        <v>1</v>
      </c>
    </row>
    <row r="73" spans="1:16" x14ac:dyDescent="0.25">
      <c r="A73" s="34"/>
      <c r="B73" s="433">
        <v>26</v>
      </c>
      <c r="C73" s="418" t="s">
        <v>174</v>
      </c>
      <c r="D73" s="255" t="s">
        <v>34</v>
      </c>
      <c r="E73" s="421"/>
      <c r="F73" s="300"/>
      <c r="G73" s="300"/>
      <c r="H73" s="420"/>
      <c r="I73" s="430">
        <v>1</v>
      </c>
      <c r="J73" s="420"/>
      <c r="K73" s="420"/>
      <c r="L73" s="420"/>
      <c r="M73" s="420"/>
      <c r="N73" s="420"/>
      <c r="O73" s="420"/>
      <c r="P73" s="434">
        <f t="shared" si="0"/>
        <v>1</v>
      </c>
    </row>
    <row r="74" spans="1:16" ht="28.5" x14ac:dyDescent="0.25">
      <c r="A74" s="34"/>
      <c r="B74" s="433">
        <v>27</v>
      </c>
      <c r="C74" s="418" t="s">
        <v>175</v>
      </c>
      <c r="D74" s="255" t="s">
        <v>34</v>
      </c>
      <c r="E74" s="421"/>
      <c r="F74" s="300"/>
      <c r="G74" s="300"/>
      <c r="H74" s="420"/>
      <c r="I74" s="430">
        <v>0.8</v>
      </c>
      <c r="J74" s="430">
        <v>0.2</v>
      </c>
      <c r="K74" s="420"/>
      <c r="L74" s="420"/>
      <c r="M74" s="420"/>
      <c r="N74" s="420"/>
      <c r="O74" s="420"/>
      <c r="P74" s="434">
        <f t="shared" si="0"/>
        <v>1</v>
      </c>
    </row>
    <row r="75" spans="1:16" ht="28.5" x14ac:dyDescent="0.25">
      <c r="A75" s="34"/>
      <c r="B75" s="433">
        <v>28</v>
      </c>
      <c r="C75" s="418" t="s">
        <v>176</v>
      </c>
      <c r="D75" s="255" t="s">
        <v>34</v>
      </c>
      <c r="E75" s="421"/>
      <c r="F75" s="300"/>
      <c r="G75" s="300"/>
      <c r="H75" s="420"/>
      <c r="I75" s="420"/>
      <c r="J75" s="420"/>
      <c r="K75" s="420"/>
      <c r="L75" s="420"/>
      <c r="M75" s="420"/>
      <c r="N75" s="420"/>
      <c r="O75" s="420"/>
      <c r="P75" s="434">
        <f t="shared" si="0"/>
        <v>0</v>
      </c>
    </row>
    <row r="76" spans="1:16" ht="28.5" x14ac:dyDescent="0.25">
      <c r="A76" s="34"/>
      <c r="B76" s="433">
        <v>29</v>
      </c>
      <c r="C76" s="418" t="s">
        <v>177</v>
      </c>
      <c r="D76" s="255" t="s">
        <v>34</v>
      </c>
      <c r="E76" s="421"/>
      <c r="F76" s="300"/>
      <c r="G76" s="300"/>
      <c r="H76" s="420"/>
      <c r="I76" s="420"/>
      <c r="J76" s="420"/>
      <c r="K76" s="420"/>
      <c r="L76" s="420"/>
      <c r="M76" s="420"/>
      <c r="N76" s="420"/>
      <c r="O76" s="420"/>
      <c r="P76" s="434">
        <f t="shared" si="0"/>
        <v>0</v>
      </c>
    </row>
    <row r="77" spans="1:16" ht="28.5" x14ac:dyDescent="0.25">
      <c r="A77" s="34"/>
      <c r="B77" s="433">
        <v>30</v>
      </c>
      <c r="C77" s="418" t="s">
        <v>178</v>
      </c>
      <c r="D77" s="255" t="s">
        <v>34</v>
      </c>
      <c r="E77" s="421"/>
      <c r="F77" s="300"/>
      <c r="G77" s="300"/>
      <c r="H77" s="420"/>
      <c r="I77" s="420"/>
      <c r="J77" s="420"/>
      <c r="K77" s="420"/>
      <c r="L77" s="420"/>
      <c r="M77" s="420"/>
      <c r="N77" s="420"/>
      <c r="O77" s="420"/>
      <c r="P77" s="434">
        <f t="shared" si="0"/>
        <v>0</v>
      </c>
    </row>
    <row r="78" spans="1:16" ht="28.5" x14ac:dyDescent="0.25">
      <c r="A78" s="34"/>
      <c r="B78" s="433">
        <v>31</v>
      </c>
      <c r="C78" s="418" t="s">
        <v>179</v>
      </c>
      <c r="D78" s="255" t="s">
        <v>34</v>
      </c>
      <c r="E78" s="421"/>
      <c r="F78" s="300"/>
      <c r="G78" s="300"/>
      <c r="H78" s="420"/>
      <c r="I78" s="420"/>
      <c r="J78" s="420"/>
      <c r="K78" s="420"/>
      <c r="L78" s="420"/>
      <c r="M78" s="420"/>
      <c r="N78" s="420"/>
      <c r="O78" s="420"/>
      <c r="P78" s="434">
        <f t="shared" si="0"/>
        <v>0</v>
      </c>
    </row>
    <row r="79" spans="1:16" x14ac:dyDescent="0.25">
      <c r="A79" s="34"/>
      <c r="B79" s="433">
        <v>32</v>
      </c>
      <c r="C79" s="418" t="s">
        <v>180</v>
      </c>
      <c r="D79" s="255" t="s">
        <v>34</v>
      </c>
      <c r="E79" s="421"/>
      <c r="F79" s="300"/>
      <c r="G79" s="300"/>
      <c r="H79" s="420"/>
      <c r="I79" s="420"/>
      <c r="J79" s="420"/>
      <c r="K79" s="420"/>
      <c r="L79" s="420"/>
      <c r="M79" s="420"/>
      <c r="N79" s="420"/>
      <c r="O79" s="420"/>
      <c r="P79" s="434">
        <f t="shared" si="0"/>
        <v>0</v>
      </c>
    </row>
    <row r="80" spans="1:16" x14ac:dyDescent="0.25">
      <c r="A80" s="34"/>
      <c r="B80" s="435" t="s">
        <v>264</v>
      </c>
      <c r="C80" s="418"/>
      <c r="D80" s="255" t="s">
        <v>254</v>
      </c>
      <c r="E80" s="421"/>
      <c r="F80" s="300"/>
      <c r="G80" s="300"/>
      <c r="H80" s="420"/>
      <c r="I80" s="420"/>
      <c r="J80" s="420"/>
      <c r="K80" s="420"/>
      <c r="L80" s="420"/>
      <c r="M80" s="420"/>
      <c r="N80" s="420"/>
      <c r="O80" s="420"/>
      <c r="P80" s="434"/>
    </row>
    <row r="81" spans="1:16" x14ac:dyDescent="0.25">
      <c r="A81" s="34"/>
      <c r="B81" s="433"/>
      <c r="C81" s="580"/>
      <c r="D81" s="580"/>
      <c r="E81" s="270"/>
      <c r="F81" s="300"/>
      <c r="G81" s="300"/>
      <c r="H81" s="420"/>
      <c r="I81" s="420"/>
      <c r="J81" s="420"/>
      <c r="K81" s="420"/>
      <c r="L81" s="420"/>
      <c r="M81" s="420"/>
      <c r="N81" s="420"/>
      <c r="O81" s="420"/>
      <c r="P81" s="434"/>
    </row>
    <row r="82" spans="1:16" x14ac:dyDescent="0.25">
      <c r="A82" s="34"/>
      <c r="B82" s="433"/>
      <c r="C82" s="580"/>
      <c r="D82" s="580"/>
      <c r="E82" s="270"/>
      <c r="F82" s="300"/>
      <c r="G82" s="300"/>
      <c r="H82" s="420"/>
      <c r="I82" s="420"/>
      <c r="J82" s="420"/>
      <c r="K82" s="420"/>
      <c r="L82" s="420"/>
      <c r="M82" s="420"/>
      <c r="N82" s="420"/>
      <c r="O82" s="420"/>
      <c r="P82" s="434"/>
    </row>
    <row r="83" spans="1:16" x14ac:dyDescent="0.25">
      <c r="A83" s="34"/>
      <c r="B83" s="433"/>
      <c r="C83" s="580"/>
      <c r="D83" s="580"/>
      <c r="E83" s="270"/>
      <c r="F83" s="300"/>
      <c r="G83" s="300"/>
      <c r="H83" s="420"/>
      <c r="I83" s="420"/>
      <c r="J83" s="420"/>
      <c r="K83" s="420"/>
      <c r="L83" s="420"/>
      <c r="M83" s="420"/>
      <c r="N83" s="420"/>
      <c r="O83" s="420"/>
      <c r="P83" s="434">
        <f t="shared" ref="P83:P106" si="1">SUM(H83:O83)</f>
        <v>0</v>
      </c>
    </row>
    <row r="84" spans="1:16" ht="25.5" customHeight="1" x14ac:dyDescent="0.25">
      <c r="A84" s="50"/>
      <c r="B84" s="603" t="s">
        <v>181</v>
      </c>
      <c r="C84" s="593"/>
      <c r="D84" s="593"/>
      <c r="E84" s="593"/>
      <c r="F84" s="593"/>
      <c r="G84" s="593"/>
      <c r="H84" s="593"/>
      <c r="I84" s="593"/>
      <c r="J84" s="593"/>
      <c r="K84" s="593"/>
      <c r="L84" s="593"/>
      <c r="M84" s="593"/>
      <c r="N84" s="593"/>
      <c r="O84" s="593"/>
      <c r="P84" s="604"/>
    </row>
    <row r="85" spans="1:16" x14ac:dyDescent="0.25">
      <c r="A85" s="34"/>
      <c r="B85" s="433">
        <v>33</v>
      </c>
      <c r="C85" s="418" t="s">
        <v>182</v>
      </c>
      <c r="D85" s="255" t="s">
        <v>34</v>
      </c>
      <c r="E85" s="421"/>
      <c r="F85" s="300"/>
      <c r="G85" s="300"/>
      <c r="H85" s="426"/>
      <c r="I85" s="426"/>
      <c r="J85" s="426"/>
      <c r="K85" s="426"/>
      <c r="L85" s="426"/>
      <c r="M85" s="426"/>
      <c r="N85" s="426"/>
      <c r="O85" s="426"/>
      <c r="P85" s="434">
        <f t="shared" si="1"/>
        <v>0</v>
      </c>
    </row>
    <row r="86" spans="1:16" x14ac:dyDescent="0.25">
      <c r="A86" s="34"/>
      <c r="B86" s="433">
        <v>34</v>
      </c>
      <c r="C86" s="418" t="s">
        <v>183</v>
      </c>
      <c r="D86" s="255" t="s">
        <v>34</v>
      </c>
      <c r="E86" s="421"/>
      <c r="F86" s="300"/>
      <c r="G86" s="300"/>
      <c r="H86" s="426"/>
      <c r="I86" s="426"/>
      <c r="J86" s="426"/>
      <c r="K86" s="426"/>
      <c r="L86" s="426"/>
      <c r="M86" s="426"/>
      <c r="N86" s="426"/>
      <c r="O86" s="426"/>
      <c r="P86" s="434">
        <f t="shared" si="1"/>
        <v>0</v>
      </c>
    </row>
    <row r="87" spans="1:16" x14ac:dyDescent="0.25">
      <c r="A87" s="34"/>
      <c r="B87" s="433">
        <v>35</v>
      </c>
      <c r="C87" s="418" t="s">
        <v>184</v>
      </c>
      <c r="D87" s="255" t="s">
        <v>34</v>
      </c>
      <c r="E87" s="421"/>
      <c r="F87" s="300"/>
      <c r="G87" s="300"/>
      <c r="H87" s="426"/>
      <c r="I87" s="426"/>
      <c r="J87" s="426"/>
      <c r="K87" s="426"/>
      <c r="L87" s="426"/>
      <c r="M87" s="426"/>
      <c r="N87" s="426"/>
      <c r="O87" s="426"/>
      <c r="P87" s="434">
        <f t="shared" si="1"/>
        <v>0</v>
      </c>
    </row>
    <row r="88" spans="1:16" x14ac:dyDescent="0.25">
      <c r="A88" s="34"/>
      <c r="B88" s="435" t="s">
        <v>264</v>
      </c>
      <c r="C88" s="418"/>
      <c r="D88" s="255" t="s">
        <v>254</v>
      </c>
      <c r="E88" s="421"/>
      <c r="F88" s="300"/>
      <c r="G88" s="300"/>
      <c r="H88" s="426"/>
      <c r="I88" s="426"/>
      <c r="J88" s="426"/>
      <c r="K88" s="426"/>
      <c r="L88" s="426"/>
      <c r="M88" s="426"/>
      <c r="N88" s="426"/>
      <c r="O88" s="426"/>
      <c r="P88" s="434"/>
    </row>
    <row r="89" spans="1:16" x14ac:dyDescent="0.25">
      <c r="A89" s="34"/>
      <c r="B89" s="433"/>
      <c r="C89" s="580"/>
      <c r="D89" s="580"/>
      <c r="E89" s="270"/>
      <c r="F89" s="300"/>
      <c r="G89" s="300"/>
      <c r="H89" s="426"/>
      <c r="I89" s="426"/>
      <c r="J89" s="426"/>
      <c r="K89" s="426"/>
      <c r="L89" s="426"/>
      <c r="M89" s="426"/>
      <c r="N89" s="426"/>
      <c r="O89" s="426"/>
      <c r="P89" s="434"/>
    </row>
    <row r="90" spans="1:16" x14ac:dyDescent="0.25">
      <c r="A90" s="34"/>
      <c r="B90" s="433"/>
      <c r="C90" s="580"/>
      <c r="D90" s="580"/>
      <c r="E90" s="270"/>
      <c r="F90" s="300"/>
      <c r="G90" s="300"/>
      <c r="H90" s="426"/>
      <c r="I90" s="426"/>
      <c r="J90" s="426"/>
      <c r="K90" s="426"/>
      <c r="L90" s="426"/>
      <c r="M90" s="426"/>
      <c r="N90" s="426"/>
      <c r="O90" s="426"/>
      <c r="P90" s="434"/>
    </row>
    <row r="91" spans="1:16" x14ac:dyDescent="0.25">
      <c r="A91" s="34"/>
      <c r="B91" s="433"/>
      <c r="C91" s="580"/>
      <c r="D91" s="580"/>
      <c r="E91" s="270"/>
      <c r="F91" s="300"/>
      <c r="G91" s="300"/>
      <c r="H91" s="426"/>
      <c r="I91" s="426"/>
      <c r="J91" s="426"/>
      <c r="K91" s="426"/>
      <c r="L91" s="426"/>
      <c r="M91" s="426"/>
      <c r="N91" s="426"/>
      <c r="O91" s="426"/>
      <c r="P91" s="434">
        <f t="shared" si="1"/>
        <v>0</v>
      </c>
    </row>
    <row r="92" spans="1:16" ht="24" customHeight="1" x14ac:dyDescent="0.25">
      <c r="A92" s="50"/>
      <c r="B92" s="603" t="s">
        <v>185</v>
      </c>
      <c r="C92" s="593"/>
      <c r="D92" s="593"/>
      <c r="E92" s="593"/>
      <c r="F92" s="593"/>
      <c r="G92" s="593"/>
      <c r="H92" s="593"/>
      <c r="I92" s="593"/>
      <c r="J92" s="593"/>
      <c r="K92" s="593"/>
      <c r="L92" s="593"/>
      <c r="M92" s="593"/>
      <c r="N92" s="593"/>
      <c r="O92" s="593"/>
      <c r="P92" s="604"/>
    </row>
    <row r="93" spans="1:16" ht="42.75" x14ac:dyDescent="0.25">
      <c r="A93" s="34"/>
      <c r="B93" s="433">
        <v>36</v>
      </c>
      <c r="C93" s="418" t="s">
        <v>186</v>
      </c>
      <c r="D93" s="255" t="s">
        <v>34</v>
      </c>
      <c r="E93" s="421"/>
      <c r="F93" s="300"/>
      <c r="G93" s="300"/>
      <c r="H93" s="426"/>
      <c r="I93" s="426"/>
      <c r="J93" s="426"/>
      <c r="K93" s="426"/>
      <c r="L93" s="426"/>
      <c r="M93" s="426"/>
      <c r="N93" s="426"/>
      <c r="O93" s="426"/>
      <c r="P93" s="434">
        <f t="shared" si="1"/>
        <v>0</v>
      </c>
    </row>
    <row r="94" spans="1:16" ht="28.5" x14ac:dyDescent="0.25">
      <c r="A94" s="34"/>
      <c r="B94" s="433">
        <v>37</v>
      </c>
      <c r="C94" s="418" t="s">
        <v>187</v>
      </c>
      <c r="D94" s="255" t="s">
        <v>34</v>
      </c>
      <c r="E94" s="421"/>
      <c r="F94" s="300"/>
      <c r="G94" s="300"/>
      <c r="H94" s="426"/>
      <c r="I94" s="426"/>
      <c r="J94" s="426"/>
      <c r="K94" s="426"/>
      <c r="L94" s="426"/>
      <c r="M94" s="426"/>
      <c r="N94" s="426"/>
      <c r="O94" s="426"/>
      <c r="P94" s="434">
        <f t="shared" si="1"/>
        <v>0</v>
      </c>
    </row>
    <row r="95" spans="1:16" x14ac:dyDescent="0.25">
      <c r="A95" s="34"/>
      <c r="B95" s="433">
        <v>38</v>
      </c>
      <c r="C95" s="418" t="s">
        <v>188</v>
      </c>
      <c r="D95" s="255" t="s">
        <v>34</v>
      </c>
      <c r="E95" s="421"/>
      <c r="F95" s="300"/>
      <c r="G95" s="300"/>
      <c r="H95" s="426"/>
      <c r="I95" s="426"/>
      <c r="J95" s="426"/>
      <c r="K95" s="426"/>
      <c r="L95" s="426"/>
      <c r="M95" s="426"/>
      <c r="N95" s="426"/>
      <c r="O95" s="426"/>
      <c r="P95" s="434">
        <f t="shared" si="1"/>
        <v>0</v>
      </c>
    </row>
    <row r="96" spans="1:16" ht="28.5" x14ac:dyDescent="0.25">
      <c r="A96" s="34"/>
      <c r="B96" s="433">
        <v>39</v>
      </c>
      <c r="C96" s="418" t="s">
        <v>189</v>
      </c>
      <c r="D96" s="255" t="s">
        <v>34</v>
      </c>
      <c r="E96" s="421"/>
      <c r="F96" s="300"/>
      <c r="G96" s="300"/>
      <c r="H96" s="426"/>
      <c r="I96" s="426"/>
      <c r="J96" s="426"/>
      <c r="K96" s="426"/>
      <c r="L96" s="426"/>
      <c r="M96" s="426"/>
      <c r="N96" s="426"/>
      <c r="O96" s="426"/>
      <c r="P96" s="434">
        <f t="shared" si="1"/>
        <v>0</v>
      </c>
    </row>
    <row r="97" spans="1:16" ht="28.5" x14ac:dyDescent="0.25">
      <c r="A97" s="34"/>
      <c r="B97" s="433">
        <v>40</v>
      </c>
      <c r="C97" s="418" t="s">
        <v>190</v>
      </c>
      <c r="D97" s="255" t="s">
        <v>34</v>
      </c>
      <c r="E97" s="421"/>
      <c r="F97" s="300"/>
      <c r="G97" s="300"/>
      <c r="H97" s="426"/>
      <c r="I97" s="426"/>
      <c r="J97" s="426"/>
      <c r="K97" s="426"/>
      <c r="L97" s="426"/>
      <c r="M97" s="426"/>
      <c r="N97" s="426"/>
      <c r="O97" s="426"/>
      <c r="P97" s="434">
        <f t="shared" si="1"/>
        <v>0</v>
      </c>
    </row>
    <row r="98" spans="1:16" ht="28.5" x14ac:dyDescent="0.25">
      <c r="A98" s="34"/>
      <c r="B98" s="433">
        <v>41</v>
      </c>
      <c r="C98" s="418" t="s">
        <v>191</v>
      </c>
      <c r="D98" s="255" t="s">
        <v>34</v>
      </c>
      <c r="E98" s="421"/>
      <c r="F98" s="300"/>
      <c r="G98" s="300"/>
      <c r="H98" s="426"/>
      <c r="I98" s="426"/>
      <c r="J98" s="426"/>
      <c r="K98" s="426"/>
      <c r="L98" s="426"/>
      <c r="M98" s="426"/>
      <c r="N98" s="426"/>
      <c r="O98" s="426"/>
      <c r="P98" s="434">
        <f t="shared" si="1"/>
        <v>0</v>
      </c>
    </row>
    <row r="99" spans="1:16" ht="28.5" x14ac:dyDescent="0.25">
      <c r="A99" s="34"/>
      <c r="B99" s="433">
        <v>42</v>
      </c>
      <c r="C99" s="418" t="s">
        <v>192</v>
      </c>
      <c r="D99" s="255" t="s">
        <v>34</v>
      </c>
      <c r="E99" s="421"/>
      <c r="F99" s="300"/>
      <c r="G99" s="300"/>
      <c r="H99" s="426"/>
      <c r="I99" s="426"/>
      <c r="J99" s="426"/>
      <c r="K99" s="426"/>
      <c r="L99" s="426"/>
      <c r="M99" s="426"/>
      <c r="N99" s="426"/>
      <c r="O99" s="426"/>
      <c r="P99" s="434">
        <f t="shared" si="1"/>
        <v>0</v>
      </c>
    </row>
    <row r="100" spans="1:16" x14ac:dyDescent="0.25">
      <c r="A100" s="34"/>
      <c r="B100" s="433">
        <v>43</v>
      </c>
      <c r="C100" s="418" t="s">
        <v>193</v>
      </c>
      <c r="D100" s="255" t="s">
        <v>34</v>
      </c>
      <c r="E100" s="421"/>
      <c r="F100" s="300"/>
      <c r="G100" s="300"/>
      <c r="H100" s="426"/>
      <c r="I100" s="426"/>
      <c r="J100" s="426"/>
      <c r="K100" s="426"/>
      <c r="L100" s="426"/>
      <c r="M100" s="426"/>
      <c r="N100" s="426"/>
      <c r="O100" s="426"/>
      <c r="P100" s="434">
        <f t="shared" si="1"/>
        <v>0</v>
      </c>
    </row>
    <row r="101" spans="1:16" ht="42.75" x14ac:dyDescent="0.25">
      <c r="A101" s="34"/>
      <c r="B101" s="433">
        <v>44</v>
      </c>
      <c r="C101" s="418" t="s">
        <v>194</v>
      </c>
      <c r="D101" s="255" t="s">
        <v>34</v>
      </c>
      <c r="E101" s="421"/>
      <c r="F101" s="300"/>
      <c r="G101" s="300"/>
      <c r="H101" s="426"/>
      <c r="I101" s="426"/>
      <c r="J101" s="426"/>
      <c r="K101" s="426"/>
      <c r="L101" s="426"/>
      <c r="M101" s="426"/>
      <c r="N101" s="426"/>
      <c r="O101" s="426"/>
      <c r="P101" s="434">
        <f t="shared" si="1"/>
        <v>0</v>
      </c>
    </row>
    <row r="102" spans="1:16" ht="28.5" x14ac:dyDescent="0.25">
      <c r="A102" s="34"/>
      <c r="B102" s="433">
        <v>45</v>
      </c>
      <c r="C102" s="418" t="s">
        <v>195</v>
      </c>
      <c r="D102" s="255" t="s">
        <v>34</v>
      </c>
      <c r="E102" s="421"/>
      <c r="F102" s="300"/>
      <c r="G102" s="300"/>
      <c r="H102" s="426"/>
      <c r="I102" s="426"/>
      <c r="J102" s="426"/>
      <c r="K102" s="426"/>
      <c r="L102" s="426"/>
      <c r="M102" s="426"/>
      <c r="N102" s="426"/>
      <c r="O102" s="426"/>
      <c r="P102" s="434">
        <f t="shared" si="1"/>
        <v>0</v>
      </c>
    </row>
    <row r="103" spans="1:16" ht="28.5" x14ac:dyDescent="0.25">
      <c r="A103" s="34"/>
      <c r="B103" s="433">
        <v>46</v>
      </c>
      <c r="C103" s="418" t="s">
        <v>196</v>
      </c>
      <c r="D103" s="255" t="s">
        <v>34</v>
      </c>
      <c r="E103" s="421"/>
      <c r="F103" s="300"/>
      <c r="G103" s="300"/>
      <c r="H103" s="426"/>
      <c r="I103" s="426"/>
      <c r="J103" s="426"/>
      <c r="K103" s="426"/>
      <c r="L103" s="426"/>
      <c r="M103" s="426"/>
      <c r="N103" s="426"/>
      <c r="O103" s="426"/>
      <c r="P103" s="434">
        <f t="shared" si="1"/>
        <v>0</v>
      </c>
    </row>
    <row r="104" spans="1:16" ht="28.5" x14ac:dyDescent="0.25">
      <c r="A104" s="34"/>
      <c r="B104" s="433">
        <v>47</v>
      </c>
      <c r="C104" s="418" t="s">
        <v>197</v>
      </c>
      <c r="D104" s="255" t="s">
        <v>34</v>
      </c>
      <c r="E104" s="421"/>
      <c r="F104" s="300"/>
      <c r="G104" s="300"/>
      <c r="H104" s="426"/>
      <c r="I104" s="426"/>
      <c r="J104" s="426"/>
      <c r="K104" s="426"/>
      <c r="L104" s="426"/>
      <c r="M104" s="426"/>
      <c r="N104" s="426"/>
      <c r="O104" s="426"/>
      <c r="P104" s="434">
        <f t="shared" si="1"/>
        <v>0</v>
      </c>
    </row>
    <row r="105" spans="1:16" ht="28.5" x14ac:dyDescent="0.25">
      <c r="A105" s="34"/>
      <c r="B105" s="433">
        <v>48</v>
      </c>
      <c r="C105" s="418" t="s">
        <v>198</v>
      </c>
      <c r="D105" s="255" t="s">
        <v>34</v>
      </c>
      <c r="E105" s="421"/>
      <c r="F105" s="300"/>
      <c r="G105" s="300"/>
      <c r="H105" s="426"/>
      <c r="I105" s="426"/>
      <c r="J105" s="426"/>
      <c r="K105" s="426"/>
      <c r="L105" s="426"/>
      <c r="M105" s="426"/>
      <c r="N105" s="426"/>
      <c r="O105" s="426"/>
      <c r="P105" s="434">
        <f t="shared" si="1"/>
        <v>0</v>
      </c>
    </row>
    <row r="106" spans="1:16" ht="28.5" x14ac:dyDescent="0.25">
      <c r="A106" s="34"/>
      <c r="B106" s="433">
        <v>49</v>
      </c>
      <c r="C106" s="418" t="s">
        <v>199</v>
      </c>
      <c r="D106" s="255" t="s">
        <v>34</v>
      </c>
      <c r="E106" s="421"/>
      <c r="F106" s="300"/>
      <c r="G106" s="300"/>
      <c r="H106" s="426"/>
      <c r="I106" s="426"/>
      <c r="J106" s="426"/>
      <c r="K106" s="426"/>
      <c r="L106" s="426"/>
      <c r="M106" s="426"/>
      <c r="N106" s="426"/>
      <c r="O106" s="426"/>
      <c r="P106" s="434">
        <f t="shared" si="1"/>
        <v>0</v>
      </c>
    </row>
    <row r="107" spans="1:16" x14ac:dyDescent="0.25">
      <c r="A107" s="34"/>
      <c r="B107" s="435" t="s">
        <v>264</v>
      </c>
      <c r="C107" s="418"/>
      <c r="D107" s="255" t="s">
        <v>254</v>
      </c>
      <c r="E107" s="421"/>
      <c r="F107" s="300"/>
      <c r="G107" s="300"/>
      <c r="H107" s="426"/>
      <c r="I107" s="426"/>
      <c r="J107" s="426"/>
      <c r="K107" s="426"/>
      <c r="L107" s="426"/>
      <c r="M107" s="426"/>
      <c r="N107" s="426"/>
      <c r="O107" s="426"/>
      <c r="P107" s="434"/>
    </row>
    <row r="108" spans="1:16" x14ac:dyDescent="0.25">
      <c r="A108" s="34"/>
      <c r="B108" s="433"/>
      <c r="C108" s="580"/>
      <c r="D108" s="580"/>
      <c r="E108" s="270"/>
      <c r="F108" s="300"/>
      <c r="G108" s="300"/>
      <c r="H108" s="426"/>
      <c r="I108" s="426"/>
      <c r="J108" s="426"/>
      <c r="K108" s="426"/>
      <c r="L108" s="426"/>
      <c r="M108" s="426"/>
      <c r="N108" s="426"/>
      <c r="O108" s="426"/>
      <c r="P108" s="434"/>
    </row>
    <row r="109" spans="1:16" x14ac:dyDescent="0.25">
      <c r="A109" s="34"/>
      <c r="B109" s="433"/>
      <c r="C109" s="580"/>
      <c r="D109" s="580"/>
      <c r="E109" s="270"/>
      <c r="F109" s="300"/>
      <c r="G109" s="300"/>
      <c r="H109" s="426"/>
      <c r="I109" s="426"/>
      <c r="J109" s="426"/>
      <c r="K109" s="426"/>
      <c r="L109" s="426"/>
      <c r="M109" s="426"/>
      <c r="N109" s="426"/>
      <c r="O109" s="426"/>
      <c r="P109" s="434"/>
    </row>
    <row r="110" spans="1:16" x14ac:dyDescent="0.25">
      <c r="A110" s="34"/>
      <c r="B110" s="433"/>
      <c r="C110" s="580"/>
      <c r="D110" s="580"/>
      <c r="E110" s="270"/>
      <c r="F110" s="300"/>
      <c r="G110" s="300"/>
      <c r="H110" s="426"/>
      <c r="I110" s="426"/>
      <c r="J110" s="426"/>
      <c r="K110" s="426"/>
      <c r="L110" s="426"/>
      <c r="M110" s="426"/>
      <c r="N110" s="426"/>
      <c r="O110" s="426"/>
      <c r="P110" s="434"/>
    </row>
    <row r="111" spans="1:16" x14ac:dyDescent="0.25">
      <c r="B111" s="357"/>
      <c r="C111" s="594" t="s">
        <v>222</v>
      </c>
      <c r="D111" s="594"/>
      <c r="E111" s="358"/>
      <c r="F111" s="359"/>
      <c r="G111" s="359"/>
      <c r="H111" s="360">
        <f>SUM(F17*H17,F18*H18,F19*H19,F20*H20,F21*H21,F22*H22,F46*H46,F63*H63,F64*H64,F65*H65,F66*H66)</f>
        <v>0</v>
      </c>
      <c r="I111" s="360">
        <f>SUM(F28*I28,F29*I29,F30*I30,F31*I31,F32*I32,F72*I72,F73*I73,F74*I74,F75*I75,F76*I76,F77*I77,F78*I78,F79*I79,F85*I85,F86*I86,F87*I87)</f>
        <v>0</v>
      </c>
      <c r="J111" s="361"/>
      <c r="K111" s="358"/>
      <c r="L111" s="358"/>
      <c r="M111" s="358"/>
      <c r="N111" s="360"/>
      <c r="O111" s="358"/>
      <c r="P111" s="362">
        <f>SUM(H111:O111)</f>
        <v>0</v>
      </c>
    </row>
    <row r="112" spans="1:16" x14ac:dyDescent="0.25">
      <c r="B112" s="277"/>
      <c r="C112" s="580" t="s">
        <v>261</v>
      </c>
      <c r="D112" s="580"/>
      <c r="E112" s="271"/>
      <c r="F112" s="269"/>
      <c r="G112" s="269"/>
      <c r="H112" s="271"/>
      <c r="I112" s="271"/>
      <c r="J112" s="272">
        <f>SUM(E28*G28*J28,E29*G29*J29,E30*G30*J30,E31*G31,J31*E32*G32*J32,E38*G38*J38,E39*G39*J39,E40*G40*J40)</f>
        <v>300</v>
      </c>
      <c r="K112" s="272">
        <f>SUM(E28*G28*K28,E29*G29*K29,E30*G30*K30,E31*G31*K31,E32*G32*K32,E38*G38*K38,E39*G39*K39,E40*G40*K40)</f>
        <v>180</v>
      </c>
      <c r="L112" s="272"/>
      <c r="M112" s="272"/>
      <c r="N112" s="271"/>
      <c r="O112" s="271"/>
      <c r="P112" s="278">
        <f>SUM(H112:O112)</f>
        <v>480</v>
      </c>
    </row>
    <row r="113" spans="2:16" x14ac:dyDescent="0.25">
      <c r="B113" s="277"/>
      <c r="C113" s="580" t="s">
        <v>262</v>
      </c>
      <c r="D113" s="580"/>
      <c r="E113" s="271"/>
      <c r="F113" s="269"/>
      <c r="G113" s="269"/>
      <c r="H113" s="271"/>
      <c r="I113" s="271"/>
      <c r="J113" s="272">
        <f>J112-(E32*G32*J32)</f>
        <v>300</v>
      </c>
      <c r="K113" s="271">
        <f>K112-(E32*G32*K32)</f>
        <v>180</v>
      </c>
      <c r="L113" s="271"/>
      <c r="M113" s="271"/>
      <c r="N113" s="271"/>
      <c r="O113" s="271"/>
      <c r="P113" s="278"/>
    </row>
    <row r="114" spans="2:16" x14ac:dyDescent="0.25">
      <c r="B114" s="279"/>
      <c r="C114" s="595"/>
      <c r="D114" s="595"/>
      <c r="E114" s="264"/>
      <c r="F114" s="262"/>
      <c r="G114" s="262"/>
      <c r="H114" s="264"/>
      <c r="I114" s="264"/>
      <c r="J114" s="264"/>
      <c r="K114" s="264"/>
      <c r="L114" s="264"/>
      <c r="M114" s="264"/>
      <c r="N114" s="264"/>
      <c r="O114" s="264"/>
      <c r="P114" s="280"/>
    </row>
    <row r="115" spans="2:16" x14ac:dyDescent="0.25">
      <c r="B115" s="279"/>
      <c r="C115" s="263"/>
      <c r="D115" s="264"/>
      <c r="E115" s="264"/>
      <c r="F115" s="262"/>
      <c r="G115" s="262"/>
      <c r="H115" s="264"/>
      <c r="I115" s="264"/>
      <c r="J115" s="264"/>
      <c r="K115" s="264"/>
      <c r="L115" s="264"/>
      <c r="M115" s="264"/>
      <c r="N115" s="264"/>
      <c r="O115" s="264"/>
      <c r="P115" s="280"/>
    </row>
    <row r="116" spans="2:16" x14ac:dyDescent="0.25">
      <c r="B116" s="385"/>
      <c r="C116" s="578" t="s">
        <v>326</v>
      </c>
      <c r="D116" s="578"/>
      <c r="E116" s="255"/>
      <c r="F116" s="266"/>
      <c r="G116" s="255"/>
      <c r="H116" s="267">
        <f>'3.  Distribution Rates'!$J33</f>
        <v>1.2500000000000002E-2</v>
      </c>
      <c r="I116" s="267">
        <f>'3.  Distribution Rates'!J34</f>
        <v>1.2800000000000001E-2</v>
      </c>
      <c r="J116" s="267">
        <f>'3.  Distribution Rates'!J35</f>
        <v>4.5715000000000003</v>
      </c>
      <c r="K116" s="267">
        <f>'3.  Distribution Rates'!J36</f>
        <v>0</v>
      </c>
      <c r="L116" s="267">
        <f>'3.  Distribution Rates'!J37</f>
        <v>0</v>
      </c>
      <c r="M116" s="267">
        <f>'3.  Distribution Rates'!J38</f>
        <v>4.8106999999999998</v>
      </c>
      <c r="N116" s="267">
        <f>'3.  Distribution Rates'!J39</f>
        <v>1.3900000000000001E-2</v>
      </c>
      <c r="O116" s="267"/>
      <c r="P116" s="386"/>
    </row>
    <row r="117" spans="2:16" x14ac:dyDescent="0.25">
      <c r="B117" s="385"/>
      <c r="C117" s="578" t="s">
        <v>243</v>
      </c>
      <c r="D117" s="578"/>
      <c r="E117" s="264"/>
      <c r="F117" s="266"/>
      <c r="G117" s="266"/>
      <c r="H117" s="300"/>
      <c r="I117" s="300"/>
      <c r="J117" s="300"/>
      <c r="K117" s="300"/>
      <c r="L117" s="300"/>
      <c r="M117" s="300"/>
      <c r="N117" s="300"/>
      <c r="O117" s="255"/>
      <c r="P117" s="281">
        <f>SUM(H117:O117)</f>
        <v>0</v>
      </c>
    </row>
    <row r="118" spans="2:16" x14ac:dyDescent="0.25">
      <c r="B118" s="385"/>
      <c r="C118" s="578" t="s">
        <v>244</v>
      </c>
      <c r="D118" s="578"/>
      <c r="E118" s="264"/>
      <c r="F118" s="266"/>
      <c r="G118" s="266"/>
      <c r="H118" s="300"/>
      <c r="I118" s="300"/>
      <c r="J118" s="300"/>
      <c r="K118" s="300"/>
      <c r="L118" s="300"/>
      <c r="M118" s="300"/>
      <c r="N118" s="300"/>
      <c r="O118" s="255"/>
      <c r="P118" s="281">
        <f>SUM(H118:O118)</f>
        <v>0</v>
      </c>
    </row>
    <row r="119" spans="2:16" x14ac:dyDescent="0.25">
      <c r="B119" s="385"/>
      <c r="C119" s="578" t="s">
        <v>245</v>
      </c>
      <c r="D119" s="578"/>
      <c r="E119" s="264"/>
      <c r="F119" s="266"/>
      <c r="G119" s="266"/>
      <c r="H119" s="300"/>
      <c r="I119" s="300"/>
      <c r="J119" s="300"/>
      <c r="K119" s="300"/>
      <c r="L119" s="300"/>
      <c r="M119" s="300"/>
      <c r="N119" s="300"/>
      <c r="O119" s="255"/>
      <c r="P119" s="281">
        <f>SUM(H119:O119)</f>
        <v>0</v>
      </c>
    </row>
    <row r="120" spans="2:16" x14ac:dyDescent="0.25">
      <c r="B120" s="385"/>
      <c r="C120" s="578" t="s">
        <v>246</v>
      </c>
      <c r="D120" s="578"/>
      <c r="E120" s="264"/>
      <c r="F120" s="266"/>
      <c r="G120" s="266"/>
      <c r="H120" s="300"/>
      <c r="I120" s="300"/>
      <c r="J120" s="300"/>
      <c r="K120" s="300"/>
      <c r="L120" s="300"/>
      <c r="M120" s="300"/>
      <c r="N120" s="300"/>
      <c r="O120" s="255"/>
      <c r="P120" s="281">
        <f>SUM(H120:O120)</f>
        <v>0</v>
      </c>
    </row>
    <row r="121" spans="2:16" x14ac:dyDescent="0.25">
      <c r="B121" s="385"/>
      <c r="C121" s="578" t="s">
        <v>247</v>
      </c>
      <c r="D121" s="578"/>
      <c r="E121" s="264"/>
      <c r="F121" s="266"/>
      <c r="G121" s="266"/>
      <c r="H121" s="382">
        <f>'5.  2015 LRAM'!H126*H116</f>
        <v>0</v>
      </c>
      <c r="I121" s="382">
        <f>'5.  2015 LRAM'!I126*I116</f>
        <v>0</v>
      </c>
      <c r="J121" s="382">
        <f>'5.  2015 LRAM'!J126*J116</f>
        <v>0</v>
      </c>
      <c r="K121" s="382">
        <f>'5.  2015 LRAM'!K126*K116</f>
        <v>0</v>
      </c>
      <c r="L121" s="382">
        <f>'5.  2015 LRAM'!L126*L116</f>
        <v>0</v>
      </c>
      <c r="M121" s="382">
        <f>'5.  2015 LRAM'!M126*M116</f>
        <v>0</v>
      </c>
      <c r="N121" s="382">
        <f>'5.  2015 LRAM'!N126*N116</f>
        <v>0</v>
      </c>
      <c r="O121" s="255"/>
      <c r="P121" s="281">
        <f t="shared" ref="P121:P122" si="2">SUM(H121:O121)</f>
        <v>0</v>
      </c>
    </row>
    <row r="122" spans="2:16" x14ac:dyDescent="0.25">
      <c r="B122" s="385"/>
      <c r="C122" s="578" t="s">
        <v>253</v>
      </c>
      <c r="D122" s="578"/>
      <c r="E122" s="264"/>
      <c r="F122" s="266"/>
      <c r="G122" s="266"/>
      <c r="H122" s="382">
        <f>H111*H116</f>
        <v>0</v>
      </c>
      <c r="I122" s="382">
        <f>I111*I116</f>
        <v>0</v>
      </c>
      <c r="J122" s="382">
        <f>J112*J116</f>
        <v>1371.45</v>
      </c>
      <c r="K122" s="382">
        <f>K112*K116</f>
        <v>0</v>
      </c>
      <c r="L122" s="382">
        <f>L112*L116</f>
        <v>0</v>
      </c>
      <c r="M122" s="382">
        <f>M112*M116</f>
        <v>0</v>
      </c>
      <c r="N122" s="382">
        <f>N111*N116</f>
        <v>0</v>
      </c>
      <c r="O122" s="255"/>
      <c r="P122" s="281">
        <f t="shared" si="2"/>
        <v>1371.45</v>
      </c>
    </row>
    <row r="123" spans="2:16" x14ac:dyDescent="0.25">
      <c r="B123" s="279"/>
      <c r="C123" s="383" t="s">
        <v>248</v>
      </c>
      <c r="D123" s="264"/>
      <c r="E123" s="264"/>
      <c r="F123" s="262"/>
      <c r="G123" s="262"/>
      <c r="H123" s="268">
        <f t="shared" ref="H123:N123" si="3">SUM(H117:H122)</f>
        <v>0</v>
      </c>
      <c r="I123" s="268">
        <f t="shared" si="3"/>
        <v>0</v>
      </c>
      <c r="J123" s="268">
        <f t="shared" si="3"/>
        <v>1371.45</v>
      </c>
      <c r="K123" s="268">
        <f t="shared" si="3"/>
        <v>0</v>
      </c>
      <c r="L123" s="268">
        <f t="shared" si="3"/>
        <v>0</v>
      </c>
      <c r="M123" s="268">
        <f t="shared" si="3"/>
        <v>0</v>
      </c>
      <c r="N123" s="268">
        <f t="shared" si="3"/>
        <v>0</v>
      </c>
      <c r="O123" s="264"/>
      <c r="P123" s="282">
        <f>SUM(P117:P122)</f>
        <v>1371.45</v>
      </c>
    </row>
    <row r="124" spans="2:16" x14ac:dyDescent="0.25">
      <c r="B124" s="279"/>
      <c r="C124" s="383"/>
      <c r="D124" s="264"/>
      <c r="E124" s="264"/>
      <c r="F124" s="262"/>
      <c r="G124" s="262"/>
      <c r="H124" s="268"/>
      <c r="I124" s="268"/>
      <c r="J124" s="268"/>
      <c r="K124" s="268"/>
      <c r="L124" s="268"/>
      <c r="M124" s="268"/>
      <c r="N124" s="268"/>
      <c r="O124" s="264"/>
      <c r="P124" s="282"/>
    </row>
    <row r="125" spans="2:16" x14ac:dyDescent="0.25">
      <c r="B125" s="427"/>
      <c r="C125" s="578" t="s">
        <v>249</v>
      </c>
      <c r="D125" s="578"/>
      <c r="E125" s="419"/>
      <c r="F125" s="160"/>
      <c r="G125" s="160"/>
      <c r="H125" s="300">
        <f>H111*'6.  Persistence Rates'!$F$45</f>
        <v>0</v>
      </c>
      <c r="I125" s="300">
        <f>I111*'6.  Persistence Rates'!$F$45</f>
        <v>0</v>
      </c>
      <c r="J125" s="300">
        <f>J112*'6.  Persistence Rates'!S$45</f>
        <v>0</v>
      </c>
      <c r="K125" s="300">
        <f>K112*'6.  Persistence Rates'!$S$45</f>
        <v>0</v>
      </c>
      <c r="L125" s="300">
        <f>L112*'6.  Persistence Rates'!$R$44</f>
        <v>0</v>
      </c>
      <c r="M125" s="300">
        <f>M112*'6.  Persistence Rates'!$R$44</f>
        <v>0</v>
      </c>
      <c r="N125" s="300">
        <f>N111*'6.  Persistence Rates'!$F$45</f>
        <v>0</v>
      </c>
      <c r="O125" s="160"/>
      <c r="P125" s="354"/>
    </row>
    <row r="126" spans="2:16" x14ac:dyDescent="0.25">
      <c r="B126" s="427"/>
      <c r="C126" s="578" t="s">
        <v>250</v>
      </c>
      <c r="D126" s="578"/>
      <c r="E126" s="419"/>
      <c r="F126" s="160"/>
      <c r="G126" s="160"/>
      <c r="H126" s="300">
        <f>H111*'6.  Persistence Rates'!$G$45</f>
        <v>0</v>
      </c>
      <c r="I126" s="300">
        <f>I111*'6.  Persistence Rates'!$G$45</f>
        <v>0</v>
      </c>
      <c r="J126" s="300">
        <f>$J$113*'6.  Persistence Rates'!$T$45</f>
        <v>0</v>
      </c>
      <c r="K126" s="300">
        <f>$K$113*'6.  Persistence Rates'!$T$45</f>
        <v>0</v>
      </c>
      <c r="L126" s="300"/>
      <c r="M126" s="300"/>
      <c r="N126" s="300"/>
      <c r="O126" s="160"/>
      <c r="P126" s="354"/>
    </row>
    <row r="127" spans="2:16" x14ac:dyDescent="0.25">
      <c r="B127" s="427"/>
      <c r="C127" s="578" t="s">
        <v>251</v>
      </c>
      <c r="D127" s="578"/>
      <c r="E127" s="419"/>
      <c r="F127" s="160"/>
      <c r="G127" s="160"/>
      <c r="H127" s="300">
        <f>H111*'6.  Persistence Rates'!$H$45</f>
        <v>0</v>
      </c>
      <c r="I127" s="300">
        <f>I111*'6.  Persistence Rates'!$H$45</f>
        <v>0</v>
      </c>
      <c r="J127" s="300">
        <f>$J$113*'6.  Persistence Rates'!$U$45</f>
        <v>0</v>
      </c>
      <c r="K127" s="300">
        <f>$K$113*'6.  Persistence Rates'!$U$45</f>
        <v>0</v>
      </c>
      <c r="L127" s="300"/>
      <c r="M127" s="300"/>
      <c r="N127" s="300"/>
      <c r="O127" s="160"/>
      <c r="P127" s="354"/>
    </row>
    <row r="128" spans="2:16" x14ac:dyDescent="0.25">
      <c r="B128" s="428"/>
      <c r="C128" s="579" t="s">
        <v>252</v>
      </c>
      <c r="D128" s="579"/>
      <c r="E128" s="429"/>
      <c r="F128" s="334"/>
      <c r="G128" s="334"/>
      <c r="H128" s="300">
        <f>H111*'6.  Persistence Rates'!$I$45</f>
        <v>0</v>
      </c>
      <c r="I128" s="300">
        <f>I111*'6.  Persistence Rates'!$I$45</f>
        <v>0</v>
      </c>
      <c r="J128" s="300">
        <f>$J$113*'6.  Persistence Rates'!$V$45</f>
        <v>0</v>
      </c>
      <c r="K128" s="300">
        <f>$K$113*'6.  Persistence Rates'!$V$45</f>
        <v>0</v>
      </c>
      <c r="L128" s="300"/>
      <c r="M128" s="300"/>
      <c r="N128" s="300"/>
      <c r="O128" s="334"/>
      <c r="P128" s="404"/>
    </row>
    <row r="129" spans="2:16" x14ac:dyDescent="0.25">
      <c r="B129" s="68"/>
      <c r="C129" s="444"/>
      <c r="D129" s="445"/>
      <c r="E129" s="445"/>
      <c r="F129" s="68"/>
      <c r="G129" s="68"/>
      <c r="H129" s="68"/>
      <c r="I129" s="68"/>
      <c r="J129" s="68"/>
      <c r="K129" s="68"/>
      <c r="L129" s="68"/>
      <c r="M129" s="68"/>
      <c r="N129" s="68"/>
      <c r="O129" s="68"/>
      <c r="P129" s="68"/>
    </row>
  </sheetData>
  <mergeCells count="62">
    <mergeCell ref="B2:P2"/>
    <mergeCell ref="C111:D111"/>
    <mergeCell ref="E4:P4"/>
    <mergeCell ref="B13:B14"/>
    <mergeCell ref="C13:C14"/>
    <mergeCell ref="D13:D14"/>
    <mergeCell ref="E13:E14"/>
    <mergeCell ref="H13:P13"/>
    <mergeCell ref="E9:F9"/>
    <mergeCell ref="E10:F10"/>
    <mergeCell ref="B15:P15"/>
    <mergeCell ref="B16:P16"/>
    <mergeCell ref="B27:P27"/>
    <mergeCell ref="B37:P37"/>
    <mergeCell ref="B60:P60"/>
    <mergeCell ref="B62:P62"/>
    <mergeCell ref="C127:D127"/>
    <mergeCell ref="C128:D128"/>
    <mergeCell ref="C122:D122"/>
    <mergeCell ref="C112:D112"/>
    <mergeCell ref="C118:D118"/>
    <mergeCell ref="C119:D119"/>
    <mergeCell ref="C120:D120"/>
    <mergeCell ref="C125:D125"/>
    <mergeCell ref="C121:D121"/>
    <mergeCell ref="C114:D114"/>
    <mergeCell ref="C116:D116"/>
    <mergeCell ref="C117:D117"/>
    <mergeCell ref="C113:D113"/>
    <mergeCell ref="C126:D126"/>
    <mergeCell ref="B71:P71"/>
    <mergeCell ref="C58:D58"/>
    <mergeCell ref="C59:D59"/>
    <mergeCell ref="C68:D68"/>
    <mergeCell ref="C69:D69"/>
    <mergeCell ref="C70:D70"/>
    <mergeCell ref="C49:D49"/>
    <mergeCell ref="C50:D50"/>
    <mergeCell ref="C57:D57"/>
    <mergeCell ref="B45:P45"/>
    <mergeCell ref="B51:P51"/>
    <mergeCell ref="C36:D36"/>
    <mergeCell ref="C42:D42"/>
    <mergeCell ref="C43:D43"/>
    <mergeCell ref="C44:D44"/>
    <mergeCell ref="C48:D48"/>
    <mergeCell ref="C24:D24"/>
    <mergeCell ref="C25:D25"/>
    <mergeCell ref="C26:D26"/>
    <mergeCell ref="C34:D34"/>
    <mergeCell ref="C35:D35"/>
    <mergeCell ref="C91:D91"/>
    <mergeCell ref="C108:D108"/>
    <mergeCell ref="C109:D109"/>
    <mergeCell ref="C110:D110"/>
    <mergeCell ref="C81:D81"/>
    <mergeCell ref="C82:D82"/>
    <mergeCell ref="C83:D83"/>
    <mergeCell ref="C89:D89"/>
    <mergeCell ref="C90:D90"/>
    <mergeCell ref="B84:P84"/>
    <mergeCell ref="B92:P92"/>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9"/>
  <sheetViews>
    <sheetView zoomScale="85" zoomScaleNormal="85" workbookViewId="0">
      <pane ySplit="14" topLeftCell="A15" activePane="bottomLeft" state="frozen"/>
      <selection pane="bottomLeft" activeCell="B13" sqref="B13:B14"/>
    </sheetView>
  </sheetViews>
  <sheetFormatPr defaultRowHeight="15" outlineLevelRow="1" x14ac:dyDescent="0.25"/>
  <cols>
    <col min="1" max="1" width="6.42578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9.140625" style="23"/>
  </cols>
  <sheetData>
    <row r="2" spans="1:18" ht="20.25" x14ac:dyDescent="0.3">
      <c r="B2" s="618" t="s">
        <v>267</v>
      </c>
      <c r="C2" s="618"/>
      <c r="D2" s="618"/>
      <c r="E2" s="618"/>
      <c r="F2" s="618"/>
      <c r="G2" s="618"/>
      <c r="H2" s="618"/>
      <c r="I2" s="618"/>
      <c r="J2" s="618"/>
      <c r="K2" s="618"/>
      <c r="L2" s="618"/>
      <c r="M2" s="618"/>
      <c r="N2" s="618"/>
      <c r="O2" s="618"/>
      <c r="P2" s="618"/>
    </row>
    <row r="3" spans="1:18" ht="18.75" outlineLevel="1" x14ac:dyDescent="0.3">
      <c r="B3" s="395"/>
      <c r="C3" s="395"/>
      <c r="D3" s="395"/>
      <c r="E3" s="395"/>
      <c r="F3" s="395"/>
      <c r="G3" s="395"/>
      <c r="H3" s="395"/>
      <c r="I3" s="395"/>
      <c r="J3" s="395"/>
      <c r="K3" s="395"/>
      <c r="L3" s="395"/>
      <c r="M3" s="395"/>
      <c r="N3" s="395"/>
      <c r="O3" s="395"/>
      <c r="P3" s="395"/>
    </row>
    <row r="4" spans="1:18" ht="35.25" customHeight="1" outlineLevel="1" x14ac:dyDescent="0.3">
      <c r="A4" s="65"/>
      <c r="B4" s="395"/>
      <c r="C4" s="373" t="s">
        <v>401</v>
      </c>
      <c r="D4" s="395"/>
      <c r="E4" s="566" t="s">
        <v>364</v>
      </c>
      <c r="F4" s="566"/>
      <c r="G4" s="566"/>
      <c r="H4" s="566"/>
      <c r="I4" s="566"/>
      <c r="J4" s="566"/>
      <c r="K4" s="566"/>
      <c r="L4" s="566"/>
      <c r="M4" s="566"/>
      <c r="N4" s="566"/>
      <c r="O4" s="566"/>
      <c r="P4" s="566"/>
    </row>
    <row r="5" spans="1:18" ht="18.75" customHeight="1" outlineLevel="1" x14ac:dyDescent="0.3">
      <c r="B5" s="395"/>
      <c r="C5" s="396"/>
      <c r="D5" s="395"/>
      <c r="E5" s="376" t="s">
        <v>358</v>
      </c>
      <c r="F5" s="395"/>
      <c r="G5" s="395"/>
      <c r="H5" s="395"/>
      <c r="I5" s="395"/>
      <c r="J5" s="395"/>
      <c r="K5" s="395"/>
      <c r="L5" s="395"/>
      <c r="M5" s="395"/>
      <c r="N5" s="395"/>
      <c r="O5" s="395"/>
      <c r="P5" s="395"/>
    </row>
    <row r="6" spans="1:18" ht="18.75" customHeight="1" outlineLevel="1" x14ac:dyDescent="0.3">
      <c r="B6" s="395"/>
      <c r="C6" s="396"/>
      <c r="D6" s="395"/>
      <c r="E6" s="376" t="s">
        <v>359</v>
      </c>
      <c r="F6" s="395"/>
      <c r="G6" s="395"/>
      <c r="H6" s="395"/>
      <c r="I6" s="395"/>
      <c r="J6" s="395"/>
      <c r="K6" s="395"/>
      <c r="L6" s="395"/>
      <c r="M6" s="395"/>
      <c r="N6" s="395"/>
      <c r="O6" s="395"/>
      <c r="P6" s="395"/>
    </row>
    <row r="7" spans="1:18" ht="18.75" customHeight="1" outlineLevel="1" x14ac:dyDescent="0.3">
      <c r="B7" s="395"/>
      <c r="C7" s="396"/>
      <c r="D7" s="395"/>
      <c r="E7" s="376" t="s">
        <v>418</v>
      </c>
      <c r="F7" s="395"/>
      <c r="G7" s="395"/>
      <c r="H7" s="395"/>
      <c r="I7" s="395"/>
      <c r="J7" s="395"/>
      <c r="K7" s="395"/>
      <c r="L7" s="395"/>
      <c r="M7" s="395"/>
      <c r="N7" s="395"/>
      <c r="O7" s="395"/>
      <c r="P7" s="395"/>
    </row>
    <row r="8" spans="1:18" ht="18.75" customHeight="1" outlineLevel="1" x14ac:dyDescent="0.3">
      <c r="B8" s="395"/>
      <c r="C8" s="396"/>
      <c r="D8" s="395"/>
      <c r="E8" s="376"/>
      <c r="F8" s="395"/>
      <c r="G8" s="395"/>
      <c r="H8" s="395"/>
      <c r="I8" s="395"/>
      <c r="J8" s="395"/>
      <c r="K8" s="395"/>
      <c r="L8" s="395"/>
      <c r="M8" s="395"/>
      <c r="N8" s="395"/>
      <c r="O8" s="395"/>
      <c r="P8" s="395"/>
    </row>
    <row r="9" spans="1:18" ht="18.75" customHeight="1" outlineLevel="1" x14ac:dyDescent="0.3">
      <c r="B9" s="63"/>
      <c r="C9" s="84" t="s">
        <v>338</v>
      </c>
      <c r="D9" s="63"/>
      <c r="E9" s="619" t="s">
        <v>365</v>
      </c>
      <c r="F9" s="619"/>
      <c r="G9" s="63"/>
      <c r="H9" s="63"/>
      <c r="I9" s="63"/>
      <c r="J9" s="63"/>
      <c r="K9" s="63"/>
      <c r="L9" s="63"/>
      <c r="M9" s="63"/>
      <c r="N9" s="63"/>
      <c r="O9" s="63"/>
      <c r="P9" s="63"/>
      <c r="R9" s="82"/>
    </row>
    <row r="10" spans="1:18" ht="18.75" customHeight="1" outlineLevel="1" x14ac:dyDescent="0.3">
      <c r="B10" s="63"/>
      <c r="C10" s="63"/>
      <c r="D10" s="63"/>
      <c r="E10" s="548" t="s">
        <v>339</v>
      </c>
      <c r="F10" s="548"/>
      <c r="G10" s="63"/>
      <c r="H10" s="63"/>
      <c r="I10" s="63"/>
      <c r="J10" s="63"/>
      <c r="K10" s="63"/>
      <c r="L10" s="63"/>
      <c r="M10" s="63"/>
      <c r="N10" s="63"/>
      <c r="O10" s="63"/>
      <c r="P10" s="63"/>
    </row>
    <row r="11" spans="1:18" ht="18.75" customHeight="1" x14ac:dyDescent="0.3">
      <c r="B11" s="63"/>
      <c r="C11" s="63"/>
      <c r="D11" s="63"/>
      <c r="E11" s="139"/>
      <c r="G11" s="63"/>
      <c r="H11" s="63"/>
      <c r="I11" s="63"/>
      <c r="J11" s="63"/>
      <c r="K11" s="63"/>
      <c r="L11" s="63"/>
      <c r="M11" s="63"/>
      <c r="N11" s="63"/>
      <c r="O11" s="63"/>
      <c r="P11" s="63"/>
    </row>
    <row r="12" spans="1:18" ht="18.75" x14ac:dyDescent="0.3">
      <c r="B12" s="192" t="s">
        <v>477</v>
      </c>
      <c r="C12" s="46"/>
      <c r="D12" s="46"/>
      <c r="E12" s="46"/>
      <c r="F12" s="46"/>
      <c r="G12" s="46"/>
      <c r="H12" s="46"/>
      <c r="I12" s="46"/>
      <c r="J12" s="46"/>
      <c r="K12" s="46"/>
      <c r="L12" s="46"/>
      <c r="M12" s="46"/>
      <c r="N12" s="46"/>
      <c r="O12" s="46"/>
      <c r="P12" s="46"/>
    </row>
    <row r="13" spans="1:18" ht="45" x14ac:dyDescent="0.25">
      <c r="B13" s="620" t="s">
        <v>59</v>
      </c>
      <c r="C13" s="622" t="s">
        <v>0</v>
      </c>
      <c r="D13" s="622" t="s">
        <v>45</v>
      </c>
      <c r="E13" s="622" t="s">
        <v>206</v>
      </c>
      <c r="F13" s="240" t="s">
        <v>203</v>
      </c>
      <c r="G13" s="240" t="s">
        <v>46</v>
      </c>
      <c r="H13" s="624" t="s">
        <v>60</v>
      </c>
      <c r="I13" s="624"/>
      <c r="J13" s="624"/>
      <c r="K13" s="624"/>
      <c r="L13" s="624"/>
      <c r="M13" s="624"/>
      <c r="N13" s="624"/>
      <c r="O13" s="624"/>
      <c r="P13" s="625"/>
    </row>
    <row r="14" spans="1:18" ht="60" x14ac:dyDescent="0.25">
      <c r="B14" s="621"/>
      <c r="C14" s="623"/>
      <c r="D14" s="623"/>
      <c r="E14" s="623"/>
      <c r="F14" s="442" t="s">
        <v>214</v>
      </c>
      <c r="G14" s="442" t="s">
        <v>215</v>
      </c>
      <c r="H14" s="443" t="s">
        <v>38</v>
      </c>
      <c r="I14" s="443" t="s">
        <v>40</v>
      </c>
      <c r="J14" s="443" t="s">
        <v>109</v>
      </c>
      <c r="K14" s="443" t="s">
        <v>110</v>
      </c>
      <c r="L14" s="443" t="s">
        <v>41</v>
      </c>
      <c r="M14" s="443" t="s">
        <v>42</v>
      </c>
      <c r="N14" s="443" t="s">
        <v>43</v>
      </c>
      <c r="O14" s="443" t="s">
        <v>106</v>
      </c>
      <c r="P14" s="446" t="s">
        <v>35</v>
      </c>
    </row>
    <row r="15" spans="1:18" ht="29.25" customHeight="1" x14ac:dyDescent="0.25">
      <c r="B15" s="608" t="s">
        <v>142</v>
      </c>
      <c r="C15" s="609"/>
      <c r="D15" s="609"/>
      <c r="E15" s="609"/>
      <c r="F15" s="609"/>
      <c r="G15" s="609"/>
      <c r="H15" s="609"/>
      <c r="I15" s="609"/>
      <c r="J15" s="609"/>
      <c r="K15" s="609"/>
      <c r="L15" s="609"/>
      <c r="M15" s="609"/>
      <c r="N15" s="609"/>
      <c r="O15" s="609"/>
      <c r="P15" s="610"/>
    </row>
    <row r="16" spans="1:18" ht="26.25" customHeight="1" x14ac:dyDescent="0.25">
      <c r="A16" s="50"/>
      <c r="B16" s="600" t="s">
        <v>143</v>
      </c>
      <c r="C16" s="601"/>
      <c r="D16" s="601"/>
      <c r="E16" s="601"/>
      <c r="F16" s="601"/>
      <c r="G16" s="601"/>
      <c r="H16" s="601"/>
      <c r="I16" s="601"/>
      <c r="J16" s="601"/>
      <c r="K16" s="601"/>
      <c r="L16" s="601"/>
      <c r="M16" s="601"/>
      <c r="N16" s="601"/>
      <c r="O16" s="601"/>
      <c r="P16" s="602"/>
    </row>
    <row r="17" spans="1:16" x14ac:dyDescent="0.25">
      <c r="A17" s="50"/>
      <c r="B17" s="433">
        <v>1</v>
      </c>
      <c r="C17" s="418" t="s">
        <v>144</v>
      </c>
      <c r="D17" s="255" t="s">
        <v>34</v>
      </c>
      <c r="E17" s="419"/>
      <c r="F17" s="300"/>
      <c r="G17" s="300"/>
      <c r="H17" s="430">
        <v>1</v>
      </c>
      <c r="I17" s="420"/>
      <c r="J17" s="420"/>
      <c r="K17" s="420"/>
      <c r="L17" s="420"/>
      <c r="M17" s="420"/>
      <c r="N17" s="420"/>
      <c r="O17" s="420"/>
      <c r="P17" s="434">
        <f>SUM(H17:O17)</f>
        <v>1</v>
      </c>
    </row>
    <row r="18" spans="1:16" x14ac:dyDescent="0.25">
      <c r="A18" s="47"/>
      <c r="B18" s="433">
        <v>2</v>
      </c>
      <c r="C18" s="418" t="s">
        <v>145</v>
      </c>
      <c r="D18" s="255" t="s">
        <v>34</v>
      </c>
      <c r="E18" s="421"/>
      <c r="F18" s="300"/>
      <c r="G18" s="300"/>
      <c r="H18" s="430">
        <v>1</v>
      </c>
      <c r="I18" s="420"/>
      <c r="J18" s="420"/>
      <c r="K18" s="420"/>
      <c r="L18" s="420"/>
      <c r="M18" s="420"/>
      <c r="N18" s="420"/>
      <c r="O18" s="420"/>
      <c r="P18" s="434">
        <f t="shared" ref="P18:P80" si="0">SUM(H18:O18)</f>
        <v>1</v>
      </c>
    </row>
    <row r="19" spans="1:16" x14ac:dyDescent="0.25">
      <c r="A19" s="50"/>
      <c r="B19" s="433">
        <v>3</v>
      </c>
      <c r="C19" s="418" t="s">
        <v>146</v>
      </c>
      <c r="D19" s="255" t="s">
        <v>34</v>
      </c>
      <c r="E19" s="421"/>
      <c r="F19" s="300"/>
      <c r="G19" s="300"/>
      <c r="H19" s="430">
        <v>1</v>
      </c>
      <c r="I19" s="420"/>
      <c r="J19" s="420"/>
      <c r="K19" s="420"/>
      <c r="L19" s="420"/>
      <c r="M19" s="420"/>
      <c r="N19" s="420"/>
      <c r="O19" s="420"/>
      <c r="P19" s="434">
        <f t="shared" si="0"/>
        <v>1</v>
      </c>
    </row>
    <row r="20" spans="1:16" x14ac:dyDescent="0.25">
      <c r="A20" s="50"/>
      <c r="B20" s="433">
        <v>4</v>
      </c>
      <c r="C20" s="418" t="s">
        <v>147</v>
      </c>
      <c r="D20" s="255" t="s">
        <v>34</v>
      </c>
      <c r="E20" s="421"/>
      <c r="F20" s="300"/>
      <c r="G20" s="300"/>
      <c r="H20" s="430">
        <v>1</v>
      </c>
      <c r="I20" s="420"/>
      <c r="J20" s="420"/>
      <c r="K20" s="420"/>
      <c r="L20" s="420"/>
      <c r="M20" s="420"/>
      <c r="N20" s="420"/>
      <c r="O20" s="420"/>
      <c r="P20" s="434">
        <f t="shared" si="0"/>
        <v>1</v>
      </c>
    </row>
    <row r="21" spans="1:16" x14ac:dyDescent="0.25">
      <c r="A21" s="50"/>
      <c r="B21" s="433">
        <v>5</v>
      </c>
      <c r="C21" s="418" t="s">
        <v>148</v>
      </c>
      <c r="D21" s="255" t="s">
        <v>34</v>
      </c>
      <c r="E21" s="421"/>
      <c r="F21" s="300"/>
      <c r="G21" s="300"/>
      <c r="H21" s="430">
        <v>1</v>
      </c>
      <c r="I21" s="420"/>
      <c r="J21" s="420"/>
      <c r="K21" s="420"/>
      <c r="L21" s="420"/>
      <c r="M21" s="420"/>
      <c r="N21" s="420"/>
      <c r="O21" s="420"/>
      <c r="P21" s="434">
        <f t="shared" si="0"/>
        <v>1</v>
      </c>
    </row>
    <row r="22" spans="1:16" ht="28.5" x14ac:dyDescent="0.25">
      <c r="A22" s="50"/>
      <c r="B22" s="433">
        <v>6</v>
      </c>
      <c r="C22" s="418" t="s">
        <v>149</v>
      </c>
      <c r="D22" s="255" t="s">
        <v>34</v>
      </c>
      <c r="E22" s="421"/>
      <c r="F22" s="300"/>
      <c r="G22" s="300"/>
      <c r="H22" s="430">
        <v>1</v>
      </c>
      <c r="I22" s="420"/>
      <c r="J22" s="420"/>
      <c r="K22" s="420"/>
      <c r="L22" s="420"/>
      <c r="M22" s="420"/>
      <c r="N22" s="420"/>
      <c r="O22" s="420"/>
      <c r="P22" s="434">
        <f t="shared" si="0"/>
        <v>1</v>
      </c>
    </row>
    <row r="23" spans="1:16" x14ac:dyDescent="0.25">
      <c r="A23" s="50"/>
      <c r="B23" s="435" t="s">
        <v>268</v>
      </c>
      <c r="C23" s="418"/>
      <c r="D23" s="255" t="s">
        <v>254</v>
      </c>
      <c r="E23" s="421"/>
      <c r="F23" s="300"/>
      <c r="G23" s="300"/>
      <c r="H23" s="430"/>
      <c r="I23" s="420"/>
      <c r="J23" s="420"/>
      <c r="K23" s="420"/>
      <c r="L23" s="420"/>
      <c r="M23" s="420"/>
      <c r="N23" s="420"/>
      <c r="O23" s="420"/>
      <c r="P23" s="434">
        <f t="shared" si="0"/>
        <v>0</v>
      </c>
    </row>
    <row r="24" spans="1:16" x14ac:dyDescent="0.25">
      <c r="A24" s="50"/>
      <c r="B24" s="433"/>
      <c r="C24" s="580"/>
      <c r="D24" s="580"/>
      <c r="E24" s="270"/>
      <c r="F24" s="300"/>
      <c r="G24" s="300"/>
      <c r="H24" s="430"/>
      <c r="I24" s="420"/>
      <c r="J24" s="420"/>
      <c r="K24" s="420"/>
      <c r="L24" s="420"/>
      <c r="M24" s="420"/>
      <c r="N24" s="420"/>
      <c r="O24" s="420"/>
      <c r="P24" s="434">
        <f t="shared" si="0"/>
        <v>0</v>
      </c>
    </row>
    <row r="25" spans="1:16" x14ac:dyDescent="0.25">
      <c r="A25" s="50"/>
      <c r="B25" s="433"/>
      <c r="C25" s="580"/>
      <c r="D25" s="580"/>
      <c r="E25" s="270"/>
      <c r="F25" s="300"/>
      <c r="G25" s="300"/>
      <c r="H25" s="430"/>
      <c r="I25" s="420"/>
      <c r="J25" s="420"/>
      <c r="K25" s="420"/>
      <c r="L25" s="420"/>
      <c r="M25" s="420"/>
      <c r="N25" s="420"/>
      <c r="O25" s="420"/>
      <c r="P25" s="434">
        <f t="shared" si="0"/>
        <v>0</v>
      </c>
    </row>
    <row r="26" spans="1:16" x14ac:dyDescent="0.25">
      <c r="A26" s="50"/>
      <c r="B26" s="433"/>
      <c r="C26" s="580"/>
      <c r="D26" s="580"/>
      <c r="E26" s="270"/>
      <c r="F26" s="300"/>
      <c r="G26" s="300"/>
      <c r="H26" s="430"/>
      <c r="I26" s="420"/>
      <c r="J26" s="420"/>
      <c r="K26" s="420"/>
      <c r="L26" s="420"/>
      <c r="M26" s="420"/>
      <c r="N26" s="420"/>
      <c r="O26" s="420"/>
      <c r="P26" s="434">
        <f t="shared" si="0"/>
        <v>0</v>
      </c>
    </row>
    <row r="27" spans="1:16" ht="25.5" customHeight="1" x14ac:dyDescent="0.25">
      <c r="A27" s="50"/>
      <c r="B27" s="600" t="s">
        <v>150</v>
      </c>
      <c r="C27" s="601"/>
      <c r="D27" s="601"/>
      <c r="E27" s="601"/>
      <c r="F27" s="601"/>
      <c r="G27" s="601"/>
      <c r="H27" s="601"/>
      <c r="I27" s="601"/>
      <c r="J27" s="601"/>
      <c r="K27" s="601"/>
      <c r="L27" s="601"/>
      <c r="M27" s="601"/>
      <c r="N27" s="601"/>
      <c r="O27" s="601"/>
      <c r="P27" s="602"/>
    </row>
    <row r="28" spans="1:16" x14ac:dyDescent="0.25">
      <c r="A28" s="50"/>
      <c r="B28" s="433">
        <v>7</v>
      </c>
      <c r="C28" s="418" t="s">
        <v>151</v>
      </c>
      <c r="D28" s="255" t="s">
        <v>34</v>
      </c>
      <c r="E28" s="421">
        <v>12</v>
      </c>
      <c r="F28" s="300"/>
      <c r="G28" s="300">
        <v>50</v>
      </c>
      <c r="H28" s="420"/>
      <c r="I28" s="430">
        <v>0.2</v>
      </c>
      <c r="J28" s="430">
        <v>0.5</v>
      </c>
      <c r="K28" s="430">
        <v>0.3</v>
      </c>
      <c r="L28" s="420"/>
      <c r="M28" s="420"/>
      <c r="N28" s="420"/>
      <c r="O28" s="420"/>
      <c r="P28" s="434">
        <f t="shared" si="0"/>
        <v>1</v>
      </c>
    </row>
    <row r="29" spans="1:16" ht="28.5" x14ac:dyDescent="0.25">
      <c r="A29" s="50"/>
      <c r="B29" s="433">
        <v>8</v>
      </c>
      <c r="C29" s="418" t="s">
        <v>152</v>
      </c>
      <c r="D29" s="255" t="s">
        <v>34</v>
      </c>
      <c r="E29" s="421">
        <v>12</v>
      </c>
      <c r="F29" s="300"/>
      <c r="G29" s="300"/>
      <c r="H29" s="420"/>
      <c r="I29" s="430">
        <v>0.8</v>
      </c>
      <c r="J29" s="430">
        <v>0.2</v>
      </c>
      <c r="K29" s="420"/>
      <c r="L29" s="420"/>
      <c r="M29" s="420"/>
      <c r="N29" s="420"/>
      <c r="O29" s="420"/>
      <c r="P29" s="434">
        <f t="shared" si="0"/>
        <v>1</v>
      </c>
    </row>
    <row r="30" spans="1:16" ht="28.5" x14ac:dyDescent="0.25">
      <c r="A30" s="50"/>
      <c r="B30" s="433">
        <v>9</v>
      </c>
      <c r="C30" s="418" t="s">
        <v>153</v>
      </c>
      <c r="D30" s="255" t="s">
        <v>34</v>
      </c>
      <c r="E30" s="421">
        <v>12</v>
      </c>
      <c r="F30" s="300"/>
      <c r="G30" s="300"/>
      <c r="H30" s="420"/>
      <c r="I30" s="430">
        <v>0.5</v>
      </c>
      <c r="J30" s="430">
        <v>0.5</v>
      </c>
      <c r="K30" s="420"/>
      <c r="L30" s="420"/>
      <c r="M30" s="420"/>
      <c r="N30" s="420"/>
      <c r="O30" s="420"/>
      <c r="P30" s="434">
        <f t="shared" si="0"/>
        <v>1</v>
      </c>
    </row>
    <row r="31" spans="1:16" ht="28.5" x14ac:dyDescent="0.25">
      <c r="A31" s="50"/>
      <c r="B31" s="433">
        <v>10</v>
      </c>
      <c r="C31" s="418" t="s">
        <v>154</v>
      </c>
      <c r="D31" s="255" t="s">
        <v>34</v>
      </c>
      <c r="E31" s="421">
        <v>12</v>
      </c>
      <c r="F31" s="300"/>
      <c r="G31" s="300"/>
      <c r="H31" s="420"/>
      <c r="I31" s="430">
        <v>1</v>
      </c>
      <c r="J31" s="420"/>
      <c r="K31" s="420"/>
      <c r="L31" s="420"/>
      <c r="M31" s="420"/>
      <c r="N31" s="420"/>
      <c r="O31" s="420"/>
      <c r="P31" s="434">
        <f t="shared" si="0"/>
        <v>1</v>
      </c>
    </row>
    <row r="32" spans="1:16" ht="28.5" x14ac:dyDescent="0.25">
      <c r="A32" s="50"/>
      <c r="B32" s="433">
        <v>11</v>
      </c>
      <c r="C32" s="418" t="s">
        <v>155</v>
      </c>
      <c r="D32" s="255" t="s">
        <v>34</v>
      </c>
      <c r="E32" s="421">
        <v>3</v>
      </c>
      <c r="F32" s="300"/>
      <c r="G32" s="300"/>
      <c r="H32" s="420"/>
      <c r="I32" s="420"/>
      <c r="J32" s="430">
        <v>1</v>
      </c>
      <c r="K32" s="420"/>
      <c r="L32" s="420"/>
      <c r="M32" s="420"/>
      <c r="N32" s="420"/>
      <c r="O32" s="420"/>
      <c r="P32" s="434">
        <f t="shared" si="0"/>
        <v>1</v>
      </c>
    </row>
    <row r="33" spans="1:16" x14ac:dyDescent="0.25">
      <c r="A33" s="50"/>
      <c r="B33" s="435" t="s">
        <v>268</v>
      </c>
      <c r="C33" s="418"/>
      <c r="D33" s="255" t="s">
        <v>254</v>
      </c>
      <c r="E33" s="421"/>
      <c r="F33" s="300"/>
      <c r="G33" s="300"/>
      <c r="H33" s="420"/>
      <c r="I33" s="420"/>
      <c r="J33" s="420"/>
      <c r="K33" s="420"/>
      <c r="L33" s="420"/>
      <c r="M33" s="420"/>
      <c r="N33" s="420"/>
      <c r="O33" s="420"/>
      <c r="P33" s="434">
        <f t="shared" si="0"/>
        <v>0</v>
      </c>
    </row>
    <row r="34" spans="1:16" x14ac:dyDescent="0.25">
      <c r="A34" s="50"/>
      <c r="B34" s="433"/>
      <c r="C34" s="580"/>
      <c r="D34" s="580"/>
      <c r="E34" s="270"/>
      <c r="F34" s="300"/>
      <c r="G34" s="300"/>
      <c r="H34" s="420"/>
      <c r="I34" s="420"/>
      <c r="J34" s="420"/>
      <c r="K34" s="420"/>
      <c r="L34" s="420"/>
      <c r="M34" s="420"/>
      <c r="N34" s="420"/>
      <c r="O34" s="420"/>
      <c r="P34" s="434">
        <f t="shared" si="0"/>
        <v>0</v>
      </c>
    </row>
    <row r="35" spans="1:16" x14ac:dyDescent="0.25">
      <c r="A35" s="50"/>
      <c r="B35" s="433"/>
      <c r="C35" s="580"/>
      <c r="D35" s="580"/>
      <c r="E35" s="270"/>
      <c r="F35" s="300"/>
      <c r="G35" s="300"/>
      <c r="H35" s="420"/>
      <c r="I35" s="420"/>
      <c r="J35" s="420"/>
      <c r="K35" s="420"/>
      <c r="L35" s="420"/>
      <c r="M35" s="420"/>
      <c r="N35" s="420"/>
      <c r="O35" s="420"/>
      <c r="P35" s="434">
        <f t="shared" si="0"/>
        <v>0</v>
      </c>
    </row>
    <row r="36" spans="1:16" x14ac:dyDescent="0.25">
      <c r="A36" s="50"/>
      <c r="B36" s="433"/>
      <c r="C36" s="580"/>
      <c r="D36" s="580"/>
      <c r="E36" s="270"/>
      <c r="F36" s="300"/>
      <c r="G36" s="300"/>
      <c r="H36" s="420"/>
      <c r="I36" s="420"/>
      <c r="J36" s="420"/>
      <c r="K36" s="420"/>
      <c r="L36" s="420"/>
      <c r="M36" s="420"/>
      <c r="N36" s="420"/>
      <c r="O36" s="420"/>
      <c r="P36" s="434">
        <f t="shared" si="0"/>
        <v>0</v>
      </c>
    </row>
    <row r="37" spans="1:16" ht="26.25" customHeight="1" x14ac:dyDescent="0.25">
      <c r="A37" s="50"/>
      <c r="B37" s="600" t="s">
        <v>11</v>
      </c>
      <c r="C37" s="601"/>
      <c r="D37" s="601"/>
      <c r="E37" s="601"/>
      <c r="F37" s="601"/>
      <c r="G37" s="601"/>
      <c r="H37" s="601"/>
      <c r="I37" s="601"/>
      <c r="J37" s="601"/>
      <c r="K37" s="601"/>
      <c r="L37" s="601"/>
      <c r="M37" s="601"/>
      <c r="N37" s="601"/>
      <c r="O37" s="601"/>
      <c r="P37" s="602"/>
    </row>
    <row r="38" spans="1:16" x14ac:dyDescent="0.25">
      <c r="A38" s="50"/>
      <c r="B38" s="435" t="s">
        <v>11</v>
      </c>
      <c r="C38" s="418"/>
      <c r="D38" s="421"/>
      <c r="E38" s="421"/>
      <c r="F38" s="300"/>
      <c r="G38" s="300"/>
      <c r="H38" s="425"/>
      <c r="I38" s="425"/>
      <c r="J38" s="425"/>
      <c r="K38" s="425"/>
      <c r="L38" s="425"/>
      <c r="M38" s="425"/>
      <c r="N38" s="425"/>
      <c r="O38" s="425"/>
      <c r="P38" s="434">
        <f t="shared" si="0"/>
        <v>0</v>
      </c>
    </row>
    <row r="39" spans="1:16" ht="28.5" x14ac:dyDescent="0.25">
      <c r="A39" s="50"/>
      <c r="B39" s="433">
        <v>12</v>
      </c>
      <c r="C39" s="418" t="s">
        <v>156</v>
      </c>
      <c r="D39" s="255" t="s">
        <v>34</v>
      </c>
      <c r="E39" s="421">
        <v>12</v>
      </c>
      <c r="F39" s="300"/>
      <c r="G39" s="300"/>
      <c r="H39" s="420"/>
      <c r="I39" s="420"/>
      <c r="J39" s="430">
        <v>1</v>
      </c>
      <c r="K39" s="420"/>
      <c r="L39" s="420"/>
      <c r="M39" s="420"/>
      <c r="N39" s="420"/>
      <c r="O39" s="420"/>
      <c r="P39" s="434">
        <f t="shared" si="0"/>
        <v>1</v>
      </c>
    </row>
    <row r="40" spans="1:16" ht="28.5" x14ac:dyDescent="0.25">
      <c r="A40" s="50"/>
      <c r="B40" s="433">
        <v>13</v>
      </c>
      <c r="C40" s="418" t="s">
        <v>157</v>
      </c>
      <c r="D40" s="255" t="s">
        <v>34</v>
      </c>
      <c r="E40" s="421">
        <v>12</v>
      </c>
      <c r="F40" s="300"/>
      <c r="G40" s="300"/>
      <c r="H40" s="420"/>
      <c r="I40" s="420"/>
      <c r="J40" s="430">
        <v>1</v>
      </c>
      <c r="K40" s="420"/>
      <c r="L40" s="420"/>
      <c r="M40" s="420"/>
      <c r="N40" s="420"/>
      <c r="O40" s="420"/>
      <c r="P40" s="434">
        <f t="shared" si="0"/>
        <v>1</v>
      </c>
    </row>
    <row r="41" spans="1:16" ht="28.5" x14ac:dyDescent="0.25">
      <c r="A41" s="50"/>
      <c r="B41" s="433">
        <v>14</v>
      </c>
      <c r="C41" s="418" t="s">
        <v>158</v>
      </c>
      <c r="D41" s="255" t="s">
        <v>34</v>
      </c>
      <c r="E41" s="421">
        <v>12</v>
      </c>
      <c r="F41" s="300"/>
      <c r="G41" s="300"/>
      <c r="H41" s="420"/>
      <c r="I41" s="420"/>
      <c r="J41" s="430">
        <v>1</v>
      </c>
      <c r="K41" s="420"/>
      <c r="L41" s="420"/>
      <c r="M41" s="420"/>
      <c r="N41" s="420"/>
      <c r="O41" s="420"/>
      <c r="P41" s="434">
        <f t="shared" si="0"/>
        <v>1</v>
      </c>
    </row>
    <row r="42" spans="1:16" x14ac:dyDescent="0.25">
      <c r="A42" s="50"/>
      <c r="B42" s="435" t="s">
        <v>268</v>
      </c>
      <c r="C42" s="418"/>
      <c r="D42" s="255" t="s">
        <v>254</v>
      </c>
      <c r="E42" s="421"/>
      <c r="F42" s="300"/>
      <c r="G42" s="300"/>
      <c r="H42" s="420"/>
      <c r="I42" s="420"/>
      <c r="J42" s="420"/>
      <c r="K42" s="420"/>
      <c r="L42" s="420"/>
      <c r="M42" s="420"/>
      <c r="N42" s="420"/>
      <c r="O42" s="420"/>
      <c r="P42" s="434">
        <f t="shared" si="0"/>
        <v>0</v>
      </c>
    </row>
    <row r="43" spans="1:16" x14ac:dyDescent="0.25">
      <c r="A43" s="50"/>
      <c r="B43" s="433"/>
      <c r="C43" s="580"/>
      <c r="D43" s="580"/>
      <c r="E43" s="270"/>
      <c r="F43" s="300"/>
      <c r="G43" s="300"/>
      <c r="H43" s="420"/>
      <c r="I43" s="420"/>
      <c r="J43" s="420"/>
      <c r="K43" s="420"/>
      <c r="L43" s="420"/>
      <c r="M43" s="420"/>
      <c r="N43" s="420"/>
      <c r="O43" s="420"/>
      <c r="P43" s="434">
        <f t="shared" si="0"/>
        <v>0</v>
      </c>
    </row>
    <row r="44" spans="1:16" x14ac:dyDescent="0.25">
      <c r="A44" s="50"/>
      <c r="B44" s="433"/>
      <c r="C44" s="580"/>
      <c r="D44" s="580"/>
      <c r="E44" s="270"/>
      <c r="F44" s="300"/>
      <c r="G44" s="300"/>
      <c r="H44" s="420"/>
      <c r="I44" s="420"/>
      <c r="J44" s="420"/>
      <c r="K44" s="420"/>
      <c r="L44" s="420"/>
      <c r="M44" s="420"/>
      <c r="N44" s="420"/>
      <c r="O44" s="420"/>
      <c r="P44" s="434">
        <f t="shared" si="0"/>
        <v>0</v>
      </c>
    </row>
    <row r="45" spans="1:16" x14ac:dyDescent="0.25">
      <c r="A45" s="50"/>
      <c r="B45" s="433"/>
      <c r="C45" s="580"/>
      <c r="D45" s="580"/>
      <c r="E45" s="270"/>
      <c r="F45" s="300"/>
      <c r="G45" s="300"/>
      <c r="H45" s="420"/>
      <c r="I45" s="420"/>
      <c r="J45" s="420"/>
      <c r="K45" s="420"/>
      <c r="L45" s="420"/>
      <c r="M45" s="420"/>
      <c r="N45" s="420"/>
      <c r="O45" s="420"/>
      <c r="P45" s="434">
        <f t="shared" si="0"/>
        <v>0</v>
      </c>
    </row>
    <row r="46" spans="1:16" ht="24" customHeight="1" x14ac:dyDescent="0.25">
      <c r="A46" s="50"/>
      <c r="B46" s="600" t="s">
        <v>159</v>
      </c>
      <c r="C46" s="601"/>
      <c r="D46" s="601"/>
      <c r="E46" s="601"/>
      <c r="F46" s="601"/>
      <c r="G46" s="601"/>
      <c r="H46" s="601"/>
      <c r="I46" s="601"/>
      <c r="J46" s="601"/>
      <c r="K46" s="601"/>
      <c r="L46" s="601"/>
      <c r="M46" s="601"/>
      <c r="N46" s="601"/>
      <c r="O46" s="601"/>
      <c r="P46" s="602"/>
    </row>
    <row r="47" spans="1:16" x14ac:dyDescent="0.25">
      <c r="A47" s="50"/>
      <c r="B47" s="433">
        <v>15</v>
      </c>
      <c r="C47" s="418" t="s">
        <v>160</v>
      </c>
      <c r="D47" s="255" t="s">
        <v>34</v>
      </c>
      <c r="E47" s="421"/>
      <c r="F47" s="300"/>
      <c r="G47" s="300"/>
      <c r="H47" s="430">
        <v>1</v>
      </c>
      <c r="I47" s="420"/>
      <c r="J47" s="420"/>
      <c r="K47" s="420"/>
      <c r="L47" s="420"/>
      <c r="M47" s="420"/>
      <c r="N47" s="420"/>
      <c r="O47" s="420"/>
      <c r="P47" s="434">
        <f t="shared" si="0"/>
        <v>1</v>
      </c>
    </row>
    <row r="48" spans="1:16" x14ac:dyDescent="0.25">
      <c r="A48" s="50"/>
      <c r="B48" s="435" t="s">
        <v>268</v>
      </c>
      <c r="C48" s="418"/>
      <c r="D48" s="255" t="s">
        <v>254</v>
      </c>
      <c r="E48" s="421"/>
      <c r="F48" s="300"/>
      <c r="G48" s="300"/>
      <c r="H48" s="430"/>
      <c r="I48" s="420"/>
      <c r="J48" s="420"/>
      <c r="K48" s="420"/>
      <c r="L48" s="420"/>
      <c r="M48" s="420"/>
      <c r="N48" s="420"/>
      <c r="O48" s="420"/>
      <c r="P48" s="434">
        <f t="shared" si="0"/>
        <v>0</v>
      </c>
    </row>
    <row r="49" spans="1:16" x14ac:dyDescent="0.25">
      <c r="A49" s="50"/>
      <c r="B49" s="433"/>
      <c r="C49" s="580"/>
      <c r="D49" s="580"/>
      <c r="E49" s="270"/>
      <c r="F49" s="300"/>
      <c r="G49" s="300"/>
      <c r="H49" s="430"/>
      <c r="I49" s="420"/>
      <c r="J49" s="420"/>
      <c r="K49" s="420"/>
      <c r="L49" s="420"/>
      <c r="M49" s="420"/>
      <c r="N49" s="420"/>
      <c r="O49" s="420"/>
      <c r="P49" s="434">
        <f t="shared" si="0"/>
        <v>0</v>
      </c>
    </row>
    <row r="50" spans="1:16" x14ac:dyDescent="0.25">
      <c r="A50" s="50"/>
      <c r="B50" s="433"/>
      <c r="C50" s="580"/>
      <c r="D50" s="580"/>
      <c r="E50" s="270"/>
      <c r="F50" s="300"/>
      <c r="G50" s="300"/>
      <c r="H50" s="430"/>
      <c r="I50" s="420"/>
      <c r="J50" s="420"/>
      <c r="K50" s="420"/>
      <c r="L50" s="420"/>
      <c r="M50" s="420"/>
      <c r="N50" s="420"/>
      <c r="O50" s="420"/>
      <c r="P50" s="434"/>
    </row>
    <row r="51" spans="1:16" x14ac:dyDescent="0.25">
      <c r="A51" s="50"/>
      <c r="B51" s="433"/>
      <c r="C51" s="580"/>
      <c r="D51" s="580"/>
      <c r="E51" s="270"/>
      <c r="F51" s="300"/>
      <c r="G51" s="300"/>
      <c r="H51" s="430"/>
      <c r="I51" s="420"/>
      <c r="J51" s="420"/>
      <c r="K51" s="420"/>
      <c r="L51" s="420"/>
      <c r="M51" s="420"/>
      <c r="N51" s="420"/>
      <c r="O51" s="420"/>
      <c r="P51" s="434">
        <f t="shared" si="0"/>
        <v>0</v>
      </c>
    </row>
    <row r="52" spans="1:16" ht="21" customHeight="1" x14ac:dyDescent="0.25">
      <c r="A52" s="48"/>
      <c r="B52" s="600" t="s">
        <v>161</v>
      </c>
      <c r="C52" s="601"/>
      <c r="D52" s="601"/>
      <c r="E52" s="601"/>
      <c r="F52" s="601"/>
      <c r="G52" s="601"/>
      <c r="H52" s="601"/>
      <c r="I52" s="601"/>
      <c r="J52" s="601"/>
      <c r="K52" s="601"/>
      <c r="L52" s="601"/>
      <c r="M52" s="601"/>
      <c r="N52" s="601"/>
      <c r="O52" s="601"/>
      <c r="P52" s="602"/>
    </row>
    <row r="53" spans="1:16" x14ac:dyDescent="0.25">
      <c r="A53" s="50"/>
      <c r="B53" s="433">
        <v>16</v>
      </c>
      <c r="C53" s="418" t="s">
        <v>162</v>
      </c>
      <c r="D53" s="255" t="s">
        <v>34</v>
      </c>
      <c r="E53" s="421"/>
      <c r="F53" s="300"/>
      <c r="G53" s="300"/>
      <c r="H53" s="420"/>
      <c r="I53" s="420"/>
      <c r="J53" s="420"/>
      <c r="K53" s="420"/>
      <c r="L53" s="420"/>
      <c r="M53" s="420"/>
      <c r="N53" s="420"/>
      <c r="O53" s="420"/>
      <c r="P53" s="434">
        <f t="shared" si="0"/>
        <v>0</v>
      </c>
    </row>
    <row r="54" spans="1:16" x14ac:dyDescent="0.25">
      <c r="A54" s="50"/>
      <c r="B54" s="433">
        <v>17</v>
      </c>
      <c r="C54" s="418" t="s">
        <v>163</v>
      </c>
      <c r="D54" s="255" t="s">
        <v>34</v>
      </c>
      <c r="E54" s="421"/>
      <c r="F54" s="300"/>
      <c r="G54" s="300"/>
      <c r="H54" s="420"/>
      <c r="I54" s="420"/>
      <c r="J54" s="420"/>
      <c r="K54" s="420"/>
      <c r="L54" s="420"/>
      <c r="M54" s="420"/>
      <c r="N54" s="420"/>
      <c r="O54" s="420"/>
      <c r="P54" s="434">
        <f t="shared" si="0"/>
        <v>0</v>
      </c>
    </row>
    <row r="55" spans="1:16" x14ac:dyDescent="0.25">
      <c r="A55" s="50"/>
      <c r="B55" s="433">
        <v>18</v>
      </c>
      <c r="C55" s="418" t="s">
        <v>164</v>
      </c>
      <c r="D55" s="255" t="s">
        <v>34</v>
      </c>
      <c r="E55" s="421"/>
      <c r="F55" s="300"/>
      <c r="G55" s="300"/>
      <c r="H55" s="420"/>
      <c r="I55" s="420"/>
      <c r="J55" s="420"/>
      <c r="K55" s="420"/>
      <c r="L55" s="420"/>
      <c r="M55" s="420"/>
      <c r="N55" s="420"/>
      <c r="O55" s="420"/>
      <c r="P55" s="434">
        <f t="shared" si="0"/>
        <v>0</v>
      </c>
    </row>
    <row r="56" spans="1:16" x14ac:dyDescent="0.25">
      <c r="A56" s="50"/>
      <c r="B56" s="433">
        <v>19</v>
      </c>
      <c r="C56" s="418" t="s">
        <v>165</v>
      </c>
      <c r="D56" s="255" t="s">
        <v>34</v>
      </c>
      <c r="E56" s="421"/>
      <c r="F56" s="300"/>
      <c r="G56" s="300"/>
      <c r="H56" s="420"/>
      <c r="I56" s="420"/>
      <c r="J56" s="420"/>
      <c r="K56" s="420"/>
      <c r="L56" s="420"/>
      <c r="M56" s="420"/>
      <c r="N56" s="420"/>
      <c r="O56" s="420"/>
      <c r="P56" s="434">
        <f t="shared" si="0"/>
        <v>0</v>
      </c>
    </row>
    <row r="57" spans="1:16" x14ac:dyDescent="0.25">
      <c r="A57" s="50"/>
      <c r="B57" s="435" t="s">
        <v>268</v>
      </c>
      <c r="C57" s="418"/>
      <c r="D57" s="255" t="s">
        <v>254</v>
      </c>
      <c r="E57" s="421"/>
      <c r="F57" s="300"/>
      <c r="G57" s="300"/>
      <c r="H57" s="420"/>
      <c r="I57" s="420"/>
      <c r="J57" s="420"/>
      <c r="K57" s="420"/>
      <c r="L57" s="420"/>
      <c r="M57" s="420"/>
      <c r="N57" s="420"/>
      <c r="O57" s="420"/>
      <c r="P57" s="434">
        <f t="shared" si="0"/>
        <v>0</v>
      </c>
    </row>
    <row r="58" spans="1:16" x14ac:dyDescent="0.25">
      <c r="A58" s="50"/>
      <c r="B58" s="435"/>
      <c r="C58" s="580"/>
      <c r="D58" s="580"/>
      <c r="E58" s="270"/>
      <c r="F58" s="300"/>
      <c r="G58" s="300"/>
      <c r="H58" s="420"/>
      <c r="I58" s="420"/>
      <c r="J58" s="420"/>
      <c r="K58" s="420"/>
      <c r="L58" s="420"/>
      <c r="M58" s="420"/>
      <c r="N58" s="420"/>
      <c r="O58" s="420"/>
      <c r="P58" s="434"/>
    </row>
    <row r="59" spans="1:16" x14ac:dyDescent="0.25">
      <c r="A59" s="50"/>
      <c r="B59" s="435"/>
      <c r="C59" s="580"/>
      <c r="D59" s="580"/>
      <c r="E59" s="270"/>
      <c r="F59" s="300"/>
      <c r="G59" s="300"/>
      <c r="H59" s="420"/>
      <c r="I59" s="420"/>
      <c r="J59" s="420"/>
      <c r="K59" s="420"/>
      <c r="L59" s="420"/>
      <c r="M59" s="420"/>
      <c r="N59" s="420"/>
      <c r="O59" s="420"/>
      <c r="P59" s="434"/>
    </row>
    <row r="60" spans="1:16" x14ac:dyDescent="0.25">
      <c r="A60" s="48"/>
      <c r="B60" s="436"/>
      <c r="C60" s="580"/>
      <c r="D60" s="580"/>
      <c r="E60" s="270"/>
      <c r="F60" s="300"/>
      <c r="G60" s="300"/>
      <c r="H60" s="424"/>
      <c r="I60" s="424"/>
      <c r="J60" s="424"/>
      <c r="K60" s="424"/>
      <c r="L60" s="424"/>
      <c r="M60" s="424"/>
      <c r="N60" s="424"/>
      <c r="O60" s="424"/>
      <c r="P60" s="434"/>
    </row>
    <row r="61" spans="1:16" ht="27" customHeight="1" x14ac:dyDescent="0.25">
      <c r="B61" s="608" t="s">
        <v>166</v>
      </c>
      <c r="C61" s="609"/>
      <c r="D61" s="609"/>
      <c r="E61" s="609"/>
      <c r="F61" s="609"/>
      <c r="G61" s="609"/>
      <c r="H61" s="609"/>
      <c r="I61" s="609"/>
      <c r="J61" s="609"/>
      <c r="K61" s="609"/>
      <c r="L61" s="609"/>
      <c r="M61" s="609"/>
      <c r="N61" s="609"/>
      <c r="O61" s="609"/>
      <c r="P61" s="610"/>
    </row>
    <row r="62" spans="1:16" ht="16.5" x14ac:dyDescent="0.25">
      <c r="B62" s="437"/>
      <c r="C62" s="418"/>
      <c r="D62" s="421"/>
      <c r="E62" s="421"/>
      <c r="F62" s="417"/>
      <c r="G62" s="417"/>
      <c r="H62" s="417"/>
      <c r="I62" s="417"/>
      <c r="J62" s="417"/>
      <c r="K62" s="417"/>
      <c r="L62" s="417"/>
      <c r="M62" s="417"/>
      <c r="N62" s="417"/>
      <c r="O62" s="417"/>
      <c r="P62" s="438"/>
    </row>
    <row r="63" spans="1:16" ht="25.5" customHeight="1" x14ac:dyDescent="0.25">
      <c r="A63" s="50"/>
      <c r="B63" s="603" t="s">
        <v>167</v>
      </c>
      <c r="C63" s="593"/>
      <c r="D63" s="593"/>
      <c r="E63" s="593"/>
      <c r="F63" s="593"/>
      <c r="G63" s="593"/>
      <c r="H63" s="593"/>
      <c r="I63" s="593"/>
      <c r="J63" s="593"/>
      <c r="K63" s="593"/>
      <c r="L63" s="593"/>
      <c r="M63" s="593"/>
      <c r="N63" s="593"/>
      <c r="O63" s="593"/>
      <c r="P63" s="604"/>
    </row>
    <row r="64" spans="1:16" x14ac:dyDescent="0.25">
      <c r="A64" s="50"/>
      <c r="B64" s="433">
        <v>21</v>
      </c>
      <c r="C64" s="418" t="s">
        <v>168</v>
      </c>
      <c r="D64" s="255" t="s">
        <v>34</v>
      </c>
      <c r="E64" s="421"/>
      <c r="F64" s="300"/>
      <c r="G64" s="300"/>
      <c r="H64" s="430">
        <v>1</v>
      </c>
      <c r="I64" s="420"/>
      <c r="J64" s="420"/>
      <c r="K64" s="420"/>
      <c r="L64" s="420"/>
      <c r="M64" s="420"/>
      <c r="N64" s="420"/>
      <c r="O64" s="420"/>
      <c r="P64" s="434">
        <f t="shared" si="0"/>
        <v>1</v>
      </c>
    </row>
    <row r="65" spans="1:16" ht="28.5" x14ac:dyDescent="0.25">
      <c r="A65" s="50"/>
      <c r="B65" s="433">
        <v>22</v>
      </c>
      <c r="C65" s="418" t="s">
        <v>169</v>
      </c>
      <c r="D65" s="255" t="s">
        <v>34</v>
      </c>
      <c r="E65" s="421"/>
      <c r="F65" s="300"/>
      <c r="G65" s="300"/>
      <c r="H65" s="430">
        <v>1</v>
      </c>
      <c r="I65" s="420"/>
      <c r="J65" s="420"/>
      <c r="K65" s="420"/>
      <c r="L65" s="420"/>
      <c r="M65" s="420"/>
      <c r="N65" s="420"/>
      <c r="O65" s="420"/>
      <c r="P65" s="434">
        <f t="shared" si="0"/>
        <v>1</v>
      </c>
    </row>
    <row r="66" spans="1:16" x14ac:dyDescent="0.25">
      <c r="A66" s="50"/>
      <c r="B66" s="433">
        <v>23</v>
      </c>
      <c r="C66" s="418" t="s">
        <v>170</v>
      </c>
      <c r="D66" s="255" t="s">
        <v>34</v>
      </c>
      <c r="E66" s="421"/>
      <c r="F66" s="300"/>
      <c r="G66" s="300"/>
      <c r="H66" s="430">
        <v>1</v>
      </c>
      <c r="I66" s="420"/>
      <c r="J66" s="420"/>
      <c r="K66" s="420"/>
      <c r="L66" s="420"/>
      <c r="M66" s="420"/>
      <c r="N66" s="420"/>
      <c r="O66" s="420"/>
      <c r="P66" s="434">
        <f t="shared" si="0"/>
        <v>1</v>
      </c>
    </row>
    <row r="67" spans="1:16" x14ac:dyDescent="0.25">
      <c r="A67" s="50"/>
      <c r="B67" s="433">
        <v>24</v>
      </c>
      <c r="C67" s="418" t="s">
        <v>171</v>
      </c>
      <c r="D67" s="255" t="s">
        <v>34</v>
      </c>
      <c r="E67" s="421"/>
      <c r="F67" s="300"/>
      <c r="G67" s="300"/>
      <c r="H67" s="430">
        <v>1</v>
      </c>
      <c r="I67" s="420"/>
      <c r="J67" s="420"/>
      <c r="K67" s="420"/>
      <c r="L67" s="420"/>
      <c r="M67" s="420"/>
      <c r="N67" s="420"/>
      <c r="O67" s="420"/>
      <c r="P67" s="434">
        <f t="shared" si="0"/>
        <v>1</v>
      </c>
    </row>
    <row r="68" spans="1:16" x14ac:dyDescent="0.25">
      <c r="A68" s="50"/>
      <c r="B68" s="435" t="s">
        <v>268</v>
      </c>
      <c r="C68" s="418"/>
      <c r="D68" s="255" t="s">
        <v>254</v>
      </c>
      <c r="E68" s="421"/>
      <c r="F68" s="300"/>
      <c r="G68" s="300"/>
      <c r="H68" s="430"/>
      <c r="I68" s="420"/>
      <c r="J68" s="420"/>
      <c r="K68" s="420"/>
      <c r="L68" s="420"/>
      <c r="M68" s="420"/>
      <c r="N68" s="420"/>
      <c r="O68" s="420"/>
      <c r="P68" s="434"/>
    </row>
    <row r="69" spans="1:16" x14ac:dyDescent="0.25">
      <c r="A69" s="50"/>
      <c r="B69" s="433"/>
      <c r="C69" s="580"/>
      <c r="D69" s="580"/>
      <c r="E69" s="270"/>
      <c r="F69" s="300"/>
      <c r="G69" s="300"/>
      <c r="H69" s="430"/>
      <c r="I69" s="420"/>
      <c r="J69" s="420"/>
      <c r="K69" s="420"/>
      <c r="L69" s="420"/>
      <c r="M69" s="420"/>
      <c r="N69" s="420"/>
      <c r="O69" s="420"/>
      <c r="P69" s="434"/>
    </row>
    <row r="70" spans="1:16" x14ac:dyDescent="0.25">
      <c r="A70" s="50"/>
      <c r="B70" s="433"/>
      <c r="C70" s="580"/>
      <c r="D70" s="580"/>
      <c r="E70" s="270"/>
      <c r="F70" s="300"/>
      <c r="G70" s="300"/>
      <c r="H70" s="430"/>
      <c r="I70" s="420"/>
      <c r="J70" s="420"/>
      <c r="K70" s="420"/>
      <c r="L70" s="420"/>
      <c r="M70" s="420"/>
      <c r="N70" s="420"/>
      <c r="O70" s="420"/>
      <c r="P70" s="434"/>
    </row>
    <row r="71" spans="1:16" x14ac:dyDescent="0.25">
      <c r="A71" s="50"/>
      <c r="B71" s="433"/>
      <c r="C71" s="580"/>
      <c r="D71" s="580"/>
      <c r="E71" s="270"/>
      <c r="F71" s="300"/>
      <c r="G71" s="300"/>
      <c r="H71" s="420"/>
      <c r="I71" s="420"/>
      <c r="J71" s="420"/>
      <c r="K71" s="420"/>
      <c r="L71" s="420"/>
      <c r="M71" s="420"/>
      <c r="N71" s="420"/>
      <c r="O71" s="420"/>
      <c r="P71" s="434">
        <f t="shared" si="0"/>
        <v>0</v>
      </c>
    </row>
    <row r="72" spans="1:16" ht="28.5" customHeight="1" x14ac:dyDescent="0.25">
      <c r="A72" s="50"/>
      <c r="B72" s="603" t="s">
        <v>172</v>
      </c>
      <c r="C72" s="593"/>
      <c r="D72" s="593"/>
      <c r="E72" s="593"/>
      <c r="F72" s="593"/>
      <c r="G72" s="593"/>
      <c r="H72" s="593"/>
      <c r="I72" s="593"/>
      <c r="J72" s="593"/>
      <c r="K72" s="593"/>
      <c r="L72" s="593"/>
      <c r="M72" s="593"/>
      <c r="N72" s="593"/>
      <c r="O72" s="593"/>
      <c r="P72" s="604"/>
    </row>
    <row r="73" spans="1:16" x14ac:dyDescent="0.25">
      <c r="A73" s="50"/>
      <c r="B73" s="433">
        <v>25</v>
      </c>
      <c r="C73" s="418" t="s">
        <v>173</v>
      </c>
      <c r="D73" s="255" t="s">
        <v>34</v>
      </c>
      <c r="E73" s="421"/>
      <c r="F73" s="300"/>
      <c r="G73" s="300"/>
      <c r="H73" s="420"/>
      <c r="I73" s="430">
        <v>1</v>
      </c>
      <c r="J73" s="420"/>
      <c r="K73" s="420"/>
      <c r="L73" s="420"/>
      <c r="M73" s="420"/>
      <c r="N73" s="420"/>
      <c r="O73" s="420"/>
      <c r="P73" s="434">
        <f t="shared" si="0"/>
        <v>1</v>
      </c>
    </row>
    <row r="74" spans="1:16" x14ac:dyDescent="0.25">
      <c r="A74" s="50"/>
      <c r="B74" s="433">
        <v>26</v>
      </c>
      <c r="C74" s="418" t="s">
        <v>174</v>
      </c>
      <c r="D74" s="255" t="s">
        <v>34</v>
      </c>
      <c r="E74" s="421"/>
      <c r="F74" s="300"/>
      <c r="G74" s="300"/>
      <c r="H74" s="420"/>
      <c r="I74" s="430">
        <v>1</v>
      </c>
      <c r="J74" s="420"/>
      <c r="K74" s="420"/>
      <c r="L74" s="420"/>
      <c r="M74" s="420"/>
      <c r="N74" s="420"/>
      <c r="O74" s="420"/>
      <c r="P74" s="434">
        <f t="shared" si="0"/>
        <v>1</v>
      </c>
    </row>
    <row r="75" spans="1:16" ht="28.5" x14ac:dyDescent="0.25">
      <c r="A75" s="50"/>
      <c r="B75" s="433">
        <v>27</v>
      </c>
      <c r="C75" s="418" t="s">
        <v>175</v>
      </c>
      <c r="D75" s="255" t="s">
        <v>34</v>
      </c>
      <c r="E75" s="421"/>
      <c r="F75" s="300"/>
      <c r="G75" s="300"/>
      <c r="H75" s="420"/>
      <c r="I75" s="430">
        <v>0.8</v>
      </c>
      <c r="J75" s="430">
        <v>0.2</v>
      </c>
      <c r="K75" s="420"/>
      <c r="L75" s="420"/>
      <c r="M75" s="420"/>
      <c r="N75" s="420"/>
      <c r="O75" s="420"/>
      <c r="P75" s="434">
        <f t="shared" si="0"/>
        <v>1</v>
      </c>
    </row>
    <row r="76" spans="1:16" ht="28.5" x14ac:dyDescent="0.25">
      <c r="A76" s="50"/>
      <c r="B76" s="433">
        <v>28</v>
      </c>
      <c r="C76" s="418" t="s">
        <v>176</v>
      </c>
      <c r="D76" s="255" t="s">
        <v>34</v>
      </c>
      <c r="E76" s="421"/>
      <c r="F76" s="300"/>
      <c r="G76" s="300"/>
      <c r="H76" s="420"/>
      <c r="I76" s="420"/>
      <c r="J76" s="420"/>
      <c r="K76" s="420"/>
      <c r="L76" s="420"/>
      <c r="M76" s="420"/>
      <c r="N76" s="420"/>
      <c r="O76" s="420"/>
      <c r="P76" s="434">
        <f t="shared" si="0"/>
        <v>0</v>
      </c>
    </row>
    <row r="77" spans="1:16" ht="28.5" x14ac:dyDescent="0.25">
      <c r="A77" s="50"/>
      <c r="B77" s="433">
        <v>29</v>
      </c>
      <c r="C77" s="418" t="s">
        <v>177</v>
      </c>
      <c r="D77" s="255" t="s">
        <v>34</v>
      </c>
      <c r="E77" s="421"/>
      <c r="F77" s="300"/>
      <c r="G77" s="300"/>
      <c r="H77" s="420"/>
      <c r="I77" s="420"/>
      <c r="J77" s="420"/>
      <c r="K77" s="420"/>
      <c r="L77" s="420"/>
      <c r="M77" s="420"/>
      <c r="N77" s="420"/>
      <c r="O77" s="420"/>
      <c r="P77" s="434">
        <f t="shared" si="0"/>
        <v>0</v>
      </c>
    </row>
    <row r="78" spans="1:16" ht="28.5" x14ac:dyDescent="0.25">
      <c r="A78" s="50"/>
      <c r="B78" s="433">
        <v>30</v>
      </c>
      <c r="C78" s="418" t="s">
        <v>178</v>
      </c>
      <c r="D78" s="255" t="s">
        <v>34</v>
      </c>
      <c r="E78" s="421"/>
      <c r="F78" s="300"/>
      <c r="G78" s="300"/>
      <c r="H78" s="420"/>
      <c r="I78" s="420"/>
      <c r="J78" s="420"/>
      <c r="K78" s="420"/>
      <c r="L78" s="420"/>
      <c r="M78" s="420"/>
      <c r="N78" s="420"/>
      <c r="O78" s="420"/>
      <c r="P78" s="434">
        <f t="shared" si="0"/>
        <v>0</v>
      </c>
    </row>
    <row r="79" spans="1:16" ht="28.5" x14ac:dyDescent="0.25">
      <c r="A79" s="50"/>
      <c r="B79" s="433">
        <v>31</v>
      </c>
      <c r="C79" s="418" t="s">
        <v>179</v>
      </c>
      <c r="D79" s="255" t="s">
        <v>34</v>
      </c>
      <c r="E79" s="421"/>
      <c r="F79" s="300"/>
      <c r="G79" s="300"/>
      <c r="H79" s="420"/>
      <c r="I79" s="420"/>
      <c r="J79" s="420"/>
      <c r="K79" s="420"/>
      <c r="L79" s="420"/>
      <c r="M79" s="420"/>
      <c r="N79" s="420"/>
      <c r="O79" s="420"/>
      <c r="P79" s="434">
        <f t="shared" si="0"/>
        <v>0</v>
      </c>
    </row>
    <row r="80" spans="1:16" x14ac:dyDescent="0.25">
      <c r="A80" s="50"/>
      <c r="B80" s="433">
        <v>32</v>
      </c>
      <c r="C80" s="418" t="s">
        <v>180</v>
      </c>
      <c r="D80" s="255" t="s">
        <v>34</v>
      </c>
      <c r="E80" s="421"/>
      <c r="F80" s="300"/>
      <c r="G80" s="300"/>
      <c r="H80" s="420"/>
      <c r="I80" s="420"/>
      <c r="J80" s="420"/>
      <c r="K80" s="420"/>
      <c r="L80" s="420"/>
      <c r="M80" s="420"/>
      <c r="N80" s="420"/>
      <c r="O80" s="420"/>
      <c r="P80" s="434">
        <f t="shared" si="0"/>
        <v>0</v>
      </c>
    </row>
    <row r="81" spans="1:16" x14ac:dyDescent="0.25">
      <c r="A81" s="50"/>
      <c r="B81" s="435" t="s">
        <v>268</v>
      </c>
      <c r="C81" s="418"/>
      <c r="D81" s="255" t="s">
        <v>254</v>
      </c>
      <c r="E81" s="421"/>
      <c r="F81" s="300"/>
      <c r="G81" s="300"/>
      <c r="H81" s="420"/>
      <c r="I81" s="420"/>
      <c r="J81" s="420"/>
      <c r="K81" s="420"/>
      <c r="L81" s="420"/>
      <c r="M81" s="420"/>
      <c r="N81" s="420"/>
      <c r="O81" s="420"/>
      <c r="P81" s="434"/>
    </row>
    <row r="82" spans="1:16" x14ac:dyDescent="0.25">
      <c r="A82" s="50"/>
      <c r="B82" s="433"/>
      <c r="C82" s="580"/>
      <c r="D82" s="580"/>
      <c r="E82" s="270"/>
      <c r="F82" s="300"/>
      <c r="G82" s="300"/>
      <c r="H82" s="420"/>
      <c r="I82" s="420"/>
      <c r="J82" s="420"/>
      <c r="K82" s="420"/>
      <c r="L82" s="420"/>
      <c r="M82" s="420"/>
      <c r="N82" s="420"/>
      <c r="O82" s="420"/>
      <c r="P82" s="434"/>
    </row>
    <row r="83" spans="1:16" x14ac:dyDescent="0.25">
      <c r="A83" s="50"/>
      <c r="B83" s="433"/>
      <c r="C83" s="580"/>
      <c r="D83" s="580"/>
      <c r="E83" s="270"/>
      <c r="F83" s="300"/>
      <c r="G83" s="300"/>
      <c r="H83" s="420"/>
      <c r="I83" s="420"/>
      <c r="J83" s="420"/>
      <c r="K83" s="420"/>
      <c r="L83" s="420"/>
      <c r="M83" s="420"/>
      <c r="N83" s="420"/>
      <c r="O83" s="420"/>
      <c r="P83" s="434"/>
    </row>
    <row r="84" spans="1:16" x14ac:dyDescent="0.25">
      <c r="A84" s="50"/>
      <c r="B84" s="433"/>
      <c r="C84" s="580"/>
      <c r="D84" s="580"/>
      <c r="E84" s="270"/>
      <c r="F84" s="300"/>
      <c r="G84" s="300"/>
      <c r="H84" s="420"/>
      <c r="I84" s="420"/>
      <c r="J84" s="420"/>
      <c r="K84" s="420"/>
      <c r="L84" s="420"/>
      <c r="M84" s="420"/>
      <c r="N84" s="420"/>
      <c r="O84" s="420"/>
      <c r="P84" s="434">
        <f t="shared" ref="P84:P107" si="1">SUM(H84:O84)</f>
        <v>0</v>
      </c>
    </row>
    <row r="85" spans="1:16" ht="25.5" customHeight="1" x14ac:dyDescent="0.25">
      <c r="A85" s="50"/>
      <c r="B85" s="603" t="s">
        <v>181</v>
      </c>
      <c r="C85" s="593"/>
      <c r="D85" s="593"/>
      <c r="E85" s="593"/>
      <c r="F85" s="593"/>
      <c r="G85" s="593"/>
      <c r="H85" s="593"/>
      <c r="I85" s="593"/>
      <c r="J85" s="593"/>
      <c r="K85" s="593"/>
      <c r="L85" s="593"/>
      <c r="M85" s="593"/>
      <c r="N85" s="593"/>
      <c r="O85" s="593"/>
      <c r="P85" s="604"/>
    </row>
    <row r="86" spans="1:16" x14ac:dyDescent="0.25">
      <c r="A86" s="50"/>
      <c r="B86" s="433">
        <v>33</v>
      </c>
      <c r="C86" s="418" t="s">
        <v>182</v>
      </c>
      <c r="D86" s="255" t="s">
        <v>34</v>
      </c>
      <c r="E86" s="421"/>
      <c r="F86" s="300"/>
      <c r="G86" s="300"/>
      <c r="H86" s="426"/>
      <c r="I86" s="426"/>
      <c r="J86" s="426"/>
      <c r="K86" s="426"/>
      <c r="L86" s="426"/>
      <c r="M86" s="426"/>
      <c r="N86" s="426"/>
      <c r="O86" s="426"/>
      <c r="P86" s="434">
        <f t="shared" si="1"/>
        <v>0</v>
      </c>
    </row>
    <row r="87" spans="1:16" x14ac:dyDescent="0.25">
      <c r="A87" s="50"/>
      <c r="B87" s="433">
        <v>34</v>
      </c>
      <c r="C87" s="418" t="s">
        <v>183</v>
      </c>
      <c r="D87" s="255" t="s">
        <v>34</v>
      </c>
      <c r="E87" s="421"/>
      <c r="F87" s="300"/>
      <c r="G87" s="300"/>
      <c r="H87" s="426"/>
      <c r="I87" s="426"/>
      <c r="J87" s="426"/>
      <c r="K87" s="426"/>
      <c r="L87" s="426"/>
      <c r="M87" s="426"/>
      <c r="N87" s="426"/>
      <c r="O87" s="426"/>
      <c r="P87" s="434">
        <f t="shared" si="1"/>
        <v>0</v>
      </c>
    </row>
    <row r="88" spans="1:16" x14ac:dyDescent="0.25">
      <c r="A88" s="50"/>
      <c r="B88" s="433">
        <v>35</v>
      </c>
      <c r="C88" s="418" t="s">
        <v>184</v>
      </c>
      <c r="D88" s="255" t="s">
        <v>34</v>
      </c>
      <c r="E88" s="421"/>
      <c r="F88" s="300"/>
      <c r="G88" s="300"/>
      <c r="H88" s="426"/>
      <c r="I88" s="426"/>
      <c r="J88" s="426"/>
      <c r="K88" s="426"/>
      <c r="L88" s="426"/>
      <c r="M88" s="426"/>
      <c r="N88" s="426"/>
      <c r="O88" s="426"/>
      <c r="P88" s="434">
        <f t="shared" si="1"/>
        <v>0</v>
      </c>
    </row>
    <row r="89" spans="1:16" x14ac:dyDescent="0.25">
      <c r="A89" s="50"/>
      <c r="B89" s="435" t="s">
        <v>268</v>
      </c>
      <c r="C89" s="418"/>
      <c r="D89" s="255" t="s">
        <v>254</v>
      </c>
      <c r="E89" s="421"/>
      <c r="F89" s="300"/>
      <c r="G89" s="300"/>
      <c r="H89" s="426"/>
      <c r="I89" s="426"/>
      <c r="J89" s="426"/>
      <c r="K89" s="426"/>
      <c r="L89" s="426"/>
      <c r="M89" s="426"/>
      <c r="N89" s="426"/>
      <c r="O89" s="426"/>
      <c r="P89" s="434"/>
    </row>
    <row r="90" spans="1:16" x14ac:dyDescent="0.25">
      <c r="A90" s="50"/>
      <c r="B90" s="433"/>
      <c r="C90" s="580"/>
      <c r="D90" s="580"/>
      <c r="E90" s="270"/>
      <c r="F90" s="300"/>
      <c r="G90" s="300"/>
      <c r="H90" s="426"/>
      <c r="I90" s="426"/>
      <c r="J90" s="426"/>
      <c r="K90" s="426"/>
      <c r="L90" s="426"/>
      <c r="M90" s="426"/>
      <c r="N90" s="426"/>
      <c r="O90" s="426"/>
      <c r="P90" s="434"/>
    </row>
    <row r="91" spans="1:16" x14ac:dyDescent="0.25">
      <c r="A91" s="50"/>
      <c r="B91" s="433"/>
      <c r="C91" s="580"/>
      <c r="D91" s="580"/>
      <c r="E91" s="270"/>
      <c r="F91" s="300"/>
      <c r="G91" s="300"/>
      <c r="H91" s="426"/>
      <c r="I91" s="426"/>
      <c r="J91" s="426"/>
      <c r="K91" s="426"/>
      <c r="L91" s="426"/>
      <c r="M91" s="426"/>
      <c r="N91" s="426"/>
      <c r="O91" s="426"/>
      <c r="P91" s="434"/>
    </row>
    <row r="92" spans="1:16" x14ac:dyDescent="0.25">
      <c r="A92" s="50"/>
      <c r="B92" s="433"/>
      <c r="C92" s="580"/>
      <c r="D92" s="580"/>
      <c r="E92" s="270"/>
      <c r="F92" s="300"/>
      <c r="G92" s="300"/>
      <c r="H92" s="426"/>
      <c r="I92" s="426"/>
      <c r="J92" s="426"/>
      <c r="K92" s="426"/>
      <c r="L92" s="426"/>
      <c r="M92" s="426"/>
      <c r="N92" s="426"/>
      <c r="O92" s="426"/>
      <c r="P92" s="434">
        <f t="shared" si="1"/>
        <v>0</v>
      </c>
    </row>
    <row r="93" spans="1:16" ht="24" customHeight="1" x14ac:dyDescent="0.25">
      <c r="A93" s="50"/>
      <c r="B93" s="603" t="s">
        <v>185</v>
      </c>
      <c r="C93" s="593"/>
      <c r="D93" s="593"/>
      <c r="E93" s="593"/>
      <c r="F93" s="593"/>
      <c r="G93" s="593"/>
      <c r="H93" s="593"/>
      <c r="I93" s="593"/>
      <c r="J93" s="593"/>
      <c r="K93" s="593"/>
      <c r="L93" s="593"/>
      <c r="M93" s="593"/>
      <c r="N93" s="593"/>
      <c r="O93" s="593"/>
      <c r="P93" s="604"/>
    </row>
    <row r="94" spans="1:16" ht="42.75" x14ac:dyDescent="0.25">
      <c r="A94" s="50"/>
      <c r="B94" s="433">
        <v>36</v>
      </c>
      <c r="C94" s="418" t="s">
        <v>186</v>
      </c>
      <c r="D94" s="255" t="s">
        <v>34</v>
      </c>
      <c r="E94" s="421"/>
      <c r="F94" s="300"/>
      <c r="G94" s="300"/>
      <c r="H94" s="426"/>
      <c r="I94" s="426"/>
      <c r="J94" s="426"/>
      <c r="K94" s="426"/>
      <c r="L94" s="426"/>
      <c r="M94" s="426"/>
      <c r="N94" s="426"/>
      <c r="O94" s="426"/>
      <c r="P94" s="434">
        <f t="shared" si="1"/>
        <v>0</v>
      </c>
    </row>
    <row r="95" spans="1:16" ht="28.5" x14ac:dyDescent="0.25">
      <c r="A95" s="50"/>
      <c r="B95" s="433">
        <v>37</v>
      </c>
      <c r="C95" s="418" t="s">
        <v>187</v>
      </c>
      <c r="D95" s="255" t="s">
        <v>34</v>
      </c>
      <c r="E95" s="421"/>
      <c r="F95" s="300"/>
      <c r="G95" s="300"/>
      <c r="H95" s="426"/>
      <c r="I95" s="426"/>
      <c r="J95" s="426"/>
      <c r="K95" s="426"/>
      <c r="L95" s="426"/>
      <c r="M95" s="426"/>
      <c r="N95" s="426"/>
      <c r="O95" s="426"/>
      <c r="P95" s="434">
        <f t="shared" si="1"/>
        <v>0</v>
      </c>
    </row>
    <row r="96" spans="1:16" x14ac:dyDescent="0.25">
      <c r="A96" s="50"/>
      <c r="B96" s="433">
        <v>38</v>
      </c>
      <c r="C96" s="418" t="s">
        <v>188</v>
      </c>
      <c r="D96" s="255" t="s">
        <v>34</v>
      </c>
      <c r="E96" s="421"/>
      <c r="F96" s="300"/>
      <c r="G96" s="300"/>
      <c r="H96" s="426"/>
      <c r="I96" s="426"/>
      <c r="J96" s="426"/>
      <c r="K96" s="426"/>
      <c r="L96" s="426"/>
      <c r="M96" s="426"/>
      <c r="N96" s="426"/>
      <c r="O96" s="426"/>
      <c r="P96" s="434">
        <f t="shared" si="1"/>
        <v>0</v>
      </c>
    </row>
    <row r="97" spans="1:16" ht="28.5" x14ac:dyDescent="0.25">
      <c r="A97" s="50"/>
      <c r="B97" s="433">
        <v>39</v>
      </c>
      <c r="C97" s="418" t="s">
        <v>189</v>
      </c>
      <c r="D97" s="255" t="s">
        <v>34</v>
      </c>
      <c r="E97" s="421"/>
      <c r="F97" s="300"/>
      <c r="G97" s="300"/>
      <c r="H97" s="426"/>
      <c r="I97" s="426"/>
      <c r="J97" s="426"/>
      <c r="K97" s="426"/>
      <c r="L97" s="426"/>
      <c r="M97" s="426"/>
      <c r="N97" s="426"/>
      <c r="O97" s="426"/>
      <c r="P97" s="434">
        <f t="shared" si="1"/>
        <v>0</v>
      </c>
    </row>
    <row r="98" spans="1:16" ht="28.5" x14ac:dyDescent="0.25">
      <c r="A98" s="50"/>
      <c r="B98" s="433">
        <v>40</v>
      </c>
      <c r="C98" s="418" t="s">
        <v>190</v>
      </c>
      <c r="D98" s="255" t="s">
        <v>34</v>
      </c>
      <c r="E98" s="421"/>
      <c r="F98" s="300"/>
      <c r="G98" s="300"/>
      <c r="H98" s="426"/>
      <c r="I98" s="426"/>
      <c r="J98" s="426"/>
      <c r="K98" s="426"/>
      <c r="L98" s="426"/>
      <c r="M98" s="426"/>
      <c r="N98" s="426"/>
      <c r="O98" s="426"/>
      <c r="P98" s="434">
        <f t="shared" si="1"/>
        <v>0</v>
      </c>
    </row>
    <row r="99" spans="1:16" ht="28.5" x14ac:dyDescent="0.25">
      <c r="A99" s="50"/>
      <c r="B99" s="433">
        <v>41</v>
      </c>
      <c r="C99" s="418" t="s">
        <v>191</v>
      </c>
      <c r="D99" s="255" t="s">
        <v>34</v>
      </c>
      <c r="E99" s="421"/>
      <c r="F99" s="300"/>
      <c r="G99" s="300"/>
      <c r="H99" s="426"/>
      <c r="I99" s="426"/>
      <c r="J99" s="426"/>
      <c r="K99" s="426"/>
      <c r="L99" s="426"/>
      <c r="M99" s="426"/>
      <c r="N99" s="426"/>
      <c r="O99" s="426"/>
      <c r="P99" s="434">
        <f t="shared" si="1"/>
        <v>0</v>
      </c>
    </row>
    <row r="100" spans="1:16" ht="28.5" x14ac:dyDescent="0.25">
      <c r="A100" s="50"/>
      <c r="B100" s="433">
        <v>42</v>
      </c>
      <c r="C100" s="418" t="s">
        <v>192</v>
      </c>
      <c r="D100" s="255" t="s">
        <v>34</v>
      </c>
      <c r="E100" s="421"/>
      <c r="F100" s="300"/>
      <c r="G100" s="300"/>
      <c r="H100" s="426"/>
      <c r="I100" s="426"/>
      <c r="J100" s="426"/>
      <c r="K100" s="426"/>
      <c r="L100" s="426"/>
      <c r="M100" s="426"/>
      <c r="N100" s="426"/>
      <c r="O100" s="426"/>
      <c r="P100" s="434">
        <f t="shared" si="1"/>
        <v>0</v>
      </c>
    </row>
    <row r="101" spans="1:16" x14ac:dyDescent="0.25">
      <c r="A101" s="50"/>
      <c r="B101" s="433">
        <v>43</v>
      </c>
      <c r="C101" s="418" t="s">
        <v>193</v>
      </c>
      <c r="D101" s="255" t="s">
        <v>34</v>
      </c>
      <c r="E101" s="421"/>
      <c r="F101" s="300"/>
      <c r="G101" s="300"/>
      <c r="H101" s="426"/>
      <c r="I101" s="426"/>
      <c r="J101" s="426"/>
      <c r="K101" s="426"/>
      <c r="L101" s="426"/>
      <c r="M101" s="426"/>
      <c r="N101" s="426"/>
      <c r="O101" s="426"/>
      <c r="P101" s="434">
        <f t="shared" si="1"/>
        <v>0</v>
      </c>
    </row>
    <row r="102" spans="1:16" ht="42.75" x14ac:dyDescent="0.25">
      <c r="A102" s="50"/>
      <c r="B102" s="433">
        <v>44</v>
      </c>
      <c r="C102" s="418" t="s">
        <v>194</v>
      </c>
      <c r="D102" s="255" t="s">
        <v>34</v>
      </c>
      <c r="E102" s="421"/>
      <c r="F102" s="300"/>
      <c r="G102" s="300"/>
      <c r="H102" s="426"/>
      <c r="I102" s="426"/>
      <c r="J102" s="426"/>
      <c r="K102" s="426"/>
      <c r="L102" s="426"/>
      <c r="M102" s="426"/>
      <c r="N102" s="426"/>
      <c r="O102" s="426"/>
      <c r="P102" s="434">
        <f t="shared" si="1"/>
        <v>0</v>
      </c>
    </row>
    <row r="103" spans="1:16" ht="28.5" x14ac:dyDescent="0.25">
      <c r="A103" s="50"/>
      <c r="B103" s="433">
        <v>45</v>
      </c>
      <c r="C103" s="418" t="s">
        <v>195</v>
      </c>
      <c r="D103" s="255" t="s">
        <v>34</v>
      </c>
      <c r="E103" s="421"/>
      <c r="F103" s="300"/>
      <c r="G103" s="300"/>
      <c r="H103" s="426"/>
      <c r="I103" s="426"/>
      <c r="J103" s="426"/>
      <c r="K103" s="426"/>
      <c r="L103" s="426"/>
      <c r="M103" s="426"/>
      <c r="N103" s="426"/>
      <c r="O103" s="426"/>
      <c r="P103" s="434">
        <f t="shared" si="1"/>
        <v>0</v>
      </c>
    </row>
    <row r="104" spans="1:16" ht="28.5" x14ac:dyDescent="0.25">
      <c r="A104" s="50"/>
      <c r="B104" s="433">
        <v>46</v>
      </c>
      <c r="C104" s="418" t="s">
        <v>196</v>
      </c>
      <c r="D104" s="255" t="s">
        <v>34</v>
      </c>
      <c r="E104" s="421"/>
      <c r="F104" s="300"/>
      <c r="G104" s="300"/>
      <c r="H104" s="426"/>
      <c r="I104" s="426"/>
      <c r="J104" s="426"/>
      <c r="K104" s="426"/>
      <c r="L104" s="426"/>
      <c r="M104" s="426"/>
      <c r="N104" s="426"/>
      <c r="O104" s="426"/>
      <c r="P104" s="434">
        <f t="shared" si="1"/>
        <v>0</v>
      </c>
    </row>
    <row r="105" spans="1:16" ht="28.5" x14ac:dyDescent="0.25">
      <c r="A105" s="50"/>
      <c r="B105" s="433">
        <v>47</v>
      </c>
      <c r="C105" s="418" t="s">
        <v>197</v>
      </c>
      <c r="D105" s="255" t="s">
        <v>34</v>
      </c>
      <c r="E105" s="421"/>
      <c r="F105" s="300"/>
      <c r="G105" s="300"/>
      <c r="H105" s="426"/>
      <c r="I105" s="426"/>
      <c r="J105" s="426"/>
      <c r="K105" s="426"/>
      <c r="L105" s="426"/>
      <c r="M105" s="426"/>
      <c r="N105" s="426"/>
      <c r="O105" s="426"/>
      <c r="P105" s="434">
        <f t="shared" si="1"/>
        <v>0</v>
      </c>
    </row>
    <row r="106" spans="1:16" ht="28.5" x14ac:dyDescent="0.25">
      <c r="A106" s="50"/>
      <c r="B106" s="433">
        <v>48</v>
      </c>
      <c r="C106" s="418" t="s">
        <v>198</v>
      </c>
      <c r="D106" s="255" t="s">
        <v>34</v>
      </c>
      <c r="E106" s="421"/>
      <c r="F106" s="300"/>
      <c r="G106" s="300"/>
      <c r="H106" s="426"/>
      <c r="I106" s="426"/>
      <c r="J106" s="426"/>
      <c r="K106" s="426"/>
      <c r="L106" s="426"/>
      <c r="M106" s="426"/>
      <c r="N106" s="426"/>
      <c r="O106" s="426"/>
      <c r="P106" s="434">
        <f t="shared" si="1"/>
        <v>0</v>
      </c>
    </row>
    <row r="107" spans="1:16" ht="28.5" x14ac:dyDescent="0.25">
      <c r="A107" s="50"/>
      <c r="B107" s="433">
        <v>49</v>
      </c>
      <c r="C107" s="418" t="s">
        <v>199</v>
      </c>
      <c r="D107" s="255" t="s">
        <v>34</v>
      </c>
      <c r="E107" s="421"/>
      <c r="F107" s="300"/>
      <c r="G107" s="300"/>
      <c r="H107" s="426"/>
      <c r="I107" s="426"/>
      <c r="J107" s="426"/>
      <c r="K107" s="426"/>
      <c r="L107" s="426"/>
      <c r="M107" s="426"/>
      <c r="N107" s="426"/>
      <c r="O107" s="426"/>
      <c r="P107" s="434">
        <f t="shared" si="1"/>
        <v>0</v>
      </c>
    </row>
    <row r="108" spans="1:16" x14ac:dyDescent="0.25">
      <c r="A108" s="50"/>
      <c r="B108" s="435" t="s">
        <v>268</v>
      </c>
      <c r="C108" s="418"/>
      <c r="D108" s="255" t="s">
        <v>254</v>
      </c>
      <c r="E108" s="421"/>
      <c r="F108" s="300"/>
      <c r="G108" s="300"/>
      <c r="H108" s="426"/>
      <c r="I108" s="426"/>
      <c r="J108" s="426"/>
      <c r="K108" s="426"/>
      <c r="L108" s="426"/>
      <c r="M108" s="426"/>
      <c r="N108" s="426"/>
      <c r="O108" s="426"/>
      <c r="P108" s="434"/>
    </row>
    <row r="109" spans="1:16" x14ac:dyDescent="0.25">
      <c r="A109" s="50"/>
      <c r="B109" s="433"/>
      <c r="C109" s="580"/>
      <c r="D109" s="580"/>
      <c r="E109" s="270"/>
      <c r="F109" s="300"/>
      <c r="G109" s="300"/>
      <c r="H109" s="426"/>
      <c r="I109" s="426"/>
      <c r="J109" s="426"/>
      <c r="K109" s="426"/>
      <c r="L109" s="426"/>
      <c r="M109" s="426"/>
      <c r="N109" s="426"/>
      <c r="O109" s="426"/>
      <c r="P109" s="434"/>
    </row>
    <row r="110" spans="1:16" x14ac:dyDescent="0.25">
      <c r="A110" s="50"/>
      <c r="B110" s="433"/>
      <c r="C110" s="580"/>
      <c r="D110" s="580"/>
      <c r="E110" s="270"/>
      <c r="F110" s="300"/>
      <c r="G110" s="300"/>
      <c r="H110" s="426"/>
      <c r="I110" s="426"/>
      <c r="J110" s="426"/>
      <c r="K110" s="426"/>
      <c r="L110" s="426"/>
      <c r="M110" s="426"/>
      <c r="N110" s="426"/>
      <c r="O110" s="426"/>
      <c r="P110" s="434"/>
    </row>
    <row r="111" spans="1:16" x14ac:dyDescent="0.25">
      <c r="A111" s="50"/>
      <c r="B111" s="433"/>
      <c r="C111" s="580"/>
      <c r="D111" s="580"/>
      <c r="E111" s="270"/>
      <c r="F111" s="300"/>
      <c r="G111" s="300"/>
      <c r="H111" s="426"/>
      <c r="I111" s="426"/>
      <c r="J111" s="426"/>
      <c r="K111" s="426"/>
      <c r="L111" s="426"/>
      <c r="M111" s="426"/>
      <c r="N111" s="426"/>
      <c r="O111" s="426"/>
      <c r="P111" s="434"/>
    </row>
    <row r="112" spans="1:16" x14ac:dyDescent="0.25">
      <c r="B112" s="357"/>
      <c r="C112" s="594" t="s">
        <v>222</v>
      </c>
      <c r="D112" s="594"/>
      <c r="E112" s="358"/>
      <c r="F112" s="359"/>
      <c r="G112" s="359"/>
      <c r="H112" s="360">
        <f>SUM(F17*H17,F18*H18,F19*H19,F20*H20,F21*H21,F22*H22,F47*H47,F64*H64,F65*H65,F66*H66,F67*H67)</f>
        <v>0</v>
      </c>
      <c r="I112" s="360">
        <f>SUM(F28*I28,F29*I29,F30*I30,F31*I31,F32*I32,F73*I73,F74*I74,F75*I75,F76*I76,F77*I77,F78*I78,F79*I79,F80*I80,F86*I86,F87*I87,F88*I88)</f>
        <v>0</v>
      </c>
      <c r="J112" s="361"/>
      <c r="K112" s="358"/>
      <c r="L112" s="358"/>
      <c r="M112" s="358"/>
      <c r="N112" s="360"/>
      <c r="O112" s="358"/>
      <c r="P112" s="362">
        <f>SUM(H112:O112)</f>
        <v>0</v>
      </c>
    </row>
    <row r="113" spans="2:16" x14ac:dyDescent="0.25">
      <c r="B113" s="277"/>
      <c r="C113" s="580" t="s">
        <v>261</v>
      </c>
      <c r="D113" s="580"/>
      <c r="E113" s="271"/>
      <c r="F113" s="269"/>
      <c r="G113" s="269"/>
      <c r="H113" s="271"/>
      <c r="I113" s="271"/>
      <c r="J113" s="272">
        <f>SUM(E28*G28*J28,E29*G29*J29,E30*G30*J30,E31*G31,J31*E32*G32*J32,E39*G39*J39,E40*G40*J40,E41*G41*J41)</f>
        <v>300</v>
      </c>
      <c r="K113" s="272">
        <f>SUM(E28*G28*K28,E29*G29*K29,E30*G30*K30,E31*G31*K31,E32*G32*K32,E39*G39*K39,E40*G40*K40,E41*G41*K41)</f>
        <v>180</v>
      </c>
      <c r="L113" s="272"/>
      <c r="M113" s="272"/>
      <c r="N113" s="271"/>
      <c r="O113" s="271"/>
      <c r="P113" s="278">
        <f>SUM(H113:O113)</f>
        <v>480</v>
      </c>
    </row>
    <row r="114" spans="2:16" x14ac:dyDescent="0.25">
      <c r="B114" s="277"/>
      <c r="C114" s="580" t="s">
        <v>262</v>
      </c>
      <c r="D114" s="580"/>
      <c r="E114" s="271"/>
      <c r="F114" s="269"/>
      <c r="G114" s="269"/>
      <c r="H114" s="271"/>
      <c r="I114" s="271"/>
      <c r="J114" s="272">
        <f>J113-(E32*G32*J32)</f>
        <v>300</v>
      </c>
      <c r="K114" s="271">
        <f>K113-(E32*G32*K32)</f>
        <v>180</v>
      </c>
      <c r="L114" s="271"/>
      <c r="M114" s="271"/>
      <c r="N114" s="271"/>
      <c r="O114" s="271"/>
      <c r="P114" s="278"/>
    </row>
    <row r="115" spans="2:16" x14ac:dyDescent="0.25">
      <c r="B115" s="279"/>
      <c r="C115" s="595"/>
      <c r="D115" s="595"/>
      <c r="E115" s="264"/>
      <c r="F115" s="262"/>
      <c r="G115" s="262"/>
      <c r="H115" s="264"/>
      <c r="I115" s="264"/>
      <c r="J115" s="264"/>
      <c r="K115" s="264"/>
      <c r="L115" s="264"/>
      <c r="M115" s="264"/>
      <c r="N115" s="264"/>
      <c r="O115" s="264"/>
      <c r="P115" s="280"/>
    </row>
    <row r="116" spans="2:16" x14ac:dyDescent="0.25">
      <c r="B116" s="279"/>
      <c r="C116" s="263"/>
      <c r="D116" s="264"/>
      <c r="E116" s="264"/>
      <c r="F116" s="262"/>
      <c r="G116" s="262"/>
      <c r="H116" s="264"/>
      <c r="I116" s="264"/>
      <c r="J116" s="264"/>
      <c r="K116" s="264"/>
      <c r="L116" s="264"/>
      <c r="M116" s="264"/>
      <c r="N116" s="264"/>
      <c r="O116" s="264"/>
      <c r="P116" s="280"/>
    </row>
    <row r="117" spans="2:16" x14ac:dyDescent="0.25">
      <c r="B117" s="385"/>
      <c r="C117" s="578" t="s">
        <v>327</v>
      </c>
      <c r="D117" s="578"/>
      <c r="E117" s="255"/>
      <c r="F117" s="266"/>
      <c r="G117" s="255"/>
      <c r="H117" s="267">
        <f>'3.  Distribution Rates'!$K33</f>
        <v>0</v>
      </c>
      <c r="I117" s="267">
        <f>'3.  Distribution Rates'!K34</f>
        <v>0</v>
      </c>
      <c r="J117" s="267">
        <f>'3.  Distribution Rates'!K35</f>
        <v>0</v>
      </c>
      <c r="K117" s="267">
        <f>'3.  Distribution Rates'!K36</f>
        <v>0</v>
      </c>
      <c r="L117" s="267">
        <f>'3.  Distribution Rates'!K37</f>
        <v>0</v>
      </c>
      <c r="M117" s="267">
        <f>'3.  Distribution Rates'!K38</f>
        <v>0</v>
      </c>
      <c r="N117" s="267">
        <f>'3.  Distribution Rates'!K39</f>
        <v>0</v>
      </c>
      <c r="O117" s="267"/>
      <c r="P117" s="386"/>
    </row>
    <row r="118" spans="2:16" x14ac:dyDescent="0.25">
      <c r="B118" s="385"/>
      <c r="C118" s="578" t="s">
        <v>269</v>
      </c>
      <c r="D118" s="578"/>
      <c r="E118" s="264"/>
      <c r="F118" s="266"/>
      <c r="G118" s="266"/>
      <c r="H118" s="300"/>
      <c r="I118" s="300"/>
      <c r="J118" s="300"/>
      <c r="K118" s="300"/>
      <c r="L118" s="300"/>
      <c r="M118" s="300"/>
      <c r="N118" s="300"/>
      <c r="O118" s="255"/>
      <c r="P118" s="281">
        <f>SUM(H118:O118)</f>
        <v>0</v>
      </c>
    </row>
    <row r="119" spans="2:16" x14ac:dyDescent="0.25">
      <c r="B119" s="385"/>
      <c r="C119" s="578" t="s">
        <v>270</v>
      </c>
      <c r="D119" s="578"/>
      <c r="E119" s="264"/>
      <c r="F119" s="266"/>
      <c r="G119" s="266"/>
      <c r="H119" s="300"/>
      <c r="I119" s="300"/>
      <c r="J119" s="300"/>
      <c r="K119" s="300"/>
      <c r="L119" s="300"/>
      <c r="M119" s="300"/>
      <c r="N119" s="300"/>
      <c r="O119" s="255"/>
      <c r="P119" s="281">
        <f>SUM(H119:O119)</f>
        <v>0</v>
      </c>
    </row>
    <row r="120" spans="2:16" x14ac:dyDescent="0.25">
      <c r="B120" s="385"/>
      <c r="C120" s="578" t="s">
        <v>271</v>
      </c>
      <c r="D120" s="578"/>
      <c r="E120" s="264"/>
      <c r="F120" s="266"/>
      <c r="G120" s="266"/>
      <c r="H120" s="300"/>
      <c r="I120" s="300"/>
      <c r="J120" s="300"/>
      <c r="K120" s="300"/>
      <c r="L120" s="300"/>
      <c r="M120" s="300"/>
      <c r="N120" s="300"/>
      <c r="O120" s="255"/>
      <c r="P120" s="281">
        <f t="shared" ref="P120" si="2">SUM(H120:O120)</f>
        <v>0</v>
      </c>
    </row>
    <row r="121" spans="2:16" x14ac:dyDescent="0.25">
      <c r="B121" s="385"/>
      <c r="C121" s="578" t="s">
        <v>272</v>
      </c>
      <c r="D121" s="578"/>
      <c r="E121" s="264"/>
      <c r="F121" s="266"/>
      <c r="G121" s="266"/>
      <c r="H121" s="300"/>
      <c r="I121" s="300"/>
      <c r="J121" s="300"/>
      <c r="K121" s="300"/>
      <c r="L121" s="300"/>
      <c r="M121" s="300"/>
      <c r="N121" s="300"/>
      <c r="O121" s="255"/>
      <c r="P121" s="281">
        <f>SUM(H121:O121)</f>
        <v>0</v>
      </c>
    </row>
    <row r="122" spans="2:16" x14ac:dyDescent="0.25">
      <c r="B122" s="385"/>
      <c r="C122" s="578" t="s">
        <v>273</v>
      </c>
      <c r="D122" s="578"/>
      <c r="E122" s="264"/>
      <c r="F122" s="266"/>
      <c r="G122" s="266"/>
      <c r="H122" s="382">
        <f>'5.  2015 LRAM'!H127*H117</f>
        <v>0</v>
      </c>
      <c r="I122" s="382">
        <f>'5.  2015 LRAM'!I127*I117</f>
        <v>0</v>
      </c>
      <c r="J122" s="382">
        <f>'5.  2015 LRAM'!J126*J117</f>
        <v>0</v>
      </c>
      <c r="K122" s="382">
        <f>'5.  2015 LRAM'!K126*K117</f>
        <v>0</v>
      </c>
      <c r="L122" s="382">
        <f>'5.  2015 LRAM'!L126*L117</f>
        <v>0</v>
      </c>
      <c r="M122" s="382">
        <f>'5.  2015 LRAM'!M126*M117</f>
        <v>0</v>
      </c>
      <c r="N122" s="382">
        <f>'5.  2015 LRAM'!N126*N117</f>
        <v>0</v>
      </c>
      <c r="O122" s="255"/>
      <c r="P122" s="281">
        <f t="shared" ref="P122:P123" si="3">SUM(H122:O122)</f>
        <v>0</v>
      </c>
    </row>
    <row r="123" spans="2:16" x14ac:dyDescent="0.25">
      <c r="B123" s="385"/>
      <c r="C123" s="578" t="s">
        <v>274</v>
      </c>
      <c r="D123" s="578"/>
      <c r="E123" s="264"/>
      <c r="F123" s="266"/>
      <c r="G123" s="266"/>
      <c r="H123" s="382">
        <f>'5-b. 2016 LRAM'!H125*H117</f>
        <v>0</v>
      </c>
      <c r="I123" s="382">
        <f>'5-b. 2016 LRAM'!I125*I117</f>
        <v>0</v>
      </c>
      <c r="J123" s="382">
        <f>'5-b. 2016 LRAM'!J125*J117</f>
        <v>0</v>
      </c>
      <c r="K123" s="382">
        <f>'5-b. 2016 LRAM'!K125*K117</f>
        <v>0</v>
      </c>
      <c r="L123" s="382">
        <f>'5-b. 2016 LRAM'!L125*L117</f>
        <v>0</v>
      </c>
      <c r="M123" s="382">
        <f>'5-b. 2016 LRAM'!M125*M117</f>
        <v>0</v>
      </c>
      <c r="N123" s="382">
        <f>'5-b. 2016 LRAM'!N125*N117</f>
        <v>0</v>
      </c>
      <c r="O123" s="255"/>
      <c r="P123" s="281">
        <f t="shared" si="3"/>
        <v>0</v>
      </c>
    </row>
    <row r="124" spans="2:16" x14ac:dyDescent="0.25">
      <c r="B124" s="385"/>
      <c r="C124" s="578" t="s">
        <v>279</v>
      </c>
      <c r="D124" s="578"/>
      <c r="E124" s="264"/>
      <c r="F124" s="266"/>
      <c r="G124" s="266"/>
      <c r="H124" s="382">
        <f>H112*H117</f>
        <v>0</v>
      </c>
      <c r="I124" s="382">
        <f>I112*I117</f>
        <v>0</v>
      </c>
      <c r="J124" s="382">
        <f>J113*J117</f>
        <v>0</v>
      </c>
      <c r="K124" s="382">
        <f>K113*K117</f>
        <v>0</v>
      </c>
      <c r="L124" s="382">
        <f>L113*L117</f>
        <v>0</v>
      </c>
      <c r="M124" s="382">
        <f>M113*M117</f>
        <v>0</v>
      </c>
      <c r="N124" s="382">
        <f>N112*N117</f>
        <v>0</v>
      </c>
      <c r="O124" s="255"/>
      <c r="P124" s="281">
        <f>SUM(H124:O124)</f>
        <v>0</v>
      </c>
    </row>
    <row r="125" spans="2:16" x14ac:dyDescent="0.25">
      <c r="B125" s="279"/>
      <c r="C125" s="383" t="s">
        <v>275</v>
      </c>
      <c r="D125" s="264"/>
      <c r="E125" s="264"/>
      <c r="F125" s="262"/>
      <c r="G125" s="262"/>
      <c r="H125" s="268">
        <f>SUM(H118:H124)</f>
        <v>0</v>
      </c>
      <c r="I125" s="268">
        <f>SUM(I118:I124)</f>
        <v>0</v>
      </c>
      <c r="J125" s="268">
        <f t="shared" ref="J125:N125" si="4">SUM(J118:J124)</f>
        <v>0</v>
      </c>
      <c r="K125" s="268">
        <f t="shared" si="4"/>
        <v>0</v>
      </c>
      <c r="L125" s="268">
        <f t="shared" si="4"/>
        <v>0</v>
      </c>
      <c r="M125" s="268">
        <f t="shared" si="4"/>
        <v>0</v>
      </c>
      <c r="N125" s="268">
        <f t="shared" si="4"/>
        <v>0</v>
      </c>
      <c r="O125" s="264"/>
      <c r="P125" s="282">
        <f>SUM(P118:P124)</f>
        <v>0</v>
      </c>
    </row>
    <row r="126" spans="2:16" x14ac:dyDescent="0.25">
      <c r="B126" s="279"/>
      <c r="C126" s="383"/>
      <c r="D126" s="264"/>
      <c r="E126" s="264"/>
      <c r="F126" s="262"/>
      <c r="G126" s="262"/>
      <c r="H126" s="268"/>
      <c r="I126" s="268"/>
      <c r="J126" s="268"/>
      <c r="K126" s="268"/>
      <c r="L126" s="268"/>
      <c r="M126" s="268"/>
      <c r="N126" s="268"/>
      <c r="O126" s="264"/>
      <c r="P126" s="282"/>
    </row>
    <row r="127" spans="2:16" x14ac:dyDescent="0.25">
      <c r="B127" s="427"/>
      <c r="C127" s="578" t="s">
        <v>276</v>
      </c>
      <c r="D127" s="578"/>
      <c r="E127" s="419"/>
      <c r="F127" s="160"/>
      <c r="G127" s="160"/>
      <c r="H127" s="300">
        <f>H112*'6.  Persistence Rates'!$G$46</f>
        <v>0</v>
      </c>
      <c r="I127" s="300">
        <f>I112*'6.  Persistence Rates'!$G$46</f>
        <v>0</v>
      </c>
      <c r="J127" s="300">
        <f>J113*'6.  Persistence Rates'!$T$46</f>
        <v>0</v>
      </c>
      <c r="K127" s="300">
        <f>K113*'6.  Persistence Rates'!$T$46</f>
        <v>0</v>
      </c>
      <c r="L127" s="300"/>
      <c r="M127" s="300"/>
      <c r="N127" s="300">
        <f>N112*'6.  Persistence Rates'!$G$46</f>
        <v>0</v>
      </c>
      <c r="O127" s="160"/>
      <c r="P127" s="354"/>
    </row>
    <row r="128" spans="2:16" x14ac:dyDescent="0.25">
      <c r="B128" s="427"/>
      <c r="C128" s="578" t="s">
        <v>277</v>
      </c>
      <c r="D128" s="578"/>
      <c r="E128" s="419"/>
      <c r="F128" s="160"/>
      <c r="G128" s="160"/>
      <c r="H128" s="300">
        <f>H112*'6.  Persistence Rates'!$H$46</f>
        <v>0</v>
      </c>
      <c r="I128" s="300">
        <f>I112*'6.  Persistence Rates'!$H$46</f>
        <v>0</v>
      </c>
      <c r="J128" s="300">
        <f>$J$114*'6.  Persistence Rates'!$U$46</f>
        <v>0</v>
      </c>
      <c r="K128" s="300">
        <f>$K$114*'6.  Persistence Rates'!$U$46</f>
        <v>0</v>
      </c>
      <c r="L128" s="300"/>
      <c r="M128" s="300"/>
      <c r="N128" s="300">
        <f>N112*'6.  Persistence Rates'!$H$46</f>
        <v>0</v>
      </c>
      <c r="O128" s="160"/>
      <c r="P128" s="354"/>
    </row>
    <row r="129" spans="2:16" x14ac:dyDescent="0.25">
      <c r="B129" s="428"/>
      <c r="C129" s="579" t="s">
        <v>278</v>
      </c>
      <c r="D129" s="579"/>
      <c r="E129" s="429"/>
      <c r="F129" s="334"/>
      <c r="G129" s="334"/>
      <c r="H129" s="408">
        <f>H112*'6.  Persistence Rates'!$I$46</f>
        <v>0</v>
      </c>
      <c r="I129" s="408">
        <f>I112*'6.  Persistence Rates'!$I$46</f>
        <v>0</v>
      </c>
      <c r="J129" s="408">
        <f>$J$114*'6.  Persistence Rates'!$V$46</f>
        <v>0</v>
      </c>
      <c r="K129" s="408">
        <f>$K$114*'6.  Persistence Rates'!$V$46</f>
        <v>0</v>
      </c>
      <c r="L129" s="408"/>
      <c r="M129" s="408"/>
      <c r="N129" s="408">
        <f>N112*'6.  Persistence Rates'!$I$46</f>
        <v>0</v>
      </c>
      <c r="O129" s="334"/>
      <c r="P129" s="404"/>
    </row>
  </sheetData>
  <mergeCells count="62">
    <mergeCell ref="C121:D121"/>
    <mergeCell ref="C112:D112"/>
    <mergeCell ref="C113:D113"/>
    <mergeCell ref="C114:D114"/>
    <mergeCell ref="C120:D120"/>
    <mergeCell ref="B2:P2"/>
    <mergeCell ref="C115:D115"/>
    <mergeCell ref="C117:D117"/>
    <mergeCell ref="C118:D118"/>
    <mergeCell ref="C119:D119"/>
    <mergeCell ref="E4:P4"/>
    <mergeCell ref="B13:B14"/>
    <mergeCell ref="C13:C14"/>
    <mergeCell ref="D13:D14"/>
    <mergeCell ref="E13:E14"/>
    <mergeCell ref="H13:P13"/>
    <mergeCell ref="E9:F9"/>
    <mergeCell ref="E10:F10"/>
    <mergeCell ref="B15:P15"/>
    <mergeCell ref="B16:P16"/>
    <mergeCell ref="B27:P27"/>
    <mergeCell ref="C122:D122"/>
    <mergeCell ref="C123:D123"/>
    <mergeCell ref="C127:D127"/>
    <mergeCell ref="C128:D128"/>
    <mergeCell ref="C129:D129"/>
    <mergeCell ref="C124:D124"/>
    <mergeCell ref="B37:P37"/>
    <mergeCell ref="B46:P46"/>
    <mergeCell ref="B52:P52"/>
    <mergeCell ref="B61:P61"/>
    <mergeCell ref="C58:D58"/>
    <mergeCell ref="C59:D59"/>
    <mergeCell ref="C60:D60"/>
    <mergeCell ref="B63:P63"/>
    <mergeCell ref="B72:P72"/>
    <mergeCell ref="B85:P85"/>
    <mergeCell ref="B93:P93"/>
    <mergeCell ref="C24:D24"/>
    <mergeCell ref="C25:D25"/>
    <mergeCell ref="C26:D26"/>
    <mergeCell ref="C34:D34"/>
    <mergeCell ref="C35:D35"/>
    <mergeCell ref="C36:D36"/>
    <mergeCell ref="C43:D43"/>
    <mergeCell ref="C44:D44"/>
    <mergeCell ref="C45:D45"/>
    <mergeCell ref="C49:D49"/>
    <mergeCell ref="C50:D50"/>
    <mergeCell ref="C51:D51"/>
    <mergeCell ref="C69:D69"/>
    <mergeCell ref="C70:D70"/>
    <mergeCell ref="C71:D71"/>
    <mergeCell ref="C82:D82"/>
    <mergeCell ref="C83:D83"/>
    <mergeCell ref="C110:D110"/>
    <mergeCell ref="C111:D111"/>
    <mergeCell ref="C84:D84"/>
    <mergeCell ref="C90:D90"/>
    <mergeCell ref="C91:D91"/>
    <mergeCell ref="C92:D92"/>
    <mergeCell ref="C109:D109"/>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Contents Navigator</vt:lpstr>
      <vt:lpstr>Input Output Flow Chart</vt:lpstr>
      <vt:lpstr>1.  LRAMVA Summary</vt:lpstr>
      <vt:lpstr>2.  CDM Allocation</vt:lpstr>
      <vt:lpstr>3.  Distribution Rates</vt:lpstr>
      <vt:lpstr>4.  2011-14 LRAM</vt:lpstr>
      <vt:lpstr>5.  2015 LRAM</vt:lpstr>
      <vt:lpstr>5-b. 2016 LRAM</vt:lpstr>
      <vt:lpstr>5-c.  2017 LRAM</vt:lpstr>
      <vt:lpstr>5-d.  2018 LRAM</vt:lpstr>
      <vt:lpstr>5-e.  2019 LRAM</vt:lpstr>
      <vt:lpstr>5-f.  2020 LRAM</vt:lpstr>
      <vt:lpstr>6.  Persistence Rates</vt:lpstr>
      <vt:lpstr>7.  Carrying Charges</vt:lpstr>
      <vt:lpstr>'1.  LRAMVA Summary'!Print_Area</vt:lpstr>
      <vt:lpstr>'2.  CDM Allocation'!Print_Area</vt:lpstr>
      <vt:lpstr>'3.  Distribution Rates'!Print_Area</vt:lpstr>
      <vt:lpstr>'4.  2011-14 LRAM'!Print_Area</vt:lpstr>
      <vt:lpstr>'5.  2015 LRAM'!Print_Area</vt:lpstr>
      <vt:lpstr>'6.  Persistence Rates'!Print_Area</vt:lpstr>
      <vt:lpstr>'7.  Carrying Charges'!Print_Area</vt:lpstr>
      <vt:lpstr>'Contents Navigator'!Print_Area</vt:lpstr>
      <vt:lpstr>'Input Output Flow Chart'!Print_Area</vt:lpstr>
      <vt:lpstr>'2.  CDM Allocation'!Print_Titles</vt:lpstr>
      <vt:lpstr>'4.  2011-14 LRAM'!Print_Titles</vt:lpstr>
      <vt:lpstr>'5.  2015 LRAM'!Print_Titles</vt:lpstr>
      <vt:lpstr>'7.  Carrying Charges'!Print_Titles</vt:lpstr>
    </vt:vector>
  </TitlesOfParts>
  <Company>OPA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Blakeman, Kelly</cp:lastModifiedBy>
  <cp:lastPrinted>2016-08-11T14:26:50Z</cp:lastPrinted>
  <dcterms:created xsi:type="dcterms:W3CDTF">2012-03-05T18:56:04Z</dcterms:created>
  <dcterms:modified xsi:type="dcterms:W3CDTF">2016-08-11T14:29:19Z</dcterms:modified>
</cp:coreProperties>
</file>