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40" yWindow="90" windowWidth="24795" windowHeight="11250"/>
  </bookViews>
  <sheets>
    <sheet name="LRAM Calculation" sheetId="5" r:id="rId1"/>
    <sheet name="LRAM Calc by program" sheetId="6" r:id="rId2"/>
    <sheet name="pivot" sheetId="9" r:id="rId3"/>
    <sheet name="OPA Data" sheetId="1" r:id="rId4"/>
  </sheets>
  <definedNames>
    <definedName name="_xlnm._FilterDatabase" localSheetId="3" hidden="1">'OPA Data'!$B$3:$BS$67</definedName>
    <definedName name="_xlnm.Print_Area" localSheetId="1">'LRAM Calc by program'!$A$108:$I$133</definedName>
    <definedName name="_xlnm.Print_Area" localSheetId="0">'LRAM Calculation'!$A$48:$J$50</definedName>
  </definedNames>
  <calcPr calcId="145621"/>
  <pivotCaches>
    <pivotCache cacheId="29" r:id="rId5"/>
  </pivotCaches>
</workbook>
</file>

<file path=xl/calcChain.xml><?xml version="1.0" encoding="utf-8"?>
<calcChain xmlns="http://schemas.openxmlformats.org/spreadsheetml/2006/main">
  <c r="L21" i="6" l="1"/>
  <c r="L19" i="6"/>
  <c r="C114" i="6"/>
  <c r="C75" i="6"/>
  <c r="C7" i="6"/>
  <c r="C116" i="6"/>
  <c r="C86" i="6"/>
  <c r="C65" i="6"/>
  <c r="C69" i="6"/>
  <c r="C37" i="6"/>
  <c r="C20" i="6"/>
  <c r="C10" i="6"/>
  <c r="C98" i="6"/>
  <c r="C42" i="6"/>
  <c r="C19" i="6"/>
  <c r="C128" i="6"/>
  <c r="C48" i="6"/>
  <c r="C61" i="6"/>
  <c r="C47" i="6"/>
  <c r="C9" i="6"/>
  <c r="C127" i="6"/>
  <c r="C117" i="6"/>
  <c r="C112" i="6"/>
  <c r="C102" i="6"/>
  <c r="C77" i="6"/>
  <c r="C62" i="6"/>
  <c r="C23" i="6"/>
  <c r="C121" i="6"/>
  <c r="C113" i="6"/>
  <c r="C124" i="6"/>
  <c r="C95" i="6"/>
  <c r="C99" i="6"/>
  <c r="C89" i="6"/>
  <c r="C76" i="6"/>
  <c r="C73" i="6"/>
  <c r="C63" i="6"/>
  <c r="C50" i="6"/>
  <c r="C35" i="6"/>
  <c r="C38" i="6"/>
  <c r="C33" i="6"/>
  <c r="C22" i="6"/>
  <c r="C12" i="6"/>
  <c r="C8" i="6"/>
  <c r="C129" i="6"/>
  <c r="C125" i="6"/>
  <c r="C115" i="6"/>
  <c r="C100" i="6"/>
  <c r="C90" i="6"/>
  <c r="C101" i="6"/>
  <c r="C74" i="6"/>
  <c r="C64" i="6"/>
  <c r="C49" i="6"/>
  <c r="C46" i="6"/>
  <c r="C34" i="6"/>
  <c r="C24" i="6"/>
  <c r="C21" i="6"/>
  <c r="C11" i="6"/>
  <c r="C126" i="6"/>
  <c r="C103" i="6"/>
  <c r="C91" i="6"/>
  <c r="C88" i="6"/>
  <c r="C60" i="6"/>
  <c r="C36" i="6"/>
  <c r="C16" i="6"/>
  <c r="C87" i="6"/>
  <c r="C72" i="6"/>
  <c r="C45" i="6"/>
  <c r="C118" i="6" l="1"/>
  <c r="C92" i="6"/>
  <c r="C66" i="6"/>
  <c r="C39" i="6"/>
  <c r="C51" i="6" l="1"/>
  <c r="C13" i="6"/>
  <c r="C130" i="6"/>
  <c r="F44" i="5" l="1"/>
  <c r="E44" i="5"/>
  <c r="F43" i="5"/>
  <c r="E43" i="5"/>
  <c r="F42" i="5"/>
  <c r="E42" i="5"/>
  <c r="C43" i="5"/>
  <c r="D125" i="6"/>
  <c r="D126" i="6" s="1"/>
  <c r="G124" i="6"/>
  <c r="G121" i="6"/>
  <c r="D113" i="6"/>
  <c r="D114" i="6" s="1"/>
  <c r="G112" i="6"/>
  <c r="G44" i="5" l="1"/>
  <c r="G43" i="5"/>
  <c r="I43" i="5" s="1"/>
  <c r="G42" i="5"/>
  <c r="C44" i="5"/>
  <c r="I124" i="6"/>
  <c r="I112" i="6"/>
  <c r="G113" i="6"/>
  <c r="I113" i="6" s="1"/>
  <c r="G125" i="6"/>
  <c r="I125" i="6" s="1"/>
  <c r="I121" i="6"/>
  <c r="C42" i="5"/>
  <c r="G114" i="6"/>
  <c r="I114" i="6" s="1"/>
  <c r="D115" i="6"/>
  <c r="G126" i="6"/>
  <c r="I126" i="6" s="1"/>
  <c r="D127" i="6"/>
  <c r="C34" i="5"/>
  <c r="F35" i="5"/>
  <c r="E35" i="5"/>
  <c r="F34" i="5"/>
  <c r="E34" i="5"/>
  <c r="F33" i="5"/>
  <c r="E33" i="5"/>
  <c r="D99" i="6"/>
  <c r="G99" i="6" s="1"/>
  <c r="G98" i="6"/>
  <c r="G95" i="6"/>
  <c r="D87" i="6"/>
  <c r="D88" i="6" s="1"/>
  <c r="G86" i="6"/>
  <c r="I44" i="5" l="1"/>
  <c r="I42" i="5"/>
  <c r="G127" i="6"/>
  <c r="I127" i="6" s="1"/>
  <c r="D128" i="6"/>
  <c r="G115" i="6"/>
  <c r="I115" i="6" s="1"/>
  <c r="D116" i="6"/>
  <c r="G35" i="5"/>
  <c r="G34" i="5"/>
  <c r="I34" i="5" s="1"/>
  <c r="G33" i="5"/>
  <c r="I99" i="6"/>
  <c r="I95" i="6"/>
  <c r="C33" i="5"/>
  <c r="C104" i="6"/>
  <c r="C35" i="5" s="1"/>
  <c r="D89" i="6"/>
  <c r="G88" i="6"/>
  <c r="I88" i="6" s="1"/>
  <c r="D100" i="6"/>
  <c r="G87" i="6"/>
  <c r="I87" i="6" s="1"/>
  <c r="I86" i="6"/>
  <c r="I98" i="6"/>
  <c r="I46" i="5" l="1"/>
  <c r="G116" i="6"/>
  <c r="I116" i="6" s="1"/>
  <c r="D117" i="6"/>
  <c r="G117" i="6" s="1"/>
  <c r="I117" i="6" s="1"/>
  <c r="G128" i="6"/>
  <c r="I128" i="6" s="1"/>
  <c r="D129" i="6"/>
  <c r="G129" i="6" s="1"/>
  <c r="I129" i="6" s="1"/>
  <c r="AU69" i="1"/>
  <c r="AT69" i="1"/>
  <c r="I35" i="5"/>
  <c r="I33" i="5"/>
  <c r="I37" i="5" s="1"/>
  <c r="G100" i="6"/>
  <c r="I100" i="6" s="1"/>
  <c r="D101" i="6"/>
  <c r="D90" i="6"/>
  <c r="G89" i="6"/>
  <c r="I89" i="6" s="1"/>
  <c r="I118" i="6" l="1"/>
  <c r="I130" i="6"/>
  <c r="G101" i="6"/>
  <c r="I101" i="6" s="1"/>
  <c r="D102" i="6"/>
  <c r="D91" i="6"/>
  <c r="G91" i="6" s="1"/>
  <c r="I91" i="6" s="1"/>
  <c r="G90" i="6"/>
  <c r="I90" i="6" s="1"/>
  <c r="I132" i="6" l="1"/>
  <c r="D103" i="6"/>
  <c r="G103" i="6" s="1"/>
  <c r="I103" i="6" s="1"/>
  <c r="G102" i="6"/>
  <c r="I102" i="6" s="1"/>
  <c r="I92" i="6"/>
  <c r="AS69" i="1" l="1"/>
  <c r="I104" i="6"/>
  <c r="I106" i="6" s="1"/>
  <c r="F26" i="5"/>
  <c r="F25" i="5"/>
  <c r="F24" i="5"/>
  <c r="E26" i="5"/>
  <c r="E25" i="5"/>
  <c r="E24" i="5"/>
  <c r="D26" i="5"/>
  <c r="D25" i="5"/>
  <c r="D24" i="5"/>
  <c r="D73" i="6"/>
  <c r="G73" i="6" s="1"/>
  <c r="D61" i="6"/>
  <c r="G61" i="6" s="1"/>
  <c r="G72" i="6"/>
  <c r="G69" i="6"/>
  <c r="C25" i="5"/>
  <c r="G60" i="6"/>
  <c r="D62" i="6" l="1"/>
  <c r="D74" i="6"/>
  <c r="AR69" i="1"/>
  <c r="G24" i="5"/>
  <c r="G26" i="5"/>
  <c r="G25" i="5"/>
  <c r="I61" i="6"/>
  <c r="C78" i="6"/>
  <c r="I69" i="6"/>
  <c r="I73" i="6"/>
  <c r="I72" i="6"/>
  <c r="I60" i="6"/>
  <c r="G62" i="6" l="1"/>
  <c r="I62" i="6" s="1"/>
  <c r="D63" i="6"/>
  <c r="G74" i="6"/>
  <c r="I74" i="6" s="1"/>
  <c r="D75" i="6"/>
  <c r="C24" i="5"/>
  <c r="I25" i="5"/>
  <c r="C26" i="5"/>
  <c r="G63" i="6" l="1"/>
  <c r="I63" i="6" s="1"/>
  <c r="D64" i="6"/>
  <c r="D76" i="6"/>
  <c r="G75" i="6"/>
  <c r="I75" i="6" s="1"/>
  <c r="I26" i="5"/>
  <c r="I24" i="5"/>
  <c r="I28" i="5" s="1"/>
  <c r="F17" i="5"/>
  <c r="E17" i="5"/>
  <c r="D17" i="5"/>
  <c r="F16" i="5"/>
  <c r="E16" i="5"/>
  <c r="D16" i="5"/>
  <c r="F15" i="5"/>
  <c r="E15" i="5"/>
  <c r="D15" i="5"/>
  <c r="E8" i="5"/>
  <c r="F8" i="5"/>
  <c r="D8" i="5"/>
  <c r="E7" i="5"/>
  <c r="F7" i="5"/>
  <c r="D7" i="5"/>
  <c r="E6" i="5"/>
  <c r="F6" i="5"/>
  <c r="D6" i="5"/>
  <c r="G42" i="6"/>
  <c r="I42" i="6" s="1"/>
  <c r="G50" i="6"/>
  <c r="G49" i="6"/>
  <c r="I49" i="6" s="1"/>
  <c r="G48" i="6"/>
  <c r="G47" i="6"/>
  <c r="I47" i="6" s="1"/>
  <c r="G46" i="6"/>
  <c r="G45" i="6"/>
  <c r="I45" i="6" s="1"/>
  <c r="G38" i="6"/>
  <c r="I38" i="6" s="1"/>
  <c r="G37" i="6"/>
  <c r="I37" i="6" s="1"/>
  <c r="G36" i="6"/>
  <c r="I36" i="6" s="1"/>
  <c r="G35" i="6"/>
  <c r="I35" i="6" s="1"/>
  <c r="G34" i="6"/>
  <c r="G33" i="6"/>
  <c r="I33" i="6" s="1"/>
  <c r="G24" i="6"/>
  <c r="I24" i="6" s="1"/>
  <c r="G23" i="6"/>
  <c r="I23" i="6" s="1"/>
  <c r="G22" i="6"/>
  <c r="G21" i="6"/>
  <c r="I21" i="6" s="1"/>
  <c r="G20" i="6"/>
  <c r="I20" i="6" s="1"/>
  <c r="G19" i="6"/>
  <c r="I19" i="6" s="1"/>
  <c r="G16" i="6"/>
  <c r="I16" i="6" s="1"/>
  <c r="G12" i="6"/>
  <c r="G11" i="6"/>
  <c r="I11" i="6" s="1"/>
  <c r="G10" i="6"/>
  <c r="G9" i="6"/>
  <c r="I9" i="6" s="1"/>
  <c r="G8" i="6"/>
  <c r="G7" i="6"/>
  <c r="G76" i="6" l="1"/>
  <c r="I76" i="6" s="1"/>
  <c r="D77" i="6"/>
  <c r="G77" i="6" s="1"/>
  <c r="I77" i="6" s="1"/>
  <c r="D65" i="6"/>
  <c r="G65" i="6" s="1"/>
  <c r="I65" i="6" s="1"/>
  <c r="G64" i="6"/>
  <c r="I64" i="6" s="1"/>
  <c r="C16" i="5"/>
  <c r="I12" i="6"/>
  <c r="I8" i="6"/>
  <c r="C7" i="5"/>
  <c r="I10" i="6"/>
  <c r="I46" i="6"/>
  <c r="I48" i="6"/>
  <c r="I50" i="6"/>
  <c r="I34" i="6"/>
  <c r="I39" i="6" s="1"/>
  <c r="C25" i="6"/>
  <c r="I22" i="6"/>
  <c r="I25" i="6" s="1"/>
  <c r="I7" i="6"/>
  <c r="G17" i="5"/>
  <c r="G16" i="5"/>
  <c r="G15" i="5"/>
  <c r="G8" i="5"/>
  <c r="G7" i="5"/>
  <c r="G6" i="5"/>
  <c r="L24" i="6" l="1"/>
  <c r="L20" i="6"/>
  <c r="L22" i="6"/>
  <c r="L23" i="6"/>
  <c r="I78" i="6"/>
  <c r="I7" i="5"/>
  <c r="I66" i="6"/>
  <c r="I13" i="6"/>
  <c r="I27" i="6" s="1"/>
  <c r="C15" i="5"/>
  <c r="C17" i="5"/>
  <c r="C8" i="5"/>
  <c r="C6" i="5"/>
  <c r="I6" i="5" s="1"/>
  <c r="I51" i="6"/>
  <c r="I53" i="6" s="1"/>
  <c r="I16" i="5"/>
  <c r="L25" i="6" l="1"/>
  <c r="H8" i="5" s="1"/>
  <c r="I8" i="5" s="1"/>
  <c r="I80" i="6"/>
  <c r="I17" i="5"/>
  <c r="I15" i="5"/>
  <c r="I19" i="5" l="1"/>
  <c r="I10" i="5"/>
</calcChain>
</file>

<file path=xl/sharedStrings.xml><?xml version="1.0" encoding="utf-8"?>
<sst xmlns="http://schemas.openxmlformats.org/spreadsheetml/2006/main" count="647" uniqueCount="164">
  <si>
    <t>Program</t>
  </si>
  <si>
    <t>Initiative</t>
  </si>
  <si>
    <t xml:space="preserve">Measure </t>
  </si>
  <si>
    <t>Track</t>
  </si>
  <si>
    <t>EUL</t>
  </si>
  <si>
    <t>Realization Rate (Energy)</t>
  </si>
  <si>
    <t>Realization Rate (Summer Demand)</t>
  </si>
  <si>
    <t>2011 MW</t>
  </si>
  <si>
    <t>2012 MW</t>
  </si>
  <si>
    <t>2013 MW</t>
  </si>
  <si>
    <t>2014 MW</t>
  </si>
  <si>
    <t>2015 MW</t>
  </si>
  <si>
    <t>2016 MW</t>
  </si>
  <si>
    <t>2017 MW</t>
  </si>
  <si>
    <t>2018 MW</t>
  </si>
  <si>
    <t>2019 MW</t>
  </si>
  <si>
    <t>2020 MW</t>
  </si>
  <si>
    <t>2021 MW</t>
  </si>
  <si>
    <t>2022 MW</t>
  </si>
  <si>
    <t>2023 MW</t>
  </si>
  <si>
    <t>2024 MW</t>
  </si>
  <si>
    <t>2025 MW</t>
  </si>
  <si>
    <t>2026 MW</t>
  </si>
  <si>
    <t>2027 MW</t>
  </si>
  <si>
    <t>2028 MW</t>
  </si>
  <si>
    <t>2029 MW</t>
  </si>
  <si>
    <t>2030 MW</t>
  </si>
  <si>
    <t>2031 MW</t>
  </si>
  <si>
    <t>2032 MW</t>
  </si>
  <si>
    <t>2033 MW</t>
  </si>
  <si>
    <t>2034 MW</t>
  </si>
  <si>
    <t>2035 MW</t>
  </si>
  <si>
    <t>2036 MW</t>
  </si>
  <si>
    <t>2037 MW</t>
  </si>
  <si>
    <t>2038 MW</t>
  </si>
  <si>
    <t>2039 MW</t>
  </si>
  <si>
    <t>2040 MW</t>
  </si>
  <si>
    <t>2011 MWh</t>
  </si>
  <si>
    <t>2012 MWh</t>
  </si>
  <si>
    <t>2013 MWh</t>
  </si>
  <si>
    <t>2014 MWh</t>
  </si>
  <si>
    <t>2015 MWh</t>
  </si>
  <si>
    <t>2016 MWh</t>
  </si>
  <si>
    <t>2017 MWh</t>
  </si>
  <si>
    <t>2018 MWh</t>
  </si>
  <si>
    <t>2019 MWh</t>
  </si>
  <si>
    <t>2020 MWh</t>
  </si>
  <si>
    <t>2021 MWh</t>
  </si>
  <si>
    <t>2022 MWh</t>
  </si>
  <si>
    <t>2023 MWh</t>
  </si>
  <si>
    <t>2024 MWh</t>
  </si>
  <si>
    <t>2025 MWh</t>
  </si>
  <si>
    <t>2026 MWh</t>
  </si>
  <si>
    <t>2027 MWh</t>
  </si>
  <si>
    <t>2028 MWh</t>
  </si>
  <si>
    <t>2029 MWh</t>
  </si>
  <si>
    <t>2030 MWh</t>
  </si>
  <si>
    <t>2031 MWh</t>
  </si>
  <si>
    <t>2032 MWh</t>
  </si>
  <si>
    <t>2033 MWh</t>
  </si>
  <si>
    <t>2034 MWh</t>
  </si>
  <si>
    <t>2035 MWh</t>
  </si>
  <si>
    <t>2036 MWh</t>
  </si>
  <si>
    <t>2037 MWh</t>
  </si>
  <si>
    <t>2038 MWh</t>
  </si>
  <si>
    <t>2039 MWh</t>
  </si>
  <si>
    <t>2040 MWh</t>
  </si>
  <si>
    <t>Consumer</t>
  </si>
  <si>
    <t>Appliance Exchange</t>
  </si>
  <si>
    <t>Whitby Hydro Electric Corporation</t>
  </si>
  <si>
    <t>WAC Exchange</t>
  </si>
  <si>
    <t>Dehumidifier Exchange</t>
  </si>
  <si>
    <t>Appliance Retirement</t>
  </si>
  <si>
    <t>Window Air Conditioner - Home Pickup</t>
  </si>
  <si>
    <t>Dehumidifier - Home Pickup</t>
  </si>
  <si>
    <t>Freezer - Home Pickup</t>
  </si>
  <si>
    <t>Fridge - Home Pickup</t>
  </si>
  <si>
    <t>Freezer Replacement - Retailer Pickup</t>
  </si>
  <si>
    <t>Fridge Replacement - Retailer Pickup</t>
  </si>
  <si>
    <t>Bi-Annual Retailer Event</t>
  </si>
  <si>
    <t>3 pipe wraps for hot water pipes</t>
  </si>
  <si>
    <t>ENERGY STAR qualified ceiling fans</t>
  </si>
  <si>
    <t>ES indoor light fixtures 1 or 2 sockets</t>
  </si>
  <si>
    <t>ES indoor light fixtures 3+ sockets</t>
  </si>
  <si>
    <t>ES specialty CFL lgt bulbs 1-2 pks</t>
  </si>
  <si>
    <t>ES specialty CFL lgt bulbs multipks 3+</t>
  </si>
  <si>
    <t>ES standard spiral CFL lgt bulbs 1-3pks</t>
  </si>
  <si>
    <t>ES standard spiral CFL lgt bulbs 4+ pks</t>
  </si>
  <si>
    <t>Heavy-duty outdoor timers</t>
  </si>
  <si>
    <t>Indoor mt sensors/dim switch/timers 1pks</t>
  </si>
  <si>
    <t>Indoor mt sensors/dim switch/timers 2+pk</t>
  </si>
  <si>
    <t>Insulation blankets for elect water htrs</t>
  </si>
  <si>
    <t>Outdoor umbrella stnd or clothesline kts</t>
  </si>
  <si>
    <t>Power bars with timer or auto-shutoff</t>
  </si>
  <si>
    <t>Prog therms electric bsbrd htr 1/dbl pks</t>
  </si>
  <si>
    <t>Prog therms electric bsbrd htr 3+ pks</t>
  </si>
  <si>
    <t>Weatherstripping (door frame kits)</t>
  </si>
  <si>
    <t>Weatherstripping (foam or V-strip packs)</t>
  </si>
  <si>
    <t>Conservation Instant Coupon Booklet</t>
  </si>
  <si>
    <t>C&amp;I</t>
  </si>
  <si>
    <t>Direct Install Lighting</t>
  </si>
  <si>
    <t>Business</t>
  </si>
  <si>
    <t>Efficiency: Equipment Replacement</t>
  </si>
  <si>
    <t>Custom</t>
  </si>
  <si>
    <t>Engineered</t>
  </si>
  <si>
    <t>Prescriptive</t>
  </si>
  <si>
    <t>Industrial</t>
  </si>
  <si>
    <t>Efficiency: Equipment Replacement Incentive (part of the C&amp;I program schedule)</t>
  </si>
  <si>
    <t>Pre-2011 Programs Completed in 2011</t>
  </si>
  <si>
    <t>Electricity Retrofit Incentive Program</t>
  </si>
  <si>
    <t>High Performance New Construction</t>
  </si>
  <si>
    <t>HVAC Incentives</t>
  </si>
  <si>
    <t>Furnace with ECM</t>
  </si>
  <si>
    <t>Tier 1 – Energy Star® Central Air Conditioner – SEER 14.5</t>
  </si>
  <si>
    <t>Tier 2 – Energy Star® Central Air Conditioner – SEER 15</t>
  </si>
  <si>
    <t>Retailer Co-op</t>
  </si>
  <si>
    <t xml:space="preserve">ES specialty CFL lgt bulbs 1-2 pks  </t>
  </si>
  <si>
    <t>Demand Response 3 (part of the Industrial program schedule)</t>
  </si>
  <si>
    <t>Demand Response 3</t>
  </si>
  <si>
    <t>NTG Ratio (Energy)</t>
  </si>
  <si>
    <t>NTG Ratio (Summer Demand)</t>
  </si>
  <si>
    <t>Activity/Participation</t>
  </si>
  <si>
    <t>Customer Class</t>
  </si>
  <si>
    <t>Residential</t>
  </si>
  <si>
    <t>Row Labels</t>
  </si>
  <si>
    <t>Grand Total</t>
  </si>
  <si>
    <t>Sum of 2011 MW</t>
  </si>
  <si>
    <t>Sum of 2012 MW</t>
  </si>
  <si>
    <t>Sum of 2011 MWh</t>
  </si>
  <si>
    <t>Sum of 2012 MWh</t>
  </si>
  <si>
    <t>GS&lt;50kW</t>
  </si>
  <si>
    <t>GS&gt;50kW</t>
  </si>
  <si>
    <t>kWh</t>
  </si>
  <si>
    <t>Distribution</t>
  </si>
  <si>
    <t>LRAM</t>
  </si>
  <si>
    <t>Tax Adj</t>
  </si>
  <si>
    <t>Total</t>
  </si>
  <si>
    <t>Total Lost Revenue for 2011 OPA CDM Programs</t>
  </si>
  <si>
    <t xml:space="preserve">kW </t>
  </si>
  <si>
    <t>Lost Revenue $</t>
  </si>
  <si>
    <t>OPA  Program Results: 2011</t>
  </si>
  <si>
    <t>2011 Lost Revenue Impact</t>
  </si>
  <si>
    <t>2012 Lost Revenue Impact</t>
  </si>
  <si>
    <t>2013 Lost Revenue Impact</t>
  </si>
  <si>
    <t>Total LRAM VA for 2013</t>
  </si>
  <si>
    <t>Sum of 2013 MW</t>
  </si>
  <si>
    <t>Sum of 2013 MWh</t>
  </si>
  <si>
    <t xml:space="preserve"> </t>
  </si>
  <si>
    <t>Sum of 2014 MW</t>
  </si>
  <si>
    <t>Sum of 2014 MWh</t>
  </si>
  <si>
    <t>2014 Lost Revenue Impact</t>
  </si>
  <si>
    <t>Total LRAM VA for 2014</t>
  </si>
  <si>
    <t>Sum of 2015 MW</t>
  </si>
  <si>
    <t>Sum of 2015 MWh</t>
  </si>
  <si>
    <t>2015 Lost Revenue Impact</t>
  </si>
  <si>
    <t>Total LRAM VA for 2015</t>
  </si>
  <si>
    <t>Total LRAM VA for 2012</t>
  </si>
  <si>
    <t xml:space="preserve">OEB Approved Rates </t>
  </si>
  <si>
    <t>OEB Approved Rates</t>
  </si>
  <si>
    <t>Billing Adjustment Factor for Summary</t>
  </si>
  <si>
    <t xml:space="preserve">Billing Factor </t>
  </si>
  <si>
    <t>Savings                    (kW or kWh)</t>
  </si>
  <si>
    <t xml:space="preserve">Total Lost Revenue for 2011 </t>
  </si>
  <si>
    <t xml:space="preserve">Savings                    (kW or 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</si>
</sst>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0" fillId="0" borderId="0" xfId="0" applyNumberFormat="1"/>
    <xf numFmtId="0" fontId="0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/>
    <xf numFmtId="4" fontId="0" fillId="0" borderId="0" xfId="0" applyNumberFormat="1" applyAlignment="1">
      <alignment horizontal="right"/>
    </xf>
    <xf numFmtId="40" fontId="0" fillId="0" borderId="0" xfId="0" applyNumberFormat="1"/>
    <xf numFmtId="4" fontId="0" fillId="0" borderId="2" xfId="0" applyNumberFormat="1" applyBorder="1" applyAlignment="1">
      <alignment horizontal="right"/>
    </xf>
    <xf numFmtId="0" fontId="0" fillId="0" borderId="2" xfId="0" applyBorder="1"/>
    <xf numFmtId="40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4" fontId="0" fillId="0" borderId="6" xfId="0" applyNumberFormat="1" applyBorder="1" applyAlignment="1">
      <alignment horizontal="right"/>
    </xf>
    <xf numFmtId="0" fontId="0" fillId="0" borderId="0" xfId="0" applyBorder="1"/>
    <xf numFmtId="4" fontId="0" fillId="0" borderId="0" xfId="0" applyNumberFormat="1" applyBorder="1" applyAlignment="1">
      <alignment horizontal="right"/>
    </xf>
    <xf numFmtId="40" fontId="0" fillId="0" borderId="0" xfId="0" applyNumberFormat="1" applyBorder="1"/>
    <xf numFmtId="0" fontId="5" fillId="0" borderId="0" xfId="0" applyFont="1"/>
    <xf numFmtId="0" fontId="0" fillId="0" borderId="3" xfId="0" applyBorder="1"/>
    <xf numFmtId="4" fontId="0" fillId="0" borderId="3" xfId="0" applyNumberFormat="1" applyBorder="1" applyAlignment="1">
      <alignment horizontal="right"/>
    </xf>
    <xf numFmtId="40" fontId="0" fillId="0" borderId="3" xfId="0" applyNumberFormat="1" applyBorder="1"/>
    <xf numFmtId="0" fontId="0" fillId="0" borderId="4" xfId="0" applyBorder="1"/>
    <xf numFmtId="4" fontId="0" fillId="0" borderId="4" xfId="0" applyNumberFormat="1" applyBorder="1" applyAlignment="1">
      <alignment horizontal="right"/>
    </xf>
    <xf numFmtId="40" fontId="0" fillId="0" borderId="4" xfId="0" applyNumberFormat="1" applyBorder="1"/>
    <xf numFmtId="0" fontId="0" fillId="0" borderId="10" xfId="0" applyBorder="1"/>
    <xf numFmtId="4" fontId="0" fillId="0" borderId="10" xfId="0" applyNumberFormat="1" applyBorder="1" applyAlignment="1">
      <alignment horizontal="right"/>
    </xf>
    <xf numFmtId="40" fontId="0" fillId="0" borderId="10" xfId="0" applyNumberFormat="1" applyBorder="1"/>
    <xf numFmtId="0" fontId="0" fillId="0" borderId="11" xfId="0" applyBorder="1"/>
    <xf numFmtId="0" fontId="0" fillId="0" borderId="12" xfId="0" applyBorder="1"/>
    <xf numFmtId="4" fontId="0" fillId="0" borderId="12" xfId="0" applyNumberFormat="1" applyBorder="1" applyAlignment="1">
      <alignment horizontal="right"/>
    </xf>
    <xf numFmtId="0" fontId="6" fillId="0" borderId="0" xfId="0" applyFont="1"/>
    <xf numFmtId="0" fontId="0" fillId="0" borderId="13" xfId="0" applyBorder="1"/>
    <xf numFmtId="4" fontId="0" fillId="0" borderId="13" xfId="0" applyNumberFormat="1" applyBorder="1" applyAlignment="1">
      <alignment horizontal="right"/>
    </xf>
    <xf numFmtId="40" fontId="0" fillId="0" borderId="13" xfId="0" applyNumberFormat="1" applyBorder="1"/>
    <xf numFmtId="0" fontId="0" fillId="0" borderId="14" xfId="0" applyBorder="1"/>
    <xf numFmtId="4" fontId="0" fillId="0" borderId="14" xfId="0" applyNumberFormat="1" applyBorder="1" applyAlignment="1">
      <alignment horizontal="right"/>
    </xf>
    <xf numFmtId="40" fontId="0" fillId="0" borderId="14" xfId="0" applyNumberFormat="1" applyBorder="1"/>
    <xf numFmtId="0" fontId="0" fillId="0" borderId="15" xfId="0" applyBorder="1"/>
    <xf numFmtId="4" fontId="0" fillId="0" borderId="15" xfId="0" applyNumberFormat="1" applyBorder="1" applyAlignment="1">
      <alignment horizontal="right"/>
    </xf>
    <xf numFmtId="40" fontId="0" fillId="0" borderId="15" xfId="0" applyNumberFormat="1" applyBorder="1"/>
    <xf numFmtId="0" fontId="0" fillId="0" borderId="16" xfId="0" applyBorder="1" applyAlignment="1">
      <alignment horizontal="left" indent="2"/>
    </xf>
    <xf numFmtId="0" fontId="0" fillId="0" borderId="17" xfId="0" applyBorder="1" applyAlignment="1">
      <alignment horizontal="left" indent="2"/>
    </xf>
    <xf numFmtId="0" fontId="0" fillId="0" borderId="18" xfId="0" applyBorder="1" applyAlignment="1">
      <alignment horizontal="left" indent="2"/>
    </xf>
    <xf numFmtId="40" fontId="0" fillId="0" borderId="0" xfId="0" applyNumberFormat="1" applyFill="1"/>
    <xf numFmtId="0" fontId="0" fillId="0" borderId="0" xfId="0" applyFill="1"/>
    <xf numFmtId="0" fontId="0" fillId="0" borderId="20" xfId="0" applyBorder="1" applyAlignment="1">
      <alignment horizontal="left" indent="2"/>
    </xf>
    <xf numFmtId="4" fontId="0" fillId="0" borderId="19" xfId="0" applyNumberFormat="1" applyBorder="1" applyAlignment="1">
      <alignment horizontal="right"/>
    </xf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4" fontId="0" fillId="2" borderId="0" xfId="0" applyNumberFormat="1" applyFill="1" applyAlignment="1">
      <alignment horizontal="right"/>
    </xf>
    <xf numFmtId="0" fontId="0" fillId="2" borderId="0" xfId="0" applyFill="1"/>
    <xf numFmtId="40" fontId="0" fillId="2" borderId="0" xfId="0" applyNumberFormat="1" applyFill="1"/>
    <xf numFmtId="0" fontId="6" fillId="2" borderId="0" xfId="0" applyFont="1" applyFill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4" fontId="0" fillId="2" borderId="2" xfId="0" applyNumberFormat="1" applyFill="1" applyBorder="1" applyAlignment="1">
      <alignment horizontal="right"/>
    </xf>
    <xf numFmtId="40" fontId="0" fillId="2" borderId="2" xfId="0" applyNumberFormat="1" applyFill="1" applyBorder="1"/>
    <xf numFmtId="0" fontId="0" fillId="2" borderId="5" xfId="0" applyFill="1" applyBorder="1"/>
    <xf numFmtId="0" fontId="0" fillId="2" borderId="6" xfId="0" applyFill="1" applyBorder="1"/>
    <xf numFmtId="4" fontId="0" fillId="2" borderId="6" xfId="0" applyNumberFormat="1" applyFill="1" applyBorder="1" applyAlignment="1">
      <alignment horizontal="right"/>
    </xf>
    <xf numFmtId="0" fontId="0" fillId="2" borderId="0" xfId="0" applyFill="1" applyBorder="1"/>
    <xf numFmtId="4" fontId="0" fillId="2" borderId="0" xfId="0" applyNumberFormat="1" applyFill="1" applyBorder="1" applyAlignment="1">
      <alignment horizontal="right"/>
    </xf>
    <xf numFmtId="40" fontId="0" fillId="2" borderId="0" xfId="0" applyNumberFormat="1" applyFill="1" applyBorder="1"/>
    <xf numFmtId="0" fontId="0" fillId="2" borderId="8" xfId="0" applyFill="1" applyBorder="1"/>
    <xf numFmtId="0" fontId="0" fillId="2" borderId="9" xfId="0" applyFill="1" applyBorder="1"/>
    <xf numFmtId="4" fontId="0" fillId="2" borderId="9" xfId="0" applyNumberFormat="1" applyFill="1" applyBorder="1" applyAlignment="1">
      <alignment horizontal="right"/>
    </xf>
    <xf numFmtId="40" fontId="0" fillId="2" borderId="7" xfId="0" applyNumberFormat="1" applyFill="1" applyBorder="1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NumberFormat="1" applyFill="1"/>
    <xf numFmtId="0" fontId="0" fillId="0" borderId="0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NumberFormat="1" applyFill="1"/>
    <xf numFmtId="39" fontId="0" fillId="0" borderId="0" xfId="0" applyNumberFormat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0" fontId="0" fillId="2" borderId="3" xfId="0" applyNumberForma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0" fillId="2" borderId="3" xfId="0" applyFont="1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4" fontId="0" fillId="2" borderId="3" xfId="0" applyNumberFormat="1" applyFill="1" applyBorder="1" applyAlignment="1">
      <alignment horizontal="center" wrapText="1"/>
    </xf>
    <xf numFmtId="0" fontId="0" fillId="2" borderId="4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/>
    <xf numFmtId="40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4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0" fontId="0" fillId="0" borderId="12" xfId="0" applyNumberFormat="1" applyBorder="1"/>
  </cellXfs>
  <cellStyles count="2">
    <cellStyle name="Normal" xfId="0" builtinId="0"/>
    <cellStyle name="Percent" xfId="1" builtinId="5"/>
  </cellStyles>
  <dxfs count="4"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y Perrin" refreshedDate="42468.485571412035" createdVersion="4" refreshedVersion="4" minRefreshableVersion="3" recordCount="64">
  <cacheSource type="worksheet">
    <worksheetSource ref="A3:BS67" sheet="OPA Data"/>
  </cacheSource>
  <cacheFields count="71">
    <cacheField name="Customer Class" numFmtId="0">
      <sharedItems count="6">
        <s v="GS&lt;50kW"/>
        <s v="GS&gt;50kW"/>
        <s v="Residential"/>
        <s v="GS&lt;50" u="1"/>
        <s v="GS&gt;50" u="1"/>
        <s v="Res" u="1"/>
      </sharedItems>
    </cacheField>
    <cacheField name="Program" numFmtId="0">
      <sharedItems count="4">
        <s v="Business"/>
        <s v="Industrial"/>
        <s v="Pre-2011 Programs Completed in 2011"/>
        <s v="Consumer"/>
      </sharedItems>
    </cacheField>
    <cacheField name="Initiative" numFmtId="0">
      <sharedItems count="13">
        <s v="Direct Install Lighting"/>
        <s v="Efficiency: Equipment Replacement"/>
        <s v="Efficiency: Equipment Replacement Incentive (part of the C&amp;I program schedule)"/>
        <s v="Electricity Retrofit Incentive Program"/>
        <s v="High Performance New Construction"/>
        <s v="Demand Response 3 (part of the Industrial program schedule)"/>
        <s v="Demand Response 3"/>
        <s v="Appliance Exchange"/>
        <s v="Appliance Retirement"/>
        <s v="Bi-Annual Retailer Event"/>
        <s v="Conservation Instant Coupon Booklet"/>
        <s v="HVAC Incentives"/>
        <s v="Retailer Co-op"/>
      </sharedItems>
    </cacheField>
    <cacheField name="Measure " numFmtId="0">
      <sharedItems containsBlank="1"/>
    </cacheField>
    <cacheField name="Track" numFmtId="0">
      <sharedItems containsBlank="1"/>
    </cacheField>
    <cacheField name="Activity/Participation" numFmtId="3">
      <sharedItems containsSemiMixedTypes="0" containsString="0" containsNumber="1" minValue="0" maxValue="3723.6120856063872"/>
    </cacheField>
    <cacheField name="EUL" numFmtId="1">
      <sharedItems containsSemiMixedTypes="0" containsString="0" containsNumber="1" minValue="1" maxValue="25"/>
    </cacheField>
    <cacheField name="Realization Rate (Energy)" numFmtId="0">
      <sharedItems containsString="0" containsBlank="1" containsNumber="1" minValue="0.76439468964765489" maxValue="1.3530152209425181"/>
    </cacheField>
    <cacheField name="Realization Rate (Summer Demand)" numFmtId="0">
      <sharedItems containsString="0" containsBlank="1" containsNumber="1" minValue="0.77" maxValue="1.0759581849200779"/>
    </cacheField>
    <cacheField name="NTG Ratio (Energy)" numFmtId="0">
      <sharedItems containsString="0" containsBlank="1" containsNumber="1" minValue="0.217" maxValue="1.45"/>
    </cacheField>
    <cacheField name="NTG Ratio (Summer Demand)" numFmtId="0">
      <sharedItems containsString="0" containsBlank="1" containsNumber="1" minValue="0.217" maxValue="1.45"/>
    </cacheField>
    <cacheField name="2011 MW" numFmtId="0">
      <sharedItems containsSemiMixedTypes="0" containsString="0" containsNumber="1" minValue="0" maxValue="0.2544113849114914"/>
    </cacheField>
    <cacheField name="2012 MW" numFmtId="0">
      <sharedItems containsSemiMixedTypes="0" containsString="0" containsNumber="1" minValue="0" maxValue="0.2544113849114914"/>
    </cacheField>
    <cacheField name="2013 MW" numFmtId="0">
      <sharedItems containsSemiMixedTypes="0" containsString="0" containsNumber="1" minValue="0" maxValue="0.2544113849114914"/>
    </cacheField>
    <cacheField name="2014 MW" numFmtId="0">
      <sharedItems containsSemiMixedTypes="0" containsString="0" containsNumber="1" minValue="0" maxValue="0.2544113849114914"/>
    </cacheField>
    <cacheField name="2015 MW" numFmtId="0">
      <sharedItems containsSemiMixedTypes="0" containsString="0" containsNumber="1" minValue="0" maxValue="0.2544113849114914"/>
    </cacheField>
    <cacheField name="2016 MW" numFmtId="0">
      <sharedItems containsSemiMixedTypes="0" containsString="0" containsNumber="1" minValue="0" maxValue="0.2544113849114914"/>
    </cacheField>
    <cacheField name="2017 MW" numFmtId="0">
      <sharedItems containsSemiMixedTypes="0" containsString="0" containsNumber="1" minValue="0" maxValue="0.2544113849114914"/>
    </cacheField>
    <cacheField name="2018 MW" numFmtId="0">
      <sharedItems containsSemiMixedTypes="0" containsString="0" containsNumber="1" minValue="0" maxValue="0.2544113849114914"/>
    </cacheField>
    <cacheField name="2019 MW" numFmtId="0">
      <sharedItems containsSemiMixedTypes="0" containsString="0" containsNumber="1" minValue="0" maxValue="0.2544113849114914"/>
    </cacheField>
    <cacheField name="2020 MW" numFmtId="0">
      <sharedItems containsSemiMixedTypes="0" containsString="0" containsNumber="1" minValue="0" maxValue="0.2544113849114914"/>
    </cacheField>
    <cacheField name="2021 MW" numFmtId="0">
      <sharedItems containsSemiMixedTypes="0" containsString="0" containsNumber="1" minValue="0" maxValue="0.2544113849114914"/>
    </cacheField>
    <cacheField name="2022 MW" numFmtId="0">
      <sharedItems containsSemiMixedTypes="0" containsString="0" containsNumber="1" minValue="0" maxValue="0.2544113849114914"/>
    </cacheField>
    <cacheField name="2023 MW" numFmtId="0">
      <sharedItems containsSemiMixedTypes="0" containsString="0" containsNumber="1" minValue="0" maxValue="0.2544113849114914"/>
    </cacheField>
    <cacheField name="2024 MW" numFmtId="0">
      <sharedItems containsSemiMixedTypes="0" containsString="0" containsNumber="1" minValue="0" maxValue="0.2544113849114914"/>
    </cacheField>
    <cacheField name="2025 MW" numFmtId="0">
      <sharedItems containsSemiMixedTypes="0" containsString="0" containsNumber="1" minValue="0" maxValue="0.2544113849114914"/>
    </cacheField>
    <cacheField name="2026 MW" numFmtId="0">
      <sharedItems containsSemiMixedTypes="0" containsString="0" containsNumber="1" minValue="0" maxValue="0.2544113849114914"/>
    </cacheField>
    <cacheField name="2027 MW" numFmtId="0">
      <sharedItems containsSemiMixedTypes="0" containsString="0" containsNumber="1" minValue="0" maxValue="0.2544113849114914"/>
    </cacheField>
    <cacheField name="2028 MW" numFmtId="0">
      <sharedItems containsSemiMixedTypes="0" containsString="0" containsNumber="1" minValue="0" maxValue="0.2544113849114914"/>
    </cacheField>
    <cacheField name="2029 MW" numFmtId="0">
      <sharedItems containsSemiMixedTypes="0" containsString="0" containsNumber="1" minValue="0" maxValue="0.2544113849114914"/>
    </cacheField>
    <cacheField name="2030 MW" numFmtId="0">
      <sharedItems containsSemiMixedTypes="0" containsString="0" containsNumber="1" minValue="0" maxValue="4.140446574485951E-4"/>
    </cacheField>
    <cacheField name="2031 MW" numFmtId="0">
      <sharedItems containsSemiMixedTypes="0" containsString="0" containsNumber="1" minValue="0" maxValue="4.140446574485951E-4"/>
    </cacheField>
    <cacheField name="2032 MW" numFmtId="0">
      <sharedItems containsSemiMixedTypes="0" containsString="0" containsNumber="1" minValue="0" maxValue="4.140446574485951E-4"/>
    </cacheField>
    <cacheField name="2033 MW" numFmtId="0">
      <sharedItems containsSemiMixedTypes="0" containsString="0" containsNumber="1" minValue="0" maxValue="4.140446574485951E-4"/>
    </cacheField>
    <cacheField name="2034 MW" numFmtId="0">
      <sharedItems containsSemiMixedTypes="0" containsString="0" containsNumber="1" minValue="0" maxValue="4.140446574485951E-4"/>
    </cacheField>
    <cacheField name="2035 MW" numFmtId="0">
      <sharedItems containsSemiMixedTypes="0" containsString="0" containsNumber="1" minValue="0" maxValue="4.140446574485951E-4"/>
    </cacheField>
    <cacheField name="2036 MW" numFmtId="0">
      <sharedItems containsSemiMixedTypes="0" containsString="0" containsNumber="1" minValue="0" maxValue="4.140446574485951E-4"/>
    </cacheField>
    <cacheField name="2037 MW" numFmtId="0">
      <sharedItems containsSemiMixedTypes="0" containsString="0" containsNumber="1" containsInteger="1" minValue="0" maxValue="0"/>
    </cacheField>
    <cacheField name="2038 MW" numFmtId="0">
      <sharedItems containsSemiMixedTypes="0" containsString="0" containsNumber="1" containsInteger="1" minValue="0" maxValue="0"/>
    </cacheField>
    <cacheField name="2039 MW" numFmtId="0">
      <sharedItems containsSemiMixedTypes="0" containsString="0" containsNumber="1" containsInteger="1" minValue="0" maxValue="0"/>
    </cacheField>
    <cacheField name="2040 MW" numFmtId="0">
      <sharedItems containsSemiMixedTypes="0" containsString="0" containsNumber="1" containsInteger="1" minValue="0" maxValue="0"/>
    </cacheField>
    <cacheField name="2011 MWh" numFmtId="0">
      <sharedItems containsSemiMixedTypes="0" containsString="0" containsNumber="1" minValue="0" maxValue="522.78506246113943"/>
    </cacheField>
    <cacheField name="2012 MWh" numFmtId="0">
      <sharedItems containsSemiMixedTypes="0" containsString="0" containsNumber="1" minValue="0" maxValue="522.78506246113943"/>
    </cacheField>
    <cacheField name="2013 MWh" numFmtId="0">
      <sharedItems containsSemiMixedTypes="0" containsString="0" containsNumber="1" minValue="0" maxValue="522.78506246113943"/>
    </cacheField>
    <cacheField name="2014 MWh" numFmtId="0">
      <sharedItems containsSemiMixedTypes="0" containsString="0" containsNumber="1" minValue="0" maxValue="522.78506246113943"/>
    </cacheField>
    <cacheField name="2015 MWh" numFmtId="0">
      <sharedItems containsSemiMixedTypes="0" containsString="0" containsNumber="1" minValue="0" maxValue="522.78506246113943"/>
    </cacheField>
    <cacheField name="2016 MWh" numFmtId="0">
      <sharedItems containsSemiMixedTypes="0" containsString="0" containsNumber="1" minValue="0" maxValue="522.78506246113943"/>
    </cacheField>
    <cacheField name="2017 MWh" numFmtId="0">
      <sharedItems containsSemiMixedTypes="0" containsString="0" containsNumber="1" minValue="0" maxValue="522.78506246113943"/>
    </cacheField>
    <cacheField name="2018 MWh" numFmtId="0">
      <sharedItems containsSemiMixedTypes="0" containsString="0" containsNumber="1" minValue="0" maxValue="522.78506246113943"/>
    </cacheField>
    <cacheField name="2019 MWh" numFmtId="0">
      <sharedItems containsSemiMixedTypes="0" containsString="0" containsNumber="1" minValue="0" maxValue="522.78506246113943"/>
    </cacheField>
    <cacheField name="2020 MWh" numFmtId="0">
      <sharedItems containsSemiMixedTypes="0" containsString="0" containsNumber="1" minValue="0" maxValue="522.78506246113943"/>
    </cacheField>
    <cacheField name="2021 MWh" numFmtId="0">
      <sharedItems containsSemiMixedTypes="0" containsString="0" containsNumber="1" minValue="0" maxValue="522.78506246113943"/>
    </cacheField>
    <cacheField name="2022 MWh" numFmtId="0">
      <sharedItems containsSemiMixedTypes="0" containsString="0" containsNumber="1" minValue="0" maxValue="522.78506246113943"/>
    </cacheField>
    <cacheField name="2023 MWh" numFmtId="0">
      <sharedItems containsSemiMixedTypes="0" containsString="0" containsNumber="1" minValue="0" maxValue="522.78506246113943"/>
    </cacheField>
    <cacheField name="2024 MWh" numFmtId="0">
      <sharedItems containsSemiMixedTypes="0" containsString="0" containsNumber="1" minValue="0" maxValue="522.78506246113943"/>
    </cacheField>
    <cacheField name="2025 MWh" numFmtId="0">
      <sharedItems containsSemiMixedTypes="0" containsString="0" containsNumber="1" minValue="0" maxValue="522.78506246113943"/>
    </cacheField>
    <cacheField name="2026 MWh" numFmtId="0">
      <sharedItems containsSemiMixedTypes="0" containsString="0" containsNumber="1" minValue="0" maxValue="522.78506246113943"/>
    </cacheField>
    <cacheField name="2027 MWh" numFmtId="0">
      <sharedItems containsSemiMixedTypes="0" containsString="0" containsNumber="1" minValue="0" maxValue="522.78506246113943"/>
    </cacheField>
    <cacheField name="2028 MWh" numFmtId="0">
      <sharedItems containsSemiMixedTypes="0" containsString="0" containsNumber="1" minValue="0" maxValue="522.78506246113943"/>
    </cacheField>
    <cacheField name="2029 MWh" numFmtId="0">
      <sharedItems containsSemiMixedTypes="0" containsString="0" containsNumber="1" minValue="0" maxValue="522.78506246113943"/>
    </cacheField>
    <cacheField name="2030 MWh" numFmtId="0">
      <sharedItems containsSemiMixedTypes="0" containsString="0" containsNumber="1" minValue="0" maxValue="2.1265333606559844"/>
    </cacheField>
    <cacheField name="2031 MWh" numFmtId="0">
      <sharedItems containsSemiMixedTypes="0" containsString="0" containsNumber="1" minValue="0" maxValue="2.1265333606559844"/>
    </cacheField>
    <cacheField name="2032 MWh" numFmtId="0">
      <sharedItems containsSemiMixedTypes="0" containsString="0" containsNumber="1" minValue="0" maxValue="2.1265333606559844"/>
    </cacheField>
    <cacheField name="2033 MWh" numFmtId="0">
      <sharedItems containsSemiMixedTypes="0" containsString="0" containsNumber="1" minValue="0" maxValue="2.1265333606559844"/>
    </cacheField>
    <cacheField name="2034 MWh" numFmtId="0">
      <sharedItems containsSemiMixedTypes="0" containsString="0" containsNumber="1" minValue="0" maxValue="2.1265333606559844"/>
    </cacheField>
    <cacheField name="2035 MWh" numFmtId="0">
      <sharedItems containsSemiMixedTypes="0" containsString="0" containsNumber="1" minValue="0" maxValue="2.1265333606559844"/>
    </cacheField>
    <cacheField name="2036 MWh" numFmtId="0">
      <sharedItems containsSemiMixedTypes="0" containsString="0" containsNumber="1" minValue="0" maxValue="2.1265333606559844"/>
    </cacheField>
    <cacheField name="2037 MWh" numFmtId="0">
      <sharedItems containsSemiMixedTypes="0" containsString="0" containsNumber="1" containsInteger="1" minValue="0" maxValue="0"/>
    </cacheField>
    <cacheField name="2038 MWh" numFmtId="0">
      <sharedItems containsSemiMixedTypes="0" containsString="0" containsNumber="1" containsInteger="1" minValue="0" maxValue="0"/>
    </cacheField>
    <cacheField name="2039 MWh" numFmtId="0">
      <sharedItems containsSemiMixedTypes="0" containsString="0" containsNumber="1" containsInteger="1" minValue="0" maxValue="0"/>
    </cacheField>
    <cacheField name="2040 MWh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x v="0"/>
    <x v="0"/>
    <m/>
    <m/>
    <n v="17"/>
    <n v="6.7032002047826946"/>
    <n v="0.89504473906375259"/>
    <n v="1.0759581849200779"/>
    <n v="0.92853912100348235"/>
    <n v="0.92547823167093235"/>
    <n v="2.1841422079401013E-2"/>
    <n v="2.1841422079401013E-2"/>
    <n v="2.0957718395542776E-2"/>
    <n v="1.8465604877700062E-2"/>
    <n v="1.8465604877700062E-2"/>
    <n v="1.823001407002451E-2"/>
    <n v="9.6614295891200731E-3"/>
    <n v="7.6221133956010699E-3"/>
    <n v="7.6221133956010699E-3"/>
    <n v="7.6221133956010699E-3"/>
    <n v="7.5910051824795944E-3"/>
    <n v="7.5910051824795944E-3"/>
    <n v="6.2216426242952703E-3"/>
    <n v="6.2216426242952703E-3"/>
    <n v="6.2216426242952703E-3"/>
    <n v="0"/>
    <n v="0"/>
    <n v="0"/>
    <n v="0"/>
    <n v="0"/>
    <n v="0"/>
    <n v="0"/>
    <n v="0"/>
    <n v="0"/>
    <n v="0"/>
    <n v="0"/>
    <n v="0"/>
    <n v="0"/>
    <n v="0"/>
    <n v="0"/>
    <n v="43.921704200372815"/>
    <n v="43.921704200372815"/>
    <n v="41.453416326384882"/>
    <n v="33.345943398082667"/>
    <n v="33.345943398082667"/>
    <n v="32.800301396948392"/>
    <n v="9.9465708344624684"/>
    <n v="8.4157863840534013"/>
    <n v="8.4157863840534013"/>
    <n v="8.4157863840534013"/>
    <n v="8.2112320686800935"/>
    <n v="8.2112320686800935"/>
    <n v="4.670189848705629"/>
    <n v="4.670189848705629"/>
    <n v="4.670189848705629"/>
    <n v="0"/>
    <n v="0"/>
    <n v="0"/>
    <n v="0"/>
    <n v="0"/>
    <n v="0"/>
    <n v="0"/>
    <n v="0"/>
    <n v="0"/>
    <n v="0"/>
    <n v="0"/>
    <n v="0"/>
    <n v="0"/>
    <n v="0"/>
    <n v="0"/>
  </r>
  <r>
    <x v="1"/>
    <x v="0"/>
    <x v="1"/>
    <s v="C&amp;I"/>
    <s v="Custom"/>
    <n v="4"/>
    <n v="13.959052546775407"/>
    <n v="0.95719026523845097"/>
    <n v="1.0580492940562609"/>
    <n v="0.659464079616217"/>
    <n v="0.64636886265645865"/>
    <n v="2.2531238688056607E-2"/>
    <n v="2.2531238688056607E-2"/>
    <n v="2.2531238688056607E-2"/>
    <n v="2.2531238688056607E-2"/>
    <n v="2.2531238688056607E-2"/>
    <n v="2.2531238688056607E-2"/>
    <n v="2.2531238688056607E-2"/>
    <n v="2.2531238688056607E-2"/>
    <n v="2.2531238688056607E-2"/>
    <n v="2.2531238688056607E-2"/>
    <n v="2.2531238688056607E-2"/>
    <n v="2.2531238688056607E-2"/>
    <n v="2.2531238688056607E-2"/>
    <n v="2.2531238688056607E-2"/>
    <n v="0"/>
    <n v="0"/>
    <n v="0"/>
    <n v="0"/>
    <n v="0"/>
    <n v="0"/>
    <n v="0"/>
    <n v="0"/>
    <n v="0"/>
    <n v="0"/>
    <n v="0"/>
    <n v="0"/>
    <n v="0"/>
    <n v="0"/>
    <n v="0"/>
    <n v="0"/>
    <n v="135.93972722049446"/>
    <n v="135.93972722049446"/>
    <n v="135.93972722049446"/>
    <n v="135.93972722049446"/>
    <n v="135.93972722049446"/>
    <n v="135.93972722049446"/>
    <n v="135.93972722049446"/>
    <n v="135.93972722049446"/>
    <n v="135.93972722049446"/>
    <n v="135.93972722049446"/>
    <n v="135.93972722049446"/>
    <n v="135.93972722049446"/>
    <n v="135.93972722049446"/>
    <n v="135.93972722049446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0"/>
    <x v="1"/>
    <s v="C&amp;I"/>
    <s v="Engineered"/>
    <n v="3"/>
    <n v="7.3592297456241038"/>
    <n v="0.76439468964765489"/>
    <n v="0.86618436348283745"/>
    <n v="0.79676963547568291"/>
    <n v="0.73391032796985012"/>
    <n v="4.6469790635909905E-2"/>
    <n v="4.6469790635909905E-2"/>
    <n v="4.6469790635909905E-2"/>
    <n v="4.6469790635909905E-2"/>
    <n v="4.6469790635909905E-2"/>
    <n v="4.6469790635909905E-2"/>
    <n v="4.6469790635909905E-2"/>
    <n v="4.6469790635909905E-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0.8817999146371"/>
    <n v="200.8817999146371"/>
    <n v="200.8817999146371"/>
    <n v="200.8817999146371"/>
    <n v="200.8817999146371"/>
    <n v="200.8817999146371"/>
    <n v="200.8817999146371"/>
    <n v="200.88179991463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0"/>
    <x v="1"/>
    <s v="C&amp;I"/>
    <s v="Prescriptive"/>
    <n v="2"/>
    <n v="11.524909230172993"/>
    <n v="1.3530152209425181"/>
    <n v="0.93467411405774281"/>
    <n v="0.763941640536135"/>
    <n v="0.74777996763436583"/>
    <n v="7.2815985556247062E-2"/>
    <n v="7.2815985556247062E-2"/>
    <n v="7.2815985556247062E-2"/>
    <n v="7.2815985556247062E-2"/>
    <n v="7.2815985556247062E-2"/>
    <n v="7.2815985556247062E-2"/>
    <n v="7.2815985556247062E-2"/>
    <n v="7.2815985556247062E-2"/>
    <n v="7.2815985556247062E-2"/>
    <n v="7.2815985556247062E-2"/>
    <n v="7.2815985556247062E-2"/>
    <n v="7.2815985556247062E-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87.99552302889236"/>
    <n v="487.99552302889236"/>
    <n v="487.99552302889236"/>
    <n v="487.99552302889236"/>
    <n v="487.99552302889236"/>
    <n v="487.99552302889236"/>
    <n v="487.99552302889236"/>
    <n v="487.99552302889236"/>
    <n v="487.99552302889236"/>
    <n v="487.99552302889236"/>
    <n v="487.99552302889236"/>
    <n v="487.99552302889236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1"/>
    <x v="2"/>
    <s v="Industrial"/>
    <s v="Prescriptive"/>
    <n v="10"/>
    <n v="11.524909230172993"/>
    <n v="1.3530152209425181"/>
    <n v="0.93467411405774281"/>
    <n v="0.763941640536135"/>
    <n v="0.74777996763436583"/>
    <n v="5.859204934792716E-2"/>
    <n v="5.859204934792716E-2"/>
    <n v="5.859204934792716E-2"/>
    <n v="5.859204934792716E-2"/>
    <n v="5.859204934792716E-2"/>
    <n v="5.859204934792716E-2"/>
    <n v="5.859204934792716E-2"/>
    <n v="5.859204934792716E-2"/>
    <n v="5.859204934792716E-2"/>
    <n v="5.859204934792716E-2"/>
    <n v="5.859204934792716E-2"/>
    <n v="5.859204934792716E-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64.10788337864739"/>
    <n v="364.10788337864739"/>
    <n v="364.10788337864739"/>
    <n v="364.10788337864739"/>
    <n v="364.10788337864739"/>
    <n v="364.10788337864739"/>
    <n v="364.10788337864739"/>
    <n v="364.10788337864739"/>
    <n v="364.10788337864739"/>
    <n v="364.10788337864739"/>
    <n v="364.10788337864739"/>
    <n v="364.10788337864739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3"/>
    <s v="C&amp;I"/>
    <m/>
    <n v="14"/>
    <n v="12.856999999999999"/>
    <n v="0.77"/>
    <n v="0.77"/>
    <n v="0.52"/>
    <n v="0.52"/>
    <n v="9.0079109120000014E-2"/>
    <n v="9.0079109120000014E-2"/>
    <n v="9.0079109120000014E-2"/>
    <n v="9.0079109120000014E-2"/>
    <n v="9.0079109120000014E-2"/>
    <n v="9.0079109120000014E-2"/>
    <n v="9.0079109120000014E-2"/>
    <n v="9.0079109120000014E-2"/>
    <n v="9.0079109120000014E-2"/>
    <n v="9.0079109120000014E-2"/>
    <n v="9.0079109120000014E-2"/>
    <n v="9.0079109120000014E-2"/>
    <n v="9.0079109120000014E-2"/>
    <n v="0"/>
    <n v="0"/>
    <n v="0"/>
    <n v="0"/>
    <n v="0"/>
    <n v="0"/>
    <n v="0"/>
    <n v="0"/>
    <n v="0"/>
    <n v="0"/>
    <n v="0"/>
    <n v="0"/>
    <n v="0"/>
    <n v="0"/>
    <n v="0"/>
    <n v="0"/>
    <n v="0"/>
    <n v="499.57219991078404"/>
    <n v="499.57219991078404"/>
    <n v="499.57219991078404"/>
    <n v="499.57219991078404"/>
    <n v="499.57219991078404"/>
    <n v="499.57219991078404"/>
    <n v="499.57219991078404"/>
    <n v="499.57219991078404"/>
    <n v="499.57219991078404"/>
    <n v="499.57219991078404"/>
    <n v="499.57219991078404"/>
    <n v="499.57219991078404"/>
    <n v="499.57219991078404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4"/>
    <s v="Prescriptive"/>
    <m/>
    <n v="1"/>
    <n v="14"/>
    <n v="1"/>
    <n v="1"/>
    <n v="0.5"/>
    <n v="0.5"/>
    <n v="7.1250000000000003E-3"/>
    <n v="7.1250000000000003E-3"/>
    <n v="7.1250000000000003E-3"/>
    <n v="7.1250000000000003E-3"/>
    <n v="7.1250000000000003E-3"/>
    <n v="7.1250000000000003E-3"/>
    <n v="7.1250000000000003E-3"/>
    <n v="7.1250000000000003E-3"/>
    <n v="7.1250000000000003E-3"/>
    <n v="7.1250000000000003E-3"/>
    <n v="7.1250000000000003E-3"/>
    <n v="7.1250000000000003E-3"/>
    <n v="7.1250000000000003E-3"/>
    <n v="7.1250000000000003E-3"/>
    <n v="7.1250000000000003E-3"/>
    <n v="0"/>
    <n v="0"/>
    <n v="0"/>
    <n v="0"/>
    <n v="0"/>
    <n v="0"/>
    <n v="0"/>
    <n v="0"/>
    <n v="0"/>
    <n v="0"/>
    <n v="0"/>
    <n v="0"/>
    <n v="0"/>
    <n v="0"/>
    <n v="0"/>
    <n v="36.594000000000001"/>
    <n v="36.594000000000001"/>
    <n v="36.594000000000001"/>
    <n v="36.594000000000001"/>
    <n v="36.594000000000001"/>
    <n v="36.594000000000001"/>
    <n v="36.594000000000001"/>
    <n v="36.594000000000001"/>
    <n v="36.594000000000001"/>
    <n v="36.594000000000001"/>
    <n v="36.594000000000001"/>
    <n v="36.594000000000001"/>
    <n v="36.594000000000001"/>
    <n v="36.594000000000001"/>
    <n v="36.594000000000001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4"/>
    <s v="Custom"/>
    <m/>
    <n v="6.230920352875772E-3"/>
    <n v="25"/>
    <n v="1"/>
    <n v="1"/>
    <n v="0.5"/>
    <n v="0.5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4.140446574485951E-4"/>
    <n v="0"/>
    <n v="0"/>
    <n v="0"/>
    <n v="0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2.1265333606559844"/>
    <n v="0"/>
    <n v="0"/>
    <n v="0"/>
    <n v="0"/>
  </r>
  <r>
    <x v="1"/>
    <x v="0"/>
    <x v="5"/>
    <m/>
    <m/>
    <n v="1"/>
    <n v="1"/>
    <m/>
    <m/>
    <m/>
    <m/>
    <n v="0.1084611999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.234649000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</r>
  <r>
    <x v="1"/>
    <x v="1"/>
    <x v="6"/>
    <m/>
    <m/>
    <n v="2"/>
    <n v="1"/>
    <m/>
    <m/>
    <m/>
    <m/>
    <n v="0.2368155999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3.900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</r>
  <r>
    <x v="2"/>
    <x v="3"/>
    <x v="7"/>
    <s v="WAC Exchange"/>
    <m/>
    <n v="11.806587575150782"/>
    <n v="3"/>
    <n v="1"/>
    <n v="1"/>
    <n v="0.51536512624827746"/>
    <n v="0.51536512624827746"/>
    <n v="1.0039841539517622E-3"/>
    <n v="1.0039841539517622E-3"/>
    <n v="1.0039841539517622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89781726760277092"/>
    <n v="0.89781726760277092"/>
    <n v="0.897817267602770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7"/>
    <s v="Dehumidifier Exchange"/>
    <m/>
    <n v="9.8599374544768352"/>
    <n v="4"/>
    <n v="1"/>
    <n v="1"/>
    <n v="0.51536512624827746"/>
    <n v="0.51536512624827746"/>
    <n v="1.4645690097447052E-3"/>
    <n v="1.4645690097447052E-3"/>
    <n v="1.4645690097447052E-3"/>
    <n v="1.4645690097447052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.6114170178028075"/>
    <n v="2.6114170178028075"/>
    <n v="2.6114170178028075"/>
    <n v="2.61141701780280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8"/>
    <s v="Window Air Conditioner - Home Pickup"/>
    <m/>
    <n v="3"/>
    <n v="3"/>
    <n v="1"/>
    <n v="1"/>
    <n v="0.377"/>
    <n v="0.377"/>
    <n v="3.3842565171961453E-4"/>
    <n v="3.3842565171961453E-4"/>
    <n v="3.3842565171961453E-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30263863500000004"/>
    <n v="0.30263863500000004"/>
    <n v="0.302638635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8"/>
    <s v="Dehumidifier - Home Pickup"/>
    <m/>
    <n v="3.6467341306347727"/>
    <n v="4"/>
    <n v="1"/>
    <n v="1"/>
    <n v="0.377"/>
    <n v="0.377"/>
    <n v="5.9105019629769227E-4"/>
    <n v="5.9105019629769227E-4"/>
    <n v="5.9105019629769227E-4"/>
    <n v="5.9105019629769227E-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0538790119944799"/>
    <n v="1.0538790119944799"/>
    <n v="1.0538790119944799"/>
    <n v="1.05387901199447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8"/>
    <s v="Freezer - Home Pickup"/>
    <m/>
    <n v="171.12461334456739"/>
    <n v="4"/>
    <n v="1"/>
    <n v="1"/>
    <n v="0.52700000000000002"/>
    <n v="0.52700000000000002"/>
    <n v="9.6495915898510958E-3"/>
    <n v="9.6495915898510958E-3"/>
    <n v="9.6495915898510958E-3"/>
    <n v="9.6495915898510958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1.068379834694042"/>
    <n v="71.068379834694042"/>
    <n v="71.068379834694042"/>
    <n v="71.0683798346940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8"/>
    <s v="Fridge - Home Pickup"/>
    <m/>
    <n v="323.27558719954709"/>
    <n v="5"/>
    <n v="1"/>
    <n v="1"/>
    <n v="0.52700000000000002"/>
    <n v="0.52700000000000002"/>
    <n v="1.9170271097986982E-2"/>
    <n v="1.9170271097986982E-2"/>
    <n v="1.9170271097986982E-2"/>
    <n v="1.9170271097986982E-2"/>
    <n v="1.9170271097986982E-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5.80401152246679"/>
    <n v="145.80401152246679"/>
    <n v="145.80401152246679"/>
    <n v="145.80401152246679"/>
    <n v="145.804011522466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8"/>
    <s v="Freezer Replacement - Retailer Pickup"/>
    <m/>
    <n v="2.3365597056589351"/>
    <n v="4"/>
    <n v="1"/>
    <n v="1"/>
    <n v="0.217"/>
    <n v="0.217"/>
    <n v="5.4600682394860046E-5"/>
    <n v="5.4600682394860046E-5"/>
    <n v="5.4600682394860046E-5"/>
    <n v="5.4600682394860046E-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40212914707733083"/>
    <n v="0.40212914707733083"/>
    <n v="0.40212914707733083"/>
    <n v="0.402129147077330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8"/>
    <s v="Fridge Replacement - Retailer Pickup"/>
    <m/>
    <n v="43.666792947982373"/>
    <n v="5"/>
    <n v="1"/>
    <n v="1"/>
    <n v="0.217"/>
    <n v="0.217"/>
    <n v="1.0044468241616122E-3"/>
    <n v="1.0044468241616122E-3"/>
    <n v="1.0044468241616122E-3"/>
    <n v="1.0044468241616122E-3"/>
    <n v="1.0044468241616122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.6395568729929639"/>
    <n v="7.6395568729929639"/>
    <n v="7.6395568729929639"/>
    <n v="7.6395568729929639"/>
    <n v="7.63955687299296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8"/>
    <s v="Window Air Conditioner - Home Pickup"/>
    <m/>
    <n v="1.7301743762575213E-2"/>
    <n v="3"/>
    <n v="1"/>
    <n v="1"/>
    <n v="0.377"/>
    <n v="0.377"/>
    <n v="1.9517846362450973E-6"/>
    <n v="1.9517846362450973E-6"/>
    <n v="1.9517846362450973E-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7453920384751754E-3"/>
    <n v="1.7453920384751754E-3"/>
    <n v="1.7453920384751754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8"/>
    <s v="Dehumidifier - Home Pickup"/>
    <m/>
    <n v="1.5773714874620079E-2"/>
    <n v="4"/>
    <n v="1"/>
    <n v="1"/>
    <n v="0.377"/>
    <n v="0.377"/>
    <n v="2.5565497617906129E-6"/>
    <n v="2.5565497617906129E-6"/>
    <n v="2.5565497617906129E-6"/>
    <n v="2.5565497617906129E-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.5584861555711042E-3"/>
    <n v="4.5584861555711042E-3"/>
    <n v="4.5584861555711042E-3"/>
    <n v="4.5584861555711042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8"/>
    <s v="Freezer - Home Pickup"/>
    <m/>
    <n v="0.15193363991174427"/>
    <n v="4"/>
    <n v="1"/>
    <n v="1"/>
    <n v="0.52700000000000002"/>
    <n v="0.52700000000000002"/>
    <n v="8.5674266562448049E-6"/>
    <n v="8.5674266562448049E-6"/>
    <n v="8.5674266562448049E-6"/>
    <n v="8.5674266562448049E-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.309833179388312E-2"/>
    <n v="6.309833179388312E-2"/>
    <n v="6.309833179388312E-2"/>
    <n v="6.309833179388312E-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8"/>
    <s v="Fridge - Home Pickup"/>
    <m/>
    <n v="0.25087528455734059"/>
    <n v="5"/>
    <n v="1"/>
    <n v="1"/>
    <n v="0.52700000000000002"/>
    <n v="0.52700000000000002"/>
    <n v="1.4876926706439477E-5"/>
    <n v="1.4876926706439477E-5"/>
    <n v="1.4876926706439477E-5"/>
    <n v="1.4876926706439477E-5"/>
    <n v="1.4876926706439477E-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11314996965026582"/>
    <n v="0.11314996965026582"/>
    <n v="0.11314996965026582"/>
    <n v="0.11314996965026582"/>
    <n v="0.113149969650265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3 pipe wraps for hot water pipes"/>
    <m/>
    <n v="154.52187354355922"/>
    <n v="15"/>
    <n v="1"/>
    <n v="1"/>
    <n v="1.33"/>
    <n v="1.33"/>
    <n v="1.181716464937433E-4"/>
    <n v="1.181716464937433E-4"/>
    <n v="1.181716464937433E-4"/>
    <n v="1.181716464937433E-4"/>
    <n v="1.181716464937433E-4"/>
    <n v="1.181716464937433E-4"/>
    <n v="1.181716464937433E-4"/>
    <n v="1.181716464937433E-4"/>
    <n v="1.181716464937433E-4"/>
    <n v="1.181716464937433E-4"/>
    <n v="1.181716464937433E-4"/>
    <n v="1.181716464937433E-4"/>
    <n v="1.181716464937433E-4"/>
    <n v="1.181716464937433E-4"/>
    <n v="1.181716464937433E-4"/>
    <n v="0"/>
    <n v="0"/>
    <n v="0"/>
    <n v="0"/>
    <n v="0"/>
    <n v="0"/>
    <n v="0"/>
    <n v="0"/>
    <n v="0"/>
    <n v="0"/>
    <n v="0"/>
    <n v="0"/>
    <n v="0"/>
    <n v="0"/>
    <n v="0"/>
    <n v="1.3892490889354818"/>
    <n v="1.3892490889354818"/>
    <n v="1.3892490889354818"/>
    <n v="1.3892490889354818"/>
    <n v="1.3892490889354818"/>
    <n v="1.3892490889354818"/>
    <n v="1.3892490889354818"/>
    <n v="1.3892490889354818"/>
    <n v="1.3892490889354818"/>
    <n v="1.3892490889354818"/>
    <n v="1.3892490889354818"/>
    <n v="1.3892490889354818"/>
    <n v="1.3892490889354818"/>
    <n v="1.3892490889354818"/>
    <n v="1.3892490889354818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ENERGY STAR qualified ceiling fans"/>
    <m/>
    <n v="14.023063319567211"/>
    <n v="10"/>
    <n v="1"/>
    <n v="1"/>
    <n v="1.1600000000000001"/>
    <n v="1.1600000000000001"/>
    <n v="3.8850130653956128E-5"/>
    <n v="3.8850130653956128E-5"/>
    <n v="3.8850130653956128E-5"/>
    <n v="3.8850130653956128E-5"/>
    <n v="3.8850130653956128E-5"/>
    <n v="3.8850130653956128E-5"/>
    <n v="3.8850130653956128E-5"/>
    <n v="3.8850130653956128E-5"/>
    <n v="3.8850130653956128E-5"/>
    <n v="3.8850130653956128E-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83904223310928627"/>
    <n v="0.83904223310928627"/>
    <n v="0.83904223310928627"/>
    <n v="0.83904223310928627"/>
    <n v="0.83904223310928627"/>
    <n v="0.83904223310928627"/>
    <n v="0.83904223310928627"/>
    <n v="0.83904223310928627"/>
    <n v="0.83904223310928627"/>
    <n v="0.839042233109286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ES indoor light fixtures 1 or 2 sockets"/>
    <m/>
    <n v="86.733641481789547"/>
    <n v="16"/>
    <n v="1"/>
    <n v="1"/>
    <n v="1.02"/>
    <n v="1.02"/>
    <n v="2.873836703069175E-4"/>
    <n v="2.873836703069175E-4"/>
    <n v="2.873836703069175E-4"/>
    <n v="2.873836703069175E-4"/>
    <n v="2.873836703069175E-4"/>
    <n v="2.873836703069175E-4"/>
    <n v="2.873836703069175E-4"/>
    <n v="2.873836703069175E-4"/>
    <n v="2.873836703069175E-4"/>
    <n v="2.873836703069175E-4"/>
    <n v="2.873836703069175E-4"/>
    <n v="2.873836703069175E-4"/>
    <n v="2.873836703069175E-4"/>
    <n v="2.873836703069175E-4"/>
    <n v="2.873836703069175E-4"/>
    <n v="2.873836703069175E-4"/>
    <n v="0"/>
    <n v="0"/>
    <n v="0"/>
    <n v="0"/>
    <n v="0"/>
    <n v="0"/>
    <n v="0"/>
    <n v="0"/>
    <n v="0"/>
    <n v="0"/>
    <n v="0"/>
    <n v="0"/>
    <n v="0"/>
    <n v="0"/>
    <n v="6.2065952529532824"/>
    <n v="6.2065952529532824"/>
    <n v="6.2065952529532824"/>
    <n v="6.2065952529532824"/>
    <n v="6.2065952529532824"/>
    <n v="6.2065952529532824"/>
    <n v="6.2065952529532824"/>
    <n v="6.2065952529532824"/>
    <n v="6.2065952529532824"/>
    <n v="6.2065952529532824"/>
    <n v="6.2065952529532824"/>
    <n v="6.2065952529532824"/>
    <n v="6.2065952529532824"/>
    <n v="6.2065952529532824"/>
    <n v="6.2065952529532824"/>
    <n v="6.2065952529532824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ES indoor light fixtures 3+ sockets"/>
    <m/>
    <n v="106.27596106161825"/>
    <n v="16"/>
    <n v="1"/>
    <n v="1"/>
    <n v="1.02"/>
    <n v="1.02"/>
    <n v="3.5213528722526246E-4"/>
    <n v="3.5213528722526246E-4"/>
    <n v="3.5213528722526246E-4"/>
    <n v="3.5213528722526246E-4"/>
    <n v="3.5213528722526246E-4"/>
    <n v="3.5213528722526246E-4"/>
    <n v="3.5213528722526246E-4"/>
    <n v="3.5213528722526246E-4"/>
    <n v="3.5213528722526246E-4"/>
    <n v="3.5213528722526246E-4"/>
    <n v="3.5213528722526246E-4"/>
    <n v="3.5213528722526246E-4"/>
    <n v="3.5213528722526246E-4"/>
    <n v="3.5213528722526246E-4"/>
    <n v="3.5213528722526246E-4"/>
    <n v="3.5213528722526246E-4"/>
    <n v="0"/>
    <n v="0"/>
    <n v="0"/>
    <n v="0"/>
    <n v="0"/>
    <n v="0"/>
    <n v="0"/>
    <n v="0"/>
    <n v="0"/>
    <n v="0"/>
    <n v="0"/>
    <n v="0"/>
    <n v="0"/>
    <n v="0"/>
    <n v="7.6050291923529887"/>
    <n v="7.6050291923529887"/>
    <n v="7.6050291923529887"/>
    <n v="7.6050291923529887"/>
    <n v="7.6050291923529887"/>
    <n v="7.6050291923529887"/>
    <n v="7.6050291923529887"/>
    <n v="7.6050291923529887"/>
    <n v="7.6050291923529887"/>
    <n v="7.6050291923529887"/>
    <n v="7.6050291923529887"/>
    <n v="7.6050291923529887"/>
    <n v="7.6050291923529887"/>
    <n v="7.6050291923529887"/>
    <n v="7.6050291923529887"/>
    <n v="7.6050291923529887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ES specialty CFL lgt bulbs 1-2 pks"/>
    <m/>
    <n v="537.67764003766865"/>
    <n v="6"/>
    <n v="1"/>
    <n v="1"/>
    <n v="1.01"/>
    <n v="1.01"/>
    <n v="7.2298957225760128E-4"/>
    <n v="7.2298957225760128E-4"/>
    <n v="7.2298957225760128E-4"/>
    <n v="7.2298957225760128E-4"/>
    <n v="7.2298957225760128E-4"/>
    <n v="7.2298957225760128E-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.614330634431809"/>
    <n v="15.614330634431809"/>
    <n v="15.614330634431809"/>
    <n v="15.614330634431809"/>
    <n v="15.614330634431809"/>
    <n v="15.6143306344318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ES specialty CFL lgt bulbs multipks 3+"/>
    <m/>
    <n v="1228.4670615022465"/>
    <n v="6"/>
    <n v="1"/>
    <n v="1"/>
    <n v="1.01"/>
    <n v="1.01"/>
    <n v="1.6518612811680957E-3"/>
    <n v="1.6518612811680957E-3"/>
    <n v="1.6518612811680957E-3"/>
    <n v="1.6518612811680957E-3"/>
    <n v="1.6518612811680957E-3"/>
    <n v="1.6518612811680957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5.675076371896587"/>
    <n v="35.675076371896587"/>
    <n v="35.675076371896587"/>
    <n v="35.675076371896587"/>
    <n v="35.675076371896587"/>
    <n v="35.6750763718965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ES standard spiral CFL lgt bulbs 1-3pks"/>
    <m/>
    <n v="961.04265903600276"/>
    <n v="9"/>
    <n v="1"/>
    <n v="1"/>
    <n v="1.08"/>
    <n v="1.08"/>
    <n v="1.3054115704333913E-3"/>
    <n v="1.3054115704333913E-3"/>
    <n v="1.3054115704333913E-3"/>
    <n v="1.3054115704333913E-3"/>
    <n v="1.0975539319496911E-3"/>
    <n v="8.7047821748248682E-4"/>
    <n v="8.7047821748248682E-4"/>
    <n v="8.7047821748248682E-4"/>
    <n v="1.3054115704333913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8.19283798397209"/>
    <n v="28.19283798397209"/>
    <n v="28.19283798397209"/>
    <n v="28.19283798397209"/>
    <n v="23.703758173260379"/>
    <n v="18.79962757332768"/>
    <n v="18.79962757332768"/>
    <n v="18.79962757332768"/>
    <n v="28.192837983972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ES standard spiral CFL lgt bulbs 4+ pks"/>
    <m/>
    <n v="3723.6120856063872"/>
    <n v="9"/>
    <n v="1"/>
    <n v="1"/>
    <n v="1.08"/>
    <n v="1.08"/>
    <n v="5.0578881745290882E-3"/>
    <n v="5.0578881745290882E-3"/>
    <n v="5.0578881745290882E-3"/>
    <n v="5.0578881745290882E-3"/>
    <n v="4.2525324419127337E-3"/>
    <n v="3.3727152279860095E-3"/>
    <n v="3.3727152279860095E-3"/>
    <n v="3.3727152279860095E-3"/>
    <n v="5.0578881745290882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9.23468511789397"/>
    <n v="109.23468511789397"/>
    <n v="109.23468511789397"/>
    <n v="109.23468511789397"/>
    <n v="91.841501080481166"/>
    <n v="72.840180171772758"/>
    <n v="72.840180171772758"/>
    <n v="72.840180171772758"/>
    <n v="109.234685117893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Heavy-duty outdoor timers"/>
    <m/>
    <n v="43.141898071981295"/>
    <n v="10"/>
    <n v="1"/>
    <n v="1"/>
    <n v="1.27"/>
    <n v="1.27"/>
    <n v="1.9979562615508859E-3"/>
    <n v="1.9979562615508859E-3"/>
    <n v="1.9979562615508859E-3"/>
    <n v="1.9979562615508859E-3"/>
    <n v="1.9979562615508859E-3"/>
    <n v="1.9979562615508859E-3"/>
    <n v="1.9979562615508859E-3"/>
    <n v="1.9979562615508859E-3"/>
    <n v="1.9979562615508859E-3"/>
    <n v="1.9979562615508859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.87886263212895"/>
    <n v="24.87886263212895"/>
    <n v="24.87886263212895"/>
    <n v="24.87886263212895"/>
    <n v="24.87886263212895"/>
    <n v="24.87886263212895"/>
    <n v="24.87886263212895"/>
    <n v="24.87886263212895"/>
    <n v="24.87886263212895"/>
    <n v="24.878862632128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Indoor mt sensors/dim switch/timers 1pks"/>
    <m/>
    <n v="205.72638420890055"/>
    <n v="10"/>
    <n v="1"/>
    <n v="1"/>
    <n v="1.45"/>
    <n v="1.45"/>
    <n v="3.5888286057162924E-4"/>
    <n v="3.5888286057162924E-4"/>
    <n v="3.5888286057162924E-4"/>
    <n v="3.5888286057162924E-4"/>
    <n v="3.5888286057162924E-4"/>
    <n v="3.5888286057162924E-4"/>
    <n v="3.5888286057162924E-4"/>
    <n v="3.5888286057162924E-4"/>
    <n v="3.5888286057162924E-4"/>
    <n v="3.5888286057162924E-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.750755832477628"/>
    <n v="7.750755832477628"/>
    <n v="7.750755832477628"/>
    <n v="7.750755832477628"/>
    <n v="7.750755832477628"/>
    <n v="7.750755832477628"/>
    <n v="7.750755832477628"/>
    <n v="7.750755832477628"/>
    <n v="7.750755832477628"/>
    <n v="7.7507558324776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Indoor mt sensors/dim switch/timers 2+pk"/>
    <m/>
    <n v="132.35833978370039"/>
    <n v="10"/>
    <n v="1"/>
    <n v="1"/>
    <n v="1.45"/>
    <n v="1.45"/>
    <n v="2.3089473809957225E-4"/>
    <n v="2.3089473809957225E-4"/>
    <n v="2.3089473809957225E-4"/>
    <n v="2.3089473809957225E-4"/>
    <n v="2.3089473809957225E-4"/>
    <n v="2.3089473809957225E-4"/>
    <n v="2.3089473809957225E-4"/>
    <n v="2.3089473809957225E-4"/>
    <n v="2.3089473809957225E-4"/>
    <n v="2.3089473809957225E-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.9866096563183939"/>
    <n v="4.9866096563183939"/>
    <n v="4.9866096563183939"/>
    <n v="4.9866096563183939"/>
    <n v="4.9866096563183939"/>
    <n v="4.9866096563183939"/>
    <n v="4.9866096563183939"/>
    <n v="4.9866096563183939"/>
    <n v="4.9866096563183939"/>
    <n v="4.98660965631839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Insulation blankets for elect water htrs"/>
    <m/>
    <n v="5.4500492852111924"/>
    <n v="7"/>
    <n v="1"/>
    <n v="1"/>
    <n v="1.3900000000000001"/>
    <n v="1.3900000000000001"/>
    <n v="6.5442611079862372E-5"/>
    <n v="6.5442611079862372E-5"/>
    <n v="6.5442611079862372E-5"/>
    <n v="6.5442611079862372E-5"/>
    <n v="6.5442611079862372E-5"/>
    <n v="6.5442611079862372E-5"/>
    <n v="6.5442611079862372E-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57327727305959653"/>
    <n v="0.57327727305959653"/>
    <n v="0.57327727305959653"/>
    <n v="0.57327727305959653"/>
    <n v="0.57327727305959653"/>
    <n v="0.57327727305959653"/>
    <n v="0.573277273059596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Outdoor umbrella stnd or clothesline kts"/>
    <m/>
    <n v="23.720690698490618"/>
    <n v="10"/>
    <n v="1"/>
    <n v="1"/>
    <n v="1.19"/>
    <n v="1.19"/>
    <n v="2.2636455963728807E-3"/>
    <n v="2.2636455963728807E-3"/>
    <n v="2.2636455963728807E-3"/>
    <n v="2.2636455963728807E-3"/>
    <n v="2.2636455963728807E-3"/>
    <n v="2.2636455963728807E-3"/>
    <n v="2.2636455963728807E-3"/>
    <n v="2.2636455963728807E-3"/>
    <n v="2.2636455963728807E-3"/>
    <n v="2.2636455963728807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.4990647383956599"/>
    <n v="2.4990647383956599"/>
    <n v="2.4990647383956599"/>
    <n v="2.4990647383956599"/>
    <n v="2.4990647383956599"/>
    <n v="2.4990647383956599"/>
    <n v="2.4990647383956599"/>
    <n v="2.4990647383956599"/>
    <n v="2.4990647383956599"/>
    <n v="2.49906473839565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Power bars with timer or auto-shutoff"/>
    <m/>
    <n v="26.480318828621364"/>
    <n v="10"/>
    <n v="1"/>
    <n v="1"/>
    <n v="1.3399999999999999"/>
    <n v="1.3399999999999999"/>
    <n v="3.5768016575096243E-5"/>
    <n v="3.5768016575096243E-5"/>
    <n v="3.5768016575096243E-5"/>
    <n v="3.5768016575096243E-5"/>
    <n v="3.5768016575096243E-5"/>
    <n v="3.5768016575096243E-5"/>
    <n v="3.5768016575096243E-5"/>
    <n v="3.5768016575096243E-5"/>
    <n v="3.5768016575096243E-5"/>
    <n v="3.5768016575096243E-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60096320423684912"/>
    <n v="0.60096320423684912"/>
    <n v="0.60096320423684912"/>
    <n v="0.60096320423684912"/>
    <n v="0.60096320423684912"/>
    <n v="0.60096320423684912"/>
    <n v="0.60096320423684912"/>
    <n v="0.60096320423684912"/>
    <n v="0.60096320423684912"/>
    <n v="0.600963204236849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Prog therms electric bsbrd htr 1/dbl pks"/>
    <m/>
    <n v="35.364764250703736"/>
    <n v="11"/>
    <n v="1"/>
    <n v="1"/>
    <n v="1.21"/>
    <n v="1.21"/>
    <n v="3.2790043412278421E-7"/>
    <n v="3.2790043412278421E-7"/>
    <n v="3.2790043412278421E-7"/>
    <n v="3.2790043412278421E-7"/>
    <n v="3.2790043412278421E-7"/>
    <n v="3.2790043412278421E-7"/>
    <n v="3.2790043412278421E-7"/>
    <n v="3.2790043412278421E-7"/>
    <n v="3.2790043412278421E-7"/>
    <n v="3.2790043412278421E-7"/>
    <n v="3.2790043412278421E-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.7022746835426483"/>
    <n v="2.7022746835426483"/>
    <n v="2.7022746835426483"/>
    <n v="2.7022746835426483"/>
    <n v="2.7022746835426483"/>
    <n v="2.7022746835426483"/>
    <n v="2.7022746835426483"/>
    <n v="2.7022746835426483"/>
    <n v="2.7022746835426483"/>
    <n v="2.7022746835426483"/>
    <n v="2.70227468354264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Prog therms electric bsbrd htr 3+ pks"/>
    <m/>
    <n v="1.271678166549278"/>
    <n v="11"/>
    <n v="1"/>
    <n v="1"/>
    <n v="1.21"/>
    <n v="1.21"/>
    <n v="1.1790940268113812E-8"/>
    <n v="1.1790940268113812E-8"/>
    <n v="1.1790940268113812E-8"/>
    <n v="1.1790940268113812E-8"/>
    <n v="1.1790940268113812E-8"/>
    <n v="1.1790940268113812E-8"/>
    <n v="1.1790940268113812E-8"/>
    <n v="1.1790940268113812E-8"/>
    <n v="1.1790940268113812E-8"/>
    <n v="1.1790940268113812E-8"/>
    <n v="1.1790940268113812E-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.7170836223280141E-2"/>
    <n v="9.7170836223280141E-2"/>
    <n v="9.7170836223280141E-2"/>
    <n v="9.7170836223280141E-2"/>
    <n v="9.7170836223280141E-2"/>
    <n v="9.7170836223280141E-2"/>
    <n v="9.7170836223280141E-2"/>
    <n v="9.7170836223280141E-2"/>
    <n v="9.7170836223280141E-2"/>
    <n v="9.7170836223280141E-2"/>
    <n v="9.7170836223280141E-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Weatherstripping (door frame kits)"/>
    <m/>
    <n v="112.1758556846564"/>
    <n v="13"/>
    <n v="1"/>
    <n v="1"/>
    <n v="0.95"/>
    <n v="0.95"/>
    <n v="3.4136321190735385E-5"/>
    <n v="3.4136321190735385E-5"/>
    <n v="3.4136321190735385E-5"/>
    <n v="3.4136321190735385E-5"/>
    <n v="3.4136321190735385E-5"/>
    <n v="3.4136321190735385E-5"/>
    <n v="3.4136321190735385E-5"/>
    <n v="3.4136321190735385E-5"/>
    <n v="3.4136321190735385E-5"/>
    <n v="3.4136321190735385E-5"/>
    <n v="3.4136321190735385E-5"/>
    <n v="3.4136321190735385E-5"/>
    <n v="3.4136321190735385E-5"/>
    <n v="0"/>
    <n v="0"/>
    <n v="0"/>
    <n v="0"/>
    <n v="0"/>
    <n v="0"/>
    <n v="0"/>
    <n v="0"/>
    <n v="0"/>
    <n v="0"/>
    <n v="0"/>
    <n v="0"/>
    <n v="0"/>
    <n v="0"/>
    <n v="0"/>
    <n v="0"/>
    <n v="0"/>
    <n v="3.133203046427012"/>
    <n v="3.133203046427012"/>
    <n v="3.133203046427012"/>
    <n v="3.133203046427012"/>
    <n v="3.133203046427012"/>
    <n v="3.133203046427012"/>
    <n v="3.133203046427012"/>
    <n v="3.133203046427012"/>
    <n v="3.133203046427012"/>
    <n v="3.133203046427012"/>
    <n v="3.133203046427012"/>
    <n v="3.133203046427012"/>
    <n v="3.133203046427012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9"/>
    <s v="Weatherstripping (foam or V-strip packs)"/>
    <m/>
    <n v="131.08666161715109"/>
    <n v="13"/>
    <n v="1"/>
    <n v="1"/>
    <n v="0.92999999999999994"/>
    <n v="0.92999999999999994"/>
    <n v="2.4494159482311098E-5"/>
    <n v="2.4494159482311098E-5"/>
    <n v="2.4494159482311098E-5"/>
    <n v="2.4494159482311098E-5"/>
    <n v="2.4494159482311098E-5"/>
    <n v="2.4494159482311098E-5"/>
    <n v="2.4494159482311098E-5"/>
    <n v="2.4494159482311098E-5"/>
    <n v="2.4494159482311098E-5"/>
    <n v="2.4494159482311098E-5"/>
    <n v="2.4494159482311098E-5"/>
    <n v="2.4494159482311098E-5"/>
    <n v="2.4494159482311098E-5"/>
    <n v="0"/>
    <n v="0"/>
    <n v="0"/>
    <n v="0"/>
    <n v="0"/>
    <n v="0"/>
    <n v="0"/>
    <n v="0"/>
    <n v="0"/>
    <n v="0"/>
    <n v="0"/>
    <n v="0"/>
    <n v="0"/>
    <n v="0"/>
    <n v="0"/>
    <n v="0"/>
    <n v="0"/>
    <n v="2.2481970063743981"/>
    <n v="2.2481970063743981"/>
    <n v="2.2481970063743981"/>
    <n v="2.2481970063743981"/>
    <n v="2.2481970063743981"/>
    <n v="2.2481970063743981"/>
    <n v="2.2481970063743981"/>
    <n v="2.2481970063743981"/>
    <n v="2.2481970063743981"/>
    <n v="2.2481970063743981"/>
    <n v="2.2481970063743981"/>
    <n v="2.2481970063743981"/>
    <n v="2.2481970063743981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3 pipe wraps for hot water pipes"/>
    <m/>
    <n v="40.994629302615166"/>
    <n v="15"/>
    <n v="1"/>
    <n v="1"/>
    <n v="1.33"/>
    <n v="1.33"/>
    <n v="3.135091965297113E-5"/>
    <n v="3.135091965297113E-5"/>
    <n v="3.135091965297113E-5"/>
    <n v="3.135091965297113E-5"/>
    <n v="3.135091965297113E-5"/>
    <n v="3.135091965297113E-5"/>
    <n v="3.135091965297113E-5"/>
    <n v="3.135091965297113E-5"/>
    <n v="3.135091965297113E-5"/>
    <n v="3.135091965297113E-5"/>
    <n v="3.135091965297113E-5"/>
    <n v="3.135091965297113E-5"/>
    <n v="3.135091965297113E-5"/>
    <n v="3.135091965297113E-5"/>
    <n v="3.135091965297113E-5"/>
    <n v="0"/>
    <n v="0"/>
    <n v="0"/>
    <n v="0"/>
    <n v="0"/>
    <n v="0"/>
    <n v="0"/>
    <n v="0"/>
    <n v="0"/>
    <n v="0"/>
    <n v="0"/>
    <n v="0"/>
    <n v="0"/>
    <n v="0"/>
    <n v="0"/>
    <n v="0.36856756978067196"/>
    <n v="0.36856756978067196"/>
    <n v="0.36856756978067196"/>
    <n v="0.36856756978067196"/>
    <n v="0.36856756978067196"/>
    <n v="0.36856756978067196"/>
    <n v="0.36856756978067196"/>
    <n v="0.36856756978067196"/>
    <n v="0.36856756978067196"/>
    <n v="0.36856756978067196"/>
    <n v="0.36856756978067196"/>
    <n v="0.36856756978067196"/>
    <n v="0.36856756978067196"/>
    <n v="0.36856756978067196"/>
    <n v="0.36856756978067196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ENERGY STAR qualified ceiling fans"/>
    <m/>
    <n v="11.611118660110531"/>
    <n v="10"/>
    <n v="1"/>
    <n v="1"/>
    <n v="1.1600000000000001"/>
    <n v="1.1600000000000001"/>
    <n v="3.2167969772656214E-5"/>
    <n v="3.2167969772656214E-5"/>
    <n v="3.2167969772656214E-5"/>
    <n v="3.2167969772656214E-5"/>
    <n v="3.2167969772656214E-5"/>
    <n v="3.2167969772656214E-5"/>
    <n v="3.2167969772656214E-5"/>
    <n v="3.2167969772656214E-5"/>
    <n v="3.2167969772656214E-5"/>
    <n v="3.2167969772656214E-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69472829919281243"/>
    <n v="0.69472829919281243"/>
    <n v="0.69472829919281243"/>
    <n v="0.69472829919281243"/>
    <n v="0.69472829919281243"/>
    <n v="0.69472829919281243"/>
    <n v="0.69472829919281243"/>
    <n v="0.69472829919281243"/>
    <n v="0.69472829919281243"/>
    <n v="0.694728299192812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ES indoor light fixtures 1 or 2 sockets"/>
    <m/>
    <n v="35.81440564114645"/>
    <n v="16"/>
    <n v="1"/>
    <n v="1"/>
    <n v="1.02"/>
    <n v="1.02"/>
    <n v="1.1866762616180976E-4"/>
    <n v="1.1866762616180976E-4"/>
    <n v="1.1866762616180976E-4"/>
    <n v="1.1866762616180976E-4"/>
    <n v="1.1866762616180976E-4"/>
    <n v="1.1866762616180976E-4"/>
    <n v="1.1866762616180976E-4"/>
    <n v="1.1866762616180976E-4"/>
    <n v="1.1866762616180976E-4"/>
    <n v="1.1866762616180976E-4"/>
    <n v="1.1866762616180976E-4"/>
    <n v="1.1866762616180976E-4"/>
    <n v="1.1866762616180976E-4"/>
    <n v="1.1866762616180976E-4"/>
    <n v="1.1866762616180976E-4"/>
    <n v="1.1866762616180976E-4"/>
    <n v="0"/>
    <n v="0"/>
    <n v="0"/>
    <n v="0"/>
    <n v="0"/>
    <n v="0"/>
    <n v="0"/>
    <n v="0"/>
    <n v="0"/>
    <n v="0"/>
    <n v="0"/>
    <n v="0"/>
    <n v="0"/>
    <n v="0"/>
    <n v="2.5628523862491526"/>
    <n v="2.5628523862491526"/>
    <n v="2.5628523862491526"/>
    <n v="2.5628523862491526"/>
    <n v="2.5628523862491526"/>
    <n v="2.5628523862491526"/>
    <n v="2.5628523862491526"/>
    <n v="2.5628523862491526"/>
    <n v="2.5628523862491526"/>
    <n v="2.5628523862491526"/>
    <n v="2.5628523862491526"/>
    <n v="2.5628523862491526"/>
    <n v="2.5628523862491526"/>
    <n v="2.5628523862491526"/>
    <n v="2.5628523862491526"/>
    <n v="2.5628523862491526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ES indoor light fixtures 3+ sockets"/>
    <m/>
    <n v="140.90169611679892"/>
    <n v="16"/>
    <n v="1"/>
    <n v="1"/>
    <n v="1.02"/>
    <n v="1.02"/>
    <n v="4.6686436647557834E-4"/>
    <n v="4.6686436647557834E-4"/>
    <n v="4.6686436647557834E-4"/>
    <n v="4.6686436647557834E-4"/>
    <n v="4.6686436647557834E-4"/>
    <n v="4.6686436647557834E-4"/>
    <n v="4.6686436647557834E-4"/>
    <n v="4.6686436647557834E-4"/>
    <n v="4.6686436647557834E-4"/>
    <n v="4.6686436647557834E-4"/>
    <n v="4.6686436647557834E-4"/>
    <n v="4.6686436647557834E-4"/>
    <n v="4.6686436647557834E-4"/>
    <n v="4.6686436647557834E-4"/>
    <n v="4.6686436647557834E-4"/>
    <n v="4.6686436647557834E-4"/>
    <n v="0"/>
    <n v="0"/>
    <n v="0"/>
    <n v="0"/>
    <n v="0"/>
    <n v="0"/>
    <n v="0"/>
    <n v="0"/>
    <n v="0"/>
    <n v="0"/>
    <n v="0"/>
    <n v="0"/>
    <n v="0"/>
    <n v="0"/>
    <n v="10.082821190382083"/>
    <n v="10.082821190382083"/>
    <n v="10.082821190382083"/>
    <n v="10.082821190382083"/>
    <n v="10.082821190382083"/>
    <n v="10.082821190382083"/>
    <n v="10.082821190382083"/>
    <n v="10.082821190382083"/>
    <n v="10.082821190382083"/>
    <n v="10.082821190382083"/>
    <n v="10.082821190382083"/>
    <n v="10.082821190382083"/>
    <n v="10.082821190382083"/>
    <n v="10.082821190382083"/>
    <n v="10.082821190382083"/>
    <n v="10.082821190382083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ES specialty CFL lgt bulbs 1-2 pks"/>
    <m/>
    <n v="222.47758243088293"/>
    <n v="6"/>
    <n v="1"/>
    <n v="1"/>
    <n v="1.01"/>
    <n v="1.01"/>
    <n v="2.9915503301818633E-4"/>
    <n v="2.9915503301818633E-4"/>
    <n v="2.9915503301818633E-4"/>
    <n v="2.9915503301818633E-4"/>
    <n v="2.9915503301818633E-4"/>
    <n v="2.9915503301818633E-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.460820149749007"/>
    <n v="6.460820149749007"/>
    <n v="6.460820149749007"/>
    <n v="6.460820149749007"/>
    <n v="6.460820149749007"/>
    <n v="6.4608201497490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ES specialty CFL lgt bulbs multipks 3+"/>
    <m/>
    <n v="1097.3903935557228"/>
    <n v="6"/>
    <n v="1"/>
    <n v="1"/>
    <n v="1.01"/>
    <n v="1.01"/>
    <n v="1.4756087145094384E-3"/>
    <n v="1.4756087145094384E-3"/>
    <n v="1.4756087145094384E-3"/>
    <n v="1.4756087145094384E-3"/>
    <n v="1.4756087145094384E-3"/>
    <n v="1.4756087145094384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1.868568011918544"/>
    <n v="31.868568011918544"/>
    <n v="31.868568011918544"/>
    <n v="31.868568011918544"/>
    <n v="31.868568011918544"/>
    <n v="31.8685680119185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ES standard spiral CFL lgt bulbs 1-3pks"/>
    <m/>
    <n v="404.32366823078053"/>
    <n v="9"/>
    <n v="1"/>
    <n v="1"/>
    <n v="1.08"/>
    <n v="1.08"/>
    <n v="5.4920433525600641E-4"/>
    <n v="5.4920433525600641E-4"/>
    <n v="5.4920433525600641E-4"/>
    <n v="5.4920433525600641E-4"/>
    <n v="4.6175581039466744E-4"/>
    <n v="3.6622198057321113E-4"/>
    <n v="3.6622198057321113E-4"/>
    <n v="3.6622198057321113E-4"/>
    <n v="5.4920433525600641E-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.8611089365687"/>
    <n v="11.8611089365687"/>
    <n v="11.8611089365687"/>
    <n v="11.8611089365687"/>
    <n v="9.9724922357571906"/>
    <n v="7.9092580442213434"/>
    <n v="7.9092580442213434"/>
    <n v="7.9092580442213434"/>
    <n v="11.86110893656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ES standard spiral CFL lgt bulbs 4+ pks"/>
    <m/>
    <n v="2866.0587363490604"/>
    <n v="9"/>
    <n v="1"/>
    <n v="1"/>
    <n v="1.08"/>
    <n v="1.08"/>
    <n v="3.8930490762237925E-3"/>
    <n v="3.8930490762237925E-3"/>
    <n v="3.8930490762237925E-3"/>
    <n v="3.8930490762237925E-3"/>
    <n v="3.2731679553475793E-3"/>
    <n v="2.5959739420097646E-3"/>
    <n v="2.5959739420097646E-3"/>
    <n v="2.5959739420097646E-3"/>
    <n v="3.8930490762237925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4.077776201409819"/>
    <n v="84.077776201409819"/>
    <n v="84.077776201409819"/>
    <n v="84.077776201409819"/>
    <n v="70.690268072931943"/>
    <n v="56.064979363861916"/>
    <n v="56.064979363861916"/>
    <n v="56.064979363861916"/>
    <n v="84.0777762014098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Heavy-duty outdoor timers"/>
    <m/>
    <n v="45.591743409808245"/>
    <n v="10"/>
    <n v="1"/>
    <n v="1"/>
    <n v="1.27"/>
    <n v="1.27"/>
    <n v="2.111411720195194E-3"/>
    <n v="2.111411720195194E-3"/>
    <n v="2.111411720195194E-3"/>
    <n v="2.111411720195194E-3"/>
    <n v="2.111411720195194E-3"/>
    <n v="2.111411720195194E-3"/>
    <n v="2.111411720195194E-3"/>
    <n v="2.111411720195194E-3"/>
    <n v="2.111411720195194E-3"/>
    <n v="2.111411720195194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6.291627678489807"/>
    <n v="26.291627678489807"/>
    <n v="26.291627678489807"/>
    <n v="26.291627678489807"/>
    <n v="26.291627678489807"/>
    <n v="26.291627678489807"/>
    <n v="26.291627678489807"/>
    <n v="26.291627678489807"/>
    <n v="26.291627678489807"/>
    <n v="26.2916276784898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Indoor mt sensors/dim switch/timers 1pks"/>
    <m/>
    <n v="59.776912857544652"/>
    <n v="10"/>
    <n v="1"/>
    <n v="1"/>
    <n v="1.45"/>
    <n v="1.45"/>
    <n v="1.0427884379026812E-4"/>
    <n v="1.0427884379026812E-4"/>
    <n v="1.0427884379026812E-4"/>
    <n v="1.0427884379026812E-4"/>
    <n v="1.0427884379026812E-4"/>
    <n v="1.0427884379026812E-4"/>
    <n v="1.0427884379026812E-4"/>
    <n v="1.0427884379026812E-4"/>
    <n v="1.0427884379026812E-4"/>
    <n v="1.0427884379026812E-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.252099349141607"/>
    <n v="2.252099349141607"/>
    <n v="2.252099349141607"/>
    <n v="2.252099349141607"/>
    <n v="2.252099349141607"/>
    <n v="2.252099349141607"/>
    <n v="2.252099349141607"/>
    <n v="2.252099349141607"/>
    <n v="2.252099349141607"/>
    <n v="2.2520993491416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Indoor mt sensors/dim switch/timers 2+pk"/>
    <m/>
    <n v="117.21890609667859"/>
    <n v="10"/>
    <n v="1"/>
    <n v="1"/>
    <n v="1.45"/>
    <n v="1.45"/>
    <n v="2.0448449767306595E-4"/>
    <n v="2.0448449767306595E-4"/>
    <n v="2.0448449767306595E-4"/>
    <n v="2.0448449767306595E-4"/>
    <n v="2.0448449767306595E-4"/>
    <n v="2.0448449767306595E-4"/>
    <n v="2.0448449767306595E-4"/>
    <n v="2.0448449767306595E-4"/>
    <n v="2.0448449767306595E-4"/>
    <n v="2.0448449767306595E-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.416230439275723"/>
    <n v="4.416230439275723"/>
    <n v="4.416230439275723"/>
    <n v="4.416230439275723"/>
    <n v="4.416230439275723"/>
    <n v="4.416230439275723"/>
    <n v="4.416230439275723"/>
    <n v="4.416230439275723"/>
    <n v="4.416230439275723"/>
    <n v="4.4162304392757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Insulation blankets for elect water htrs"/>
    <m/>
    <n v="8.4535504234405536"/>
    <n v="7"/>
    <n v="1"/>
    <n v="1"/>
    <n v="1.3900000000000001"/>
    <n v="1.3900000000000001"/>
    <n v="1.0150778160968289E-4"/>
    <n v="1.0150778160968289E-4"/>
    <n v="1.0150778160968289E-4"/>
    <n v="1.0150778160968289E-4"/>
    <n v="1.0150778160968289E-4"/>
    <n v="1.0150778160968289E-4"/>
    <n v="1.0150778160968289E-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88920816690082527"/>
    <n v="0.88920816690082527"/>
    <n v="0.88920816690082527"/>
    <n v="0.88920816690082527"/>
    <n v="0.88920816690082527"/>
    <n v="0.88920816690082527"/>
    <n v="0.889208166900825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Outdoor umbrella stnd or clothesline kts"/>
    <m/>
    <n v="22.101125113883036"/>
    <n v="10"/>
    <n v="1"/>
    <n v="1"/>
    <n v="1.19"/>
    <n v="1.19"/>
    <n v="2.1090918124956133E-3"/>
    <n v="2.1090918124956133E-3"/>
    <n v="2.1090918124956133E-3"/>
    <n v="2.1090918124956133E-3"/>
    <n v="2.1090918124956133E-3"/>
    <n v="2.1090918124956133E-3"/>
    <n v="2.1090918124956133E-3"/>
    <n v="2.1090918124956133E-3"/>
    <n v="2.1090918124956133E-3"/>
    <n v="2.1090918124956133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.328437360995157"/>
    <n v="2.328437360995157"/>
    <n v="2.328437360995157"/>
    <n v="2.328437360995157"/>
    <n v="2.328437360995157"/>
    <n v="2.328437360995157"/>
    <n v="2.328437360995157"/>
    <n v="2.328437360995157"/>
    <n v="2.328437360995157"/>
    <n v="2.3284373609951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Power bars with timer or auto-shutoff"/>
    <m/>
    <n v="18.090621699194948"/>
    <n v="10"/>
    <n v="1"/>
    <n v="1"/>
    <n v="1.3399999999999999"/>
    <n v="1.3399999999999999"/>
    <n v="2.443572001448929E-5"/>
    <n v="2.443572001448929E-5"/>
    <n v="2.443572001448929E-5"/>
    <n v="2.443572001448929E-5"/>
    <n v="2.443572001448929E-5"/>
    <n v="2.443572001448929E-5"/>
    <n v="2.443572001448929E-5"/>
    <n v="2.443572001448929E-5"/>
    <n v="2.443572001448929E-5"/>
    <n v="2.443572001448929E-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41056144577964976"/>
    <n v="0.41056144577964976"/>
    <n v="0.41056144577964976"/>
    <n v="0.41056144577964976"/>
    <n v="0.41056144577964976"/>
    <n v="0.41056144577964976"/>
    <n v="0.41056144577964976"/>
    <n v="0.41056144577964976"/>
    <n v="0.41056144577964976"/>
    <n v="0.410561445779649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Prog therms electric bsbrd htr 1/dbl pks"/>
    <m/>
    <n v="40.172388579124373"/>
    <n v="11"/>
    <n v="1"/>
    <n v="1"/>
    <n v="1.21"/>
    <n v="1.21"/>
    <n v="3.724765012276855E-7"/>
    <n v="3.724765012276855E-7"/>
    <n v="3.724765012276855E-7"/>
    <n v="3.724765012276855E-7"/>
    <n v="3.724765012276855E-7"/>
    <n v="3.724765012276855E-7"/>
    <n v="3.724765012276855E-7"/>
    <n v="3.724765012276855E-7"/>
    <n v="3.724765012276855E-7"/>
    <n v="3.724765012276855E-7"/>
    <n v="3.724765012276855E-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.069632469913762"/>
    <n v="3.069632469913762"/>
    <n v="3.069632469913762"/>
    <n v="3.069632469913762"/>
    <n v="3.069632469913762"/>
    <n v="3.069632469913762"/>
    <n v="3.069632469913762"/>
    <n v="3.069632469913762"/>
    <n v="3.069632469913762"/>
    <n v="3.069632469913762"/>
    <n v="3.0696324699137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Prog therms electric bsbrd htr 3+ pks"/>
    <m/>
    <n v="12.042013658752349"/>
    <n v="11"/>
    <n v="1"/>
    <n v="1"/>
    <n v="1.21"/>
    <n v="1.21"/>
    <n v="1.1165298539601656E-7"/>
    <n v="1.1165298539601656E-7"/>
    <n v="1.1165298539601656E-7"/>
    <n v="1.1165298539601656E-7"/>
    <n v="1.1165298539601656E-7"/>
    <n v="1.1165298539601656E-7"/>
    <n v="1.1165298539601656E-7"/>
    <n v="1.1165298539601656E-7"/>
    <n v="1.1165298539601656E-7"/>
    <n v="1.1165298539601656E-7"/>
    <n v="1.1165298539601656E-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92014832668575519"/>
    <n v="0.92014832668575519"/>
    <n v="0.92014832668575519"/>
    <n v="0.92014832668575519"/>
    <n v="0.92014832668575519"/>
    <n v="0.92014832668575519"/>
    <n v="0.92014832668575519"/>
    <n v="0.92014832668575519"/>
    <n v="0.92014832668575519"/>
    <n v="0.92014832668575519"/>
    <n v="0.920148326685755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Weatherstripping (door frame kits)"/>
    <m/>
    <n v="56.485264614889047"/>
    <n v="13"/>
    <n v="1"/>
    <n v="1"/>
    <n v="0.95"/>
    <n v="0.95"/>
    <n v="1.7189074455183983E-5"/>
    <n v="1.7189074455183983E-5"/>
    <n v="1.7189074455183983E-5"/>
    <n v="1.7189074455183983E-5"/>
    <n v="1.7189074455183983E-5"/>
    <n v="1.7189074455183983E-5"/>
    <n v="1.7189074455183983E-5"/>
    <n v="1.7189074455183983E-5"/>
    <n v="1.7189074455183983E-5"/>
    <n v="1.7189074455183983E-5"/>
    <n v="1.7189074455183983E-5"/>
    <n v="1.7189074455183983E-5"/>
    <n v="1.7189074455183983E-5"/>
    <n v="0"/>
    <n v="0"/>
    <n v="0"/>
    <n v="0"/>
    <n v="0"/>
    <n v="0"/>
    <n v="0"/>
    <n v="0"/>
    <n v="0"/>
    <n v="0"/>
    <n v="0"/>
    <n v="0"/>
    <n v="0"/>
    <n v="0"/>
    <n v="0"/>
    <n v="0"/>
    <n v="0"/>
    <n v="1.5776996046914387"/>
    <n v="1.5776996046914387"/>
    <n v="1.5776996046914387"/>
    <n v="1.5776996046914387"/>
    <n v="1.5776996046914387"/>
    <n v="1.5776996046914387"/>
    <n v="1.5776996046914387"/>
    <n v="1.5776996046914387"/>
    <n v="1.5776996046914387"/>
    <n v="1.5776996046914387"/>
    <n v="1.5776996046914387"/>
    <n v="1.5776996046914387"/>
    <n v="1.5776996046914387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0"/>
    <s v="Weatherstripping (foam or V-strip packs)"/>
    <m/>
    <n v="67.148084558903065"/>
    <n v="13"/>
    <n v="1"/>
    <n v="1"/>
    <n v="0.92999999999999994"/>
    <n v="0.92999999999999994"/>
    <n v="1.2546935529726613E-5"/>
    <n v="1.2546935529726613E-5"/>
    <n v="1.2546935529726613E-5"/>
    <n v="1.2546935529726613E-5"/>
    <n v="1.2546935529726613E-5"/>
    <n v="1.2546935529726613E-5"/>
    <n v="1.2546935529726613E-5"/>
    <n v="1.2546935529726613E-5"/>
    <n v="1.2546935529726613E-5"/>
    <n v="1.2546935529726613E-5"/>
    <n v="1.2546935529726613E-5"/>
    <n v="1.2546935529726613E-5"/>
    <n v="1.2546935529726613E-5"/>
    <n v="0"/>
    <n v="0"/>
    <n v="0"/>
    <n v="0"/>
    <n v="0"/>
    <n v="0"/>
    <n v="0"/>
    <n v="0"/>
    <n v="0"/>
    <n v="0"/>
    <n v="0"/>
    <n v="0"/>
    <n v="0"/>
    <n v="0"/>
    <n v="0"/>
    <n v="0"/>
    <n v="0"/>
    <n v="1.1516207738205855"/>
    <n v="1.1516207738205855"/>
    <n v="1.1516207738205855"/>
    <n v="1.1516207738205855"/>
    <n v="1.1516207738205855"/>
    <n v="1.1516207738205855"/>
    <n v="1.1516207738205855"/>
    <n v="1.1516207738205855"/>
    <n v="1.1516207738205855"/>
    <n v="1.1516207738205855"/>
    <n v="1.1516207738205855"/>
    <n v="1.1516207738205855"/>
    <n v="1.1516207738205855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1"/>
    <s v="Furnace with ECM"/>
    <m/>
    <n v="688.12316869652909"/>
    <n v="19"/>
    <n v="1"/>
    <n v="1"/>
    <n v="0.59400000000000008"/>
    <n v="0.59400000000000008"/>
    <n v="0.2544113849114914"/>
    <n v="0.2544113849114914"/>
    <n v="0.2544113849114914"/>
    <n v="0.2544113849114914"/>
    <n v="0.2544113849114914"/>
    <n v="0.2544113849114914"/>
    <n v="0.2544113849114914"/>
    <n v="0.2544113849114914"/>
    <n v="0.2544113849114914"/>
    <n v="0.2544113849114914"/>
    <n v="0.2544113849114914"/>
    <n v="0.2544113849114914"/>
    <n v="0.2544113849114914"/>
    <n v="0.2544113849114914"/>
    <n v="0.2544113849114914"/>
    <n v="0.2544113849114914"/>
    <n v="0.2544113849114914"/>
    <n v="0.2544113849114914"/>
    <n v="0.2544113849114914"/>
    <n v="0"/>
    <n v="0"/>
    <n v="0"/>
    <n v="0"/>
    <n v="0"/>
    <n v="0"/>
    <n v="0"/>
    <n v="0"/>
    <n v="0"/>
    <n v="0"/>
    <n v="0"/>
    <n v="522.78506246113943"/>
    <n v="522.78506246113943"/>
    <n v="522.78506246113943"/>
    <n v="522.78506246113943"/>
    <n v="522.78506246113943"/>
    <n v="522.78506246113943"/>
    <n v="522.78506246113943"/>
    <n v="522.78506246113943"/>
    <n v="522.78506246113943"/>
    <n v="522.78506246113943"/>
    <n v="522.78506246113943"/>
    <n v="522.78506246113943"/>
    <n v="522.78506246113943"/>
    <n v="522.78506246113943"/>
    <n v="522.78506246113943"/>
    <n v="522.78506246113943"/>
    <n v="522.78506246113943"/>
    <n v="522.78506246113943"/>
    <n v="522.78506246113943"/>
    <n v="0"/>
    <n v="0"/>
    <n v="0"/>
    <n v="0"/>
    <n v="0"/>
    <n v="0"/>
    <n v="0"/>
    <n v="0"/>
    <n v="0"/>
    <n v="0"/>
    <n v="0"/>
  </r>
  <r>
    <x v="2"/>
    <x v="3"/>
    <x v="11"/>
    <s v="Tier 1 – Energy Star® Central Air Conditioner – SEER 14.5"/>
    <m/>
    <n v="100.16786770397383"/>
    <n v="18"/>
    <n v="1"/>
    <n v="1"/>
    <n v="0.53400000000000003"/>
    <n v="0.53400000000000003"/>
    <n v="8.8105392866694131E-3"/>
    <n v="8.8105392866694131E-3"/>
    <n v="8.8105392866694131E-3"/>
    <n v="8.8105392866694131E-3"/>
    <n v="8.8105392866694131E-3"/>
    <n v="8.8105392866694131E-3"/>
    <n v="8.8105392866694131E-3"/>
    <n v="8.8105392866694131E-3"/>
    <n v="8.8105392866694131E-3"/>
    <n v="8.8105392866694131E-3"/>
    <n v="8.8105392866694131E-3"/>
    <n v="8.8105392866694131E-3"/>
    <n v="8.8105392866694131E-3"/>
    <n v="8.8105392866694131E-3"/>
    <n v="8.8105392866694131E-3"/>
    <n v="8.8105392866694131E-3"/>
    <n v="8.8105392866694131E-3"/>
    <n v="8.8105392866694131E-3"/>
    <n v="0"/>
    <n v="0"/>
    <n v="0"/>
    <n v="0"/>
    <n v="0"/>
    <n v="0"/>
    <n v="0"/>
    <n v="0"/>
    <n v="0"/>
    <n v="0"/>
    <n v="0"/>
    <n v="0"/>
    <n v="7.8629772790265369"/>
    <n v="7.8629772790265369"/>
    <n v="7.8629772790265369"/>
    <n v="7.8629772790265369"/>
    <n v="7.8629772790265369"/>
    <n v="7.8629772790265369"/>
    <n v="7.8629772790265369"/>
    <n v="7.8629772790265369"/>
    <n v="7.8629772790265369"/>
    <n v="7.8629772790265369"/>
    <n v="7.8629772790265369"/>
    <n v="7.8629772790265369"/>
    <n v="7.8629772790265369"/>
    <n v="7.8629772790265369"/>
    <n v="7.8629772790265369"/>
    <n v="7.8629772790265369"/>
    <n v="7.8629772790265369"/>
    <n v="7.8629772790265369"/>
    <n v="0"/>
    <n v="0"/>
    <n v="0"/>
    <n v="0"/>
    <n v="0"/>
    <n v="0"/>
    <n v="0"/>
    <n v="0"/>
    <n v="0"/>
    <n v="0"/>
    <n v="0"/>
    <n v="0"/>
  </r>
  <r>
    <x v="2"/>
    <x v="3"/>
    <x v="11"/>
    <s v="Tier 2 – Energy Star® Central Air Conditioner – SEER 15"/>
    <m/>
    <n v="352.90669295211262"/>
    <n v="18"/>
    <n v="1"/>
    <n v="1"/>
    <n v="0.67399999999999993"/>
    <n v="0.67399999999999993"/>
    <n v="5.5563932870776579E-2"/>
    <n v="5.5563932870776579E-2"/>
    <n v="5.5563932870776579E-2"/>
    <n v="5.5563932870776579E-2"/>
    <n v="5.5563932870776579E-2"/>
    <n v="5.5563932870776579E-2"/>
    <n v="5.5563932870776579E-2"/>
    <n v="5.5563932870776579E-2"/>
    <n v="5.5563932870776579E-2"/>
    <n v="5.5563932870776579E-2"/>
    <n v="5.5563932870776579E-2"/>
    <n v="5.5563932870776579E-2"/>
    <n v="5.5563932870776579E-2"/>
    <n v="5.5563932870776579E-2"/>
    <n v="5.5563932870776579E-2"/>
    <n v="5.5563932870776579E-2"/>
    <n v="5.5563932870776579E-2"/>
    <n v="5.5563932870776579E-2"/>
    <n v="0"/>
    <n v="0"/>
    <n v="0"/>
    <n v="0"/>
    <n v="0"/>
    <n v="0"/>
    <n v="0"/>
    <n v="0"/>
    <n v="0"/>
    <n v="0"/>
    <n v="0"/>
    <n v="0"/>
    <n v="49.712554209392287"/>
    <n v="49.712554209392287"/>
    <n v="49.712554209392287"/>
    <n v="49.712554209392287"/>
    <n v="49.712554209392287"/>
    <n v="49.712554209392287"/>
    <n v="49.712554209392287"/>
    <n v="49.712554209392287"/>
    <n v="49.712554209392287"/>
    <n v="49.712554209392287"/>
    <n v="49.712554209392287"/>
    <n v="49.712554209392287"/>
    <n v="49.712554209392287"/>
    <n v="49.712554209392287"/>
    <n v="49.712554209392287"/>
    <n v="49.712554209392287"/>
    <n v="49.712554209392287"/>
    <n v="49.712554209392287"/>
    <n v="0"/>
    <n v="0"/>
    <n v="0"/>
    <n v="0"/>
    <n v="0"/>
    <n v="0"/>
    <n v="0"/>
    <n v="0"/>
    <n v="0"/>
    <n v="0"/>
    <n v="0"/>
    <n v="0"/>
  </r>
  <r>
    <x v="2"/>
    <x v="3"/>
    <x v="12"/>
    <s v="ES specialty CFL lgt bulbs 1-2 pks  "/>
    <m/>
    <n v="0"/>
    <n v="6"/>
    <n v="1"/>
    <n v="1"/>
    <n v="0.66999999999999993"/>
    <n v="0.669999999999999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2"/>
    <s v="ES standard spiral CFL lgt bulbs 1-3pks"/>
    <m/>
    <n v="0"/>
    <n v="9"/>
    <n v="1"/>
    <n v="1"/>
    <n v="0.67999999999999994"/>
    <n v="0.679999999999999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"/>
    <x v="12"/>
    <s v="Power bars with timer or auto-shutoff"/>
    <m/>
    <n v="0"/>
    <n v="10"/>
    <n v="1"/>
    <n v="1"/>
    <n v="0.69"/>
    <n v="0.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K25" firstHeaderRow="0" firstDataRow="1" firstDataCol="1"/>
  <pivotFields count="71">
    <pivotField axis="axisRow" showAll="0">
      <items count="7">
        <item m="1" x="3"/>
        <item x="0"/>
        <item m="1" x="4"/>
        <item x="1"/>
        <item m="1" x="5"/>
        <item x="2"/>
        <item t="default"/>
      </items>
    </pivotField>
    <pivotField axis="axisRow" showAll="0">
      <items count="5">
        <item x="0"/>
        <item x="3"/>
        <item x="1"/>
        <item x="2"/>
        <item t="default"/>
      </items>
    </pivotField>
    <pivotField axis="axisRow" showAll="0">
      <items count="14">
        <item x="7"/>
        <item x="8"/>
        <item x="9"/>
        <item x="10"/>
        <item x="6"/>
        <item x="5"/>
        <item x="0"/>
        <item x="1"/>
        <item x="2"/>
        <item x="3"/>
        <item x="4"/>
        <item x="11"/>
        <item x="12"/>
        <item t="default"/>
      </items>
    </pivotField>
    <pivotField showAll="0"/>
    <pivotField showAll="0"/>
    <pivotField numFmtId="3" showAll="0"/>
    <pivotField numFmtId="1"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0"/>
    <field x="1"/>
    <field x="2"/>
  </rowFields>
  <rowItems count="22">
    <i>
      <x v="1"/>
    </i>
    <i r="1">
      <x/>
    </i>
    <i r="2">
      <x v="6"/>
    </i>
    <i>
      <x v="3"/>
    </i>
    <i r="1">
      <x/>
    </i>
    <i r="2">
      <x v="5"/>
    </i>
    <i r="2">
      <x v="7"/>
    </i>
    <i r="1">
      <x v="2"/>
    </i>
    <i r="2">
      <x v="4"/>
    </i>
    <i r="2">
      <x v="8"/>
    </i>
    <i r="1">
      <x v="3"/>
    </i>
    <i r="2">
      <x v="9"/>
    </i>
    <i r="2">
      <x v="10"/>
    </i>
    <i>
      <x v="5"/>
    </i>
    <i r="1">
      <x v="1"/>
    </i>
    <i r="2">
      <x/>
    </i>
    <i r="2">
      <x v="1"/>
    </i>
    <i r="2">
      <x v="2"/>
    </i>
    <i r="2">
      <x v="3"/>
    </i>
    <i r="2">
      <x v="11"/>
    </i>
    <i r="2">
      <x v="12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2011 MW" fld="11" baseField="0" baseItem="0"/>
    <dataField name="Sum of 2012 MW" fld="12" baseField="0" baseItem="0"/>
    <dataField name="Sum of 2013 MW" fld="13" baseField="0" baseItem="0"/>
    <dataField name="Sum of 2014 MW" fld="14" baseField="0" baseItem="0"/>
    <dataField name="Sum of 2015 MW" fld="15" baseField="0" baseItem="0"/>
    <dataField name="Sum of 2011 MWh" fld="41" baseField="0" baseItem="0"/>
    <dataField name="Sum of 2012 MWh" fld="42" baseField="0" baseItem="0"/>
    <dataField name="Sum of 2013 MWh" fld="43" baseField="0" baseItem="0"/>
    <dataField name="Sum of 2014 MWh" fld="44" baseField="0" baseItem="0"/>
    <dataField name="Sum of 2015 MWh" fld="45" baseField="0" baseItem="0"/>
  </dataFields>
  <formats count="4">
    <format dxfId="3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0" count="1">
            <x v="5"/>
          </reference>
        </references>
      </pivotArea>
    </format>
    <format dxfId="2">
      <pivotArea collapsedLevelsAreSubtotals="1" fieldPosition="0">
        <references count="2">
          <reference field="4294967294" count="5" selected="0">
            <x v="5"/>
            <x v="6"/>
            <x v="7"/>
            <x v="8"/>
            <x v="9"/>
          </reference>
          <reference field="0" count="1">
            <x v="5"/>
          </reference>
        </references>
      </pivotArea>
    </format>
    <format dxfId="1">
      <pivotArea collapsedLevelsAreSubtotals="1" fieldPosition="0">
        <references count="2">
          <reference field="4294967294" count="5" selected="0">
            <x v="5"/>
            <x v="6"/>
            <x v="7"/>
            <x v="8"/>
            <x v="9"/>
          </reference>
          <reference field="0" count="1">
            <x v="1"/>
          </reference>
        </references>
      </pivotArea>
    </format>
    <format dxfId="0">
      <pivotArea collapsedLevelsAreSubtotals="1" fieldPosition="0">
        <references count="2">
          <reference field="4294967294" count="5" selected="0">
            <x v="5"/>
            <x v="6"/>
            <x v="7"/>
            <x v="8"/>
            <x v="9"/>
          </reference>
          <reference field="0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7"/>
  <sheetViews>
    <sheetView tabSelected="1" topLeftCell="A2" workbookViewId="0">
      <selection activeCell="I44" sqref="I44"/>
    </sheetView>
  </sheetViews>
  <sheetFormatPr defaultColWidth="9.140625" defaultRowHeight="15" x14ac:dyDescent="0.25"/>
  <cols>
    <col min="1" max="1" width="11" style="62" bestFit="1" customWidth="1"/>
    <col min="2" max="2" width="5" style="62" bestFit="1" customWidth="1"/>
    <col min="3" max="3" width="14.7109375" style="61" customWidth="1"/>
    <col min="4" max="4" width="12" style="62" customWidth="1"/>
    <col min="5" max="8" width="9.140625" style="62"/>
    <col min="9" max="9" width="12.42578125" style="63" bestFit="1" customWidth="1"/>
    <col min="10" max="10" width="7" style="62" customWidth="1"/>
    <col min="11" max="11" width="9.140625" style="62"/>
    <col min="12" max="12" width="9.5703125" style="62" bestFit="1" customWidth="1"/>
    <col min="13" max="16384" width="9.140625" style="62"/>
  </cols>
  <sheetData>
    <row r="2" spans="1:9" x14ac:dyDescent="0.25">
      <c r="A2" s="64" t="s">
        <v>140</v>
      </c>
    </row>
    <row r="4" spans="1:9" ht="15" customHeight="1" x14ac:dyDescent="0.25">
      <c r="A4" s="95" t="s">
        <v>141</v>
      </c>
      <c r="B4" s="97"/>
      <c r="C4" s="99" t="s">
        <v>161</v>
      </c>
      <c r="D4" s="101" t="s">
        <v>157</v>
      </c>
      <c r="E4" s="101"/>
      <c r="F4" s="101"/>
      <c r="G4" s="102"/>
      <c r="H4" s="91" t="s">
        <v>160</v>
      </c>
      <c r="I4" s="93" t="s">
        <v>139</v>
      </c>
    </row>
    <row r="5" spans="1:9" ht="30" customHeight="1" x14ac:dyDescent="0.25">
      <c r="A5" s="96"/>
      <c r="B5" s="98"/>
      <c r="C5" s="100"/>
      <c r="D5" s="65" t="s">
        <v>133</v>
      </c>
      <c r="E5" s="65" t="s">
        <v>134</v>
      </c>
      <c r="F5" s="65" t="s">
        <v>135</v>
      </c>
      <c r="G5" s="65" t="s">
        <v>136</v>
      </c>
      <c r="H5" s="92"/>
      <c r="I5" s="94"/>
    </row>
    <row r="6" spans="1:9" x14ac:dyDescent="0.25">
      <c r="A6" s="66" t="s">
        <v>123</v>
      </c>
      <c r="B6" s="66" t="s">
        <v>132</v>
      </c>
      <c r="C6" s="67">
        <f>'LRAM Calc by program'!C13</f>
        <v>1255834.7085845028</v>
      </c>
      <c r="D6" s="66">
        <f>'LRAM Calc by program'!D7</f>
        <v>1.41E-2</v>
      </c>
      <c r="E6" s="66">
        <f>'LRAM Calc by program'!E7</f>
        <v>5.0000000000000001E-4</v>
      </c>
      <c r="F6" s="66">
        <f>'LRAM Calc by program'!F7</f>
        <v>0</v>
      </c>
      <c r="G6" s="66">
        <f>SUM(D6:F6)</f>
        <v>1.46E-2</v>
      </c>
      <c r="H6" s="68">
        <v>1</v>
      </c>
      <c r="I6" s="68">
        <f>+C6*G6*H6</f>
        <v>18335.18674533374</v>
      </c>
    </row>
    <row r="7" spans="1:9" x14ac:dyDescent="0.25">
      <c r="A7" s="66" t="s">
        <v>130</v>
      </c>
      <c r="B7" s="66" t="s">
        <v>132</v>
      </c>
      <c r="C7" s="67">
        <f>'LRAM Calc by program'!C16</f>
        <v>43921.704200372813</v>
      </c>
      <c r="D7" s="66">
        <f>'LRAM Calc by program'!D16</f>
        <v>1.9400000000000001E-2</v>
      </c>
      <c r="E7" s="66">
        <f>'LRAM Calc by program'!E16</f>
        <v>0</v>
      </c>
      <c r="F7" s="66">
        <f>'LRAM Calc by program'!F16</f>
        <v>0</v>
      </c>
      <c r="G7" s="66">
        <f>SUM(D7:F7)</f>
        <v>1.9400000000000001E-2</v>
      </c>
      <c r="H7" s="68">
        <v>1</v>
      </c>
      <c r="I7" s="68">
        <f t="shared" ref="I7:I8" si="0">+C7*G7*H7</f>
        <v>852.08106148723255</v>
      </c>
    </row>
    <row r="8" spans="1:9" x14ac:dyDescent="0.25">
      <c r="A8" s="66" t="s">
        <v>131</v>
      </c>
      <c r="B8" s="66" t="s">
        <v>138</v>
      </c>
      <c r="C8" s="67">
        <f>'LRAM Calc by program'!C25</f>
        <v>643.30401800558934</v>
      </c>
      <c r="D8" s="66">
        <f>'LRAM Calc by program'!D19</f>
        <v>3.9178000000000002</v>
      </c>
      <c r="E8" s="66">
        <f>'LRAM Calc by program'!E19</f>
        <v>1.5299999999999999E-2</v>
      </c>
      <c r="F8" s="66">
        <f>'LRAM Calc by program'!F19</f>
        <v>0</v>
      </c>
      <c r="G8" s="66">
        <f>SUM(D8:F8)</f>
        <v>3.9331</v>
      </c>
      <c r="H8" s="68">
        <f>+'LRAM Calc by program'!L25</f>
        <v>5.5593102420759308</v>
      </c>
      <c r="I8" s="68">
        <f t="shared" si="0"/>
        <v>14066.0502136534</v>
      </c>
    </row>
    <row r="9" spans="1:9" x14ac:dyDescent="0.25">
      <c r="A9" s="69"/>
      <c r="B9" s="70"/>
      <c r="C9" s="71"/>
      <c r="D9" s="70"/>
      <c r="E9" s="70"/>
      <c r="F9" s="70"/>
      <c r="G9" s="70"/>
      <c r="H9" s="70"/>
      <c r="I9" s="68"/>
    </row>
    <row r="10" spans="1:9" ht="15.75" thickBot="1" x14ac:dyDescent="0.3">
      <c r="A10" s="75" t="s">
        <v>162</v>
      </c>
      <c r="B10" s="76"/>
      <c r="C10" s="77"/>
      <c r="D10" s="76"/>
      <c r="E10" s="76"/>
      <c r="F10" s="76"/>
      <c r="G10" s="76"/>
      <c r="H10" s="76"/>
      <c r="I10" s="78">
        <f>SUM(I6:I8)</f>
        <v>33253.318020474369</v>
      </c>
    </row>
    <row r="11" spans="1:9" ht="15.75" thickTop="1" x14ac:dyDescent="0.25">
      <c r="A11" s="72"/>
      <c r="B11" s="72"/>
      <c r="C11" s="73"/>
      <c r="D11" s="72"/>
      <c r="E11" s="72"/>
      <c r="F11" s="72"/>
      <c r="G11" s="72"/>
      <c r="H11" s="72"/>
      <c r="I11" s="74"/>
    </row>
    <row r="13" spans="1:9" ht="15" customHeight="1" x14ac:dyDescent="0.25">
      <c r="A13" s="95" t="s">
        <v>142</v>
      </c>
      <c r="B13" s="97"/>
      <c r="C13" s="99" t="s">
        <v>161</v>
      </c>
      <c r="D13" s="101" t="s">
        <v>157</v>
      </c>
      <c r="E13" s="101"/>
      <c r="F13" s="101"/>
      <c r="G13" s="102"/>
      <c r="H13" s="91" t="s">
        <v>160</v>
      </c>
      <c r="I13" s="93" t="s">
        <v>139</v>
      </c>
    </row>
    <row r="14" spans="1:9" ht="29.25" customHeight="1" x14ac:dyDescent="0.25">
      <c r="A14" s="96"/>
      <c r="B14" s="98"/>
      <c r="C14" s="100"/>
      <c r="D14" s="65" t="s">
        <v>133</v>
      </c>
      <c r="E14" s="65" t="s">
        <v>134</v>
      </c>
      <c r="F14" s="65" t="s">
        <v>135</v>
      </c>
      <c r="G14" s="65" t="s">
        <v>136</v>
      </c>
      <c r="H14" s="92"/>
      <c r="I14" s="94"/>
    </row>
    <row r="15" spans="1:9" x14ac:dyDescent="0.25">
      <c r="A15" s="66" t="s">
        <v>123</v>
      </c>
      <c r="B15" s="66" t="s">
        <v>132</v>
      </c>
      <c r="C15" s="67">
        <f>'LRAM Calc by program'!C39</f>
        <v>1255834.7085845028</v>
      </c>
      <c r="D15" s="66">
        <f>'LRAM Calc by program'!D33</f>
        <v>1.4200000000000001E-2</v>
      </c>
      <c r="E15" s="66">
        <f>'LRAM Calc by program'!E33</f>
        <v>8.9999999999999998E-4</v>
      </c>
      <c r="F15" s="66">
        <f>'LRAM Calc by program'!F33</f>
        <v>-2.0000000000000001E-4</v>
      </c>
      <c r="G15" s="66">
        <f t="shared" ref="G15:G16" si="1">SUM(D15:F15)</f>
        <v>1.49E-2</v>
      </c>
      <c r="H15" s="68">
        <v>1</v>
      </c>
      <c r="I15" s="68">
        <f>C15*G15*H15</f>
        <v>18711.937157909091</v>
      </c>
    </row>
    <row r="16" spans="1:9" x14ac:dyDescent="0.25">
      <c r="A16" s="66" t="s">
        <v>130</v>
      </c>
      <c r="B16" s="66" t="s">
        <v>132</v>
      </c>
      <c r="C16" s="67">
        <f>'LRAM Calc by program'!C42</f>
        <v>43921.704200372813</v>
      </c>
      <c r="D16" s="66">
        <f>'LRAM Calc by program'!D42</f>
        <v>1.95E-2</v>
      </c>
      <c r="E16" s="66">
        <f>'LRAM Calc by program'!E42</f>
        <v>1.1000000000000001E-3</v>
      </c>
      <c r="F16" s="66">
        <f>'LRAM Calc by program'!F42</f>
        <v>-1E-4</v>
      </c>
      <c r="G16" s="66">
        <f t="shared" si="1"/>
        <v>2.0500000000000001E-2</v>
      </c>
      <c r="H16" s="68">
        <v>1</v>
      </c>
      <c r="I16" s="68">
        <f>C16*G16*H16</f>
        <v>900.39493610764271</v>
      </c>
    </row>
    <row r="17" spans="1:12" x14ac:dyDescent="0.25">
      <c r="A17" s="66" t="s">
        <v>131</v>
      </c>
      <c r="B17" s="66" t="s">
        <v>138</v>
      </c>
      <c r="C17" s="67">
        <f>'LRAM Calc by program'!C51</f>
        <v>298.0272180055893</v>
      </c>
      <c r="D17" s="66">
        <f>'LRAM Calc by program'!D45</f>
        <v>3.9405000000000001</v>
      </c>
      <c r="E17" s="66">
        <f>'LRAM Calc by program'!E45</f>
        <v>6.2700000000000006E-2</v>
      </c>
      <c r="F17" s="66">
        <f>'LRAM Calc by program'!F45</f>
        <v>-2.1999999999999999E-2</v>
      </c>
      <c r="G17" s="66">
        <f>SUM(D17:F17)</f>
        <v>3.9812000000000007</v>
      </c>
      <c r="H17" s="68">
        <v>12</v>
      </c>
      <c r="I17" s="68">
        <f>C17*G17*H17</f>
        <v>14238.071523886229</v>
      </c>
    </row>
    <row r="19" spans="1:12" ht="15.75" thickBot="1" x14ac:dyDescent="0.3">
      <c r="A19" s="75" t="s">
        <v>156</v>
      </c>
      <c r="B19" s="76"/>
      <c r="C19" s="77"/>
      <c r="D19" s="76"/>
      <c r="E19" s="76"/>
      <c r="F19" s="76"/>
      <c r="G19" s="76"/>
      <c r="H19" s="76"/>
      <c r="I19" s="78">
        <f>SUM(I15:I18)</f>
        <v>33850.403617902964</v>
      </c>
    </row>
    <row r="20" spans="1:12" ht="15.75" thickTop="1" x14ac:dyDescent="0.25"/>
    <row r="22" spans="1:12" ht="15" customHeight="1" x14ac:dyDescent="0.25">
      <c r="A22" s="95" t="s">
        <v>143</v>
      </c>
      <c r="B22" s="97"/>
      <c r="C22" s="99" t="s">
        <v>161</v>
      </c>
      <c r="D22" s="101" t="s">
        <v>157</v>
      </c>
      <c r="E22" s="101"/>
      <c r="F22" s="101"/>
      <c r="G22" s="102"/>
      <c r="H22" s="91" t="s">
        <v>160</v>
      </c>
      <c r="I22" s="93" t="s">
        <v>139</v>
      </c>
    </row>
    <row r="23" spans="1:12" x14ac:dyDescent="0.25">
      <c r="A23" s="96"/>
      <c r="B23" s="98"/>
      <c r="C23" s="100"/>
      <c r="D23" s="79" t="s">
        <v>133</v>
      </c>
      <c r="E23" s="79" t="s">
        <v>134</v>
      </c>
      <c r="F23" s="79" t="s">
        <v>135</v>
      </c>
      <c r="G23" s="79" t="s">
        <v>136</v>
      </c>
      <c r="H23" s="92"/>
      <c r="I23" s="94"/>
    </row>
    <row r="24" spans="1:12" x14ac:dyDescent="0.25">
      <c r="A24" s="66" t="s">
        <v>123</v>
      </c>
      <c r="B24" s="66" t="s">
        <v>132</v>
      </c>
      <c r="C24" s="67">
        <f>'LRAM Calc by program'!C66</f>
        <v>1255834.7085845028</v>
      </c>
      <c r="D24" s="66">
        <f>'LRAM Calc by program'!D60</f>
        <v>1.44E-2</v>
      </c>
      <c r="E24" s="66">
        <f>'LRAM Calc by program'!E60</f>
        <v>0</v>
      </c>
      <c r="F24" s="66">
        <f>'LRAM Calc by program'!F60</f>
        <v>0</v>
      </c>
      <c r="G24" s="66">
        <f t="shared" ref="G24:G25" si="2">SUM(D24:F24)</f>
        <v>1.44E-2</v>
      </c>
      <c r="H24" s="68">
        <v>1</v>
      </c>
      <c r="I24" s="68">
        <f>C24*G24*H24</f>
        <v>18084.01980361684</v>
      </c>
    </row>
    <row r="25" spans="1:12" x14ac:dyDescent="0.25">
      <c r="A25" s="66" t="s">
        <v>130</v>
      </c>
      <c r="B25" s="66" t="s">
        <v>132</v>
      </c>
      <c r="C25" s="67">
        <f>'LRAM Calc by program'!C69</f>
        <v>41453.416326384882</v>
      </c>
      <c r="D25" s="66">
        <f>'LRAM Calc by program'!D69</f>
        <v>1.9699999999999999E-2</v>
      </c>
      <c r="E25" s="66">
        <f>'LRAM Calc by program'!E69</f>
        <v>0</v>
      </c>
      <c r="F25" s="66">
        <f>'LRAM Calc by program'!F69</f>
        <v>0</v>
      </c>
      <c r="G25" s="66">
        <f t="shared" si="2"/>
        <v>1.9699999999999999E-2</v>
      </c>
      <c r="H25" s="68">
        <v>1</v>
      </c>
      <c r="I25" s="68">
        <f>C25*G25*H25</f>
        <v>816.63230162978209</v>
      </c>
    </row>
    <row r="26" spans="1:12" x14ac:dyDescent="0.25">
      <c r="A26" s="66" t="s">
        <v>131</v>
      </c>
      <c r="B26" s="66" t="s">
        <v>138</v>
      </c>
      <c r="C26" s="67">
        <f>'LRAM Calc by program'!C78</f>
        <v>298.0272180055893</v>
      </c>
      <c r="D26" s="66">
        <f>'LRAM Calc by program'!D72</f>
        <v>3.9830999999999999</v>
      </c>
      <c r="E26" s="66">
        <f>'LRAM Calc by program'!E72</f>
        <v>0</v>
      </c>
      <c r="F26" s="66">
        <f>'LRAM Calc by program'!F72</f>
        <v>0</v>
      </c>
      <c r="G26" s="66">
        <f>SUM(D26:F26)</f>
        <v>3.9830999999999999</v>
      </c>
      <c r="H26" s="68">
        <v>12</v>
      </c>
      <c r="I26" s="68">
        <f>C26*G26*H26</f>
        <v>14244.866544456752</v>
      </c>
      <c r="L26" s="63"/>
    </row>
    <row r="28" spans="1:12" ht="15.75" thickBot="1" x14ac:dyDescent="0.3">
      <c r="A28" s="75" t="s">
        <v>144</v>
      </c>
      <c r="B28" s="76"/>
      <c r="C28" s="77"/>
      <c r="D28" s="76"/>
      <c r="E28" s="76"/>
      <c r="F28" s="76"/>
      <c r="G28" s="76"/>
      <c r="H28" s="76"/>
      <c r="I28" s="78">
        <f>SUM(I24:I27)</f>
        <v>33145.518649703372</v>
      </c>
      <c r="J28" s="62" t="s">
        <v>147</v>
      </c>
    </row>
    <row r="29" spans="1:12" ht="15.75" thickTop="1" x14ac:dyDescent="0.25"/>
    <row r="31" spans="1:12" ht="15" customHeight="1" x14ac:dyDescent="0.25">
      <c r="A31" s="95" t="s">
        <v>150</v>
      </c>
      <c r="B31" s="97"/>
      <c r="C31" s="99" t="s">
        <v>161</v>
      </c>
      <c r="D31" s="101" t="s">
        <v>157</v>
      </c>
      <c r="E31" s="101"/>
      <c r="F31" s="101"/>
      <c r="G31" s="102"/>
      <c r="H31" s="91" t="s">
        <v>160</v>
      </c>
      <c r="I31" s="93" t="s">
        <v>139</v>
      </c>
    </row>
    <row r="32" spans="1:12" x14ac:dyDescent="0.25">
      <c r="A32" s="96"/>
      <c r="B32" s="98"/>
      <c r="C32" s="100"/>
      <c r="D32" s="81" t="s">
        <v>133</v>
      </c>
      <c r="E32" s="81" t="s">
        <v>134</v>
      </c>
      <c r="F32" s="81" t="s">
        <v>135</v>
      </c>
      <c r="G32" s="81" t="s">
        <v>136</v>
      </c>
      <c r="H32" s="92"/>
      <c r="I32" s="94"/>
    </row>
    <row r="33" spans="1:9" x14ac:dyDescent="0.25">
      <c r="A33" s="66" t="s">
        <v>123</v>
      </c>
      <c r="B33" s="66" t="s">
        <v>132</v>
      </c>
      <c r="C33" s="67">
        <f>+'LRAM Calc by program'!C92</f>
        <v>1254632.5072898613</v>
      </c>
      <c r="D33" s="66">
        <v>1.46E-2</v>
      </c>
      <c r="E33" s="66">
        <f>'LRAM Calc by program'!E70</f>
        <v>0</v>
      </c>
      <c r="F33" s="66">
        <f>'LRAM Calc by program'!F70</f>
        <v>0</v>
      </c>
      <c r="G33" s="66">
        <f t="shared" ref="G33:G34" si="3">SUM(D33:F33)</f>
        <v>1.46E-2</v>
      </c>
      <c r="H33" s="68">
        <v>1</v>
      </c>
      <c r="I33" s="68">
        <f>C33*G33*H33</f>
        <v>18317.634606431977</v>
      </c>
    </row>
    <row r="34" spans="1:9" x14ac:dyDescent="0.25">
      <c r="A34" s="66" t="s">
        <v>130</v>
      </c>
      <c r="B34" s="66" t="s">
        <v>132</v>
      </c>
      <c r="C34" s="67">
        <f>+'LRAM Calc by program'!C95</f>
        <v>33345.943398082665</v>
      </c>
      <c r="D34" s="66">
        <v>0.02</v>
      </c>
      <c r="E34" s="66">
        <f>'LRAM Calc by program'!E79</f>
        <v>0</v>
      </c>
      <c r="F34" s="66">
        <f>'LRAM Calc by program'!F79</f>
        <v>0</v>
      </c>
      <c r="G34" s="66">
        <f t="shared" si="3"/>
        <v>0.02</v>
      </c>
      <c r="H34" s="68">
        <v>1</v>
      </c>
      <c r="I34" s="68">
        <f>C34*G34*H34</f>
        <v>666.91886796165329</v>
      </c>
    </row>
    <row r="35" spans="1:9" x14ac:dyDescent="0.25">
      <c r="A35" s="66" t="s">
        <v>131</v>
      </c>
      <c r="B35" s="66" t="s">
        <v>138</v>
      </c>
      <c r="C35" s="67">
        <f>+'LRAM Calc by program'!C104</f>
        <v>298.0272180055893</v>
      </c>
      <c r="D35" s="66">
        <v>4.0388999999999999</v>
      </c>
      <c r="E35" s="66">
        <f>'LRAM Calc by program'!E81</f>
        <v>0</v>
      </c>
      <c r="F35" s="66">
        <f>'LRAM Calc by program'!F81</f>
        <v>0</v>
      </c>
      <c r="G35" s="66">
        <f>SUM(D35:F35)</f>
        <v>4.0388999999999999</v>
      </c>
      <c r="H35" s="68">
        <v>12</v>
      </c>
      <c r="I35" s="68">
        <f>C35*G35*H35</f>
        <v>14444.425569633297</v>
      </c>
    </row>
    <row r="37" spans="1:9" ht="15.75" thickBot="1" x14ac:dyDescent="0.3">
      <c r="A37" s="75" t="s">
        <v>151</v>
      </c>
      <c r="B37" s="76"/>
      <c r="C37" s="77"/>
      <c r="D37" s="76"/>
      <c r="E37" s="76"/>
      <c r="F37" s="76"/>
      <c r="G37" s="76"/>
      <c r="H37" s="76"/>
      <c r="I37" s="78">
        <f>SUM(I33:I36)</f>
        <v>33428.979044026928</v>
      </c>
    </row>
    <row r="38" spans="1:9" ht="15.75" thickTop="1" x14ac:dyDescent="0.25"/>
    <row r="40" spans="1:9" ht="15" customHeight="1" x14ac:dyDescent="0.25">
      <c r="A40" s="95" t="s">
        <v>154</v>
      </c>
      <c r="B40" s="97"/>
      <c r="C40" s="99" t="s">
        <v>161</v>
      </c>
      <c r="D40" s="101" t="s">
        <v>158</v>
      </c>
      <c r="E40" s="101"/>
      <c r="F40" s="101"/>
      <c r="G40" s="102"/>
      <c r="H40" s="91" t="s">
        <v>160</v>
      </c>
      <c r="I40" s="93" t="s">
        <v>139</v>
      </c>
    </row>
    <row r="41" spans="1:9" x14ac:dyDescent="0.25">
      <c r="A41" s="96"/>
      <c r="B41" s="98"/>
      <c r="C41" s="100"/>
      <c r="D41" s="86" t="s">
        <v>133</v>
      </c>
      <c r="E41" s="86" t="s">
        <v>134</v>
      </c>
      <c r="F41" s="86" t="s">
        <v>135</v>
      </c>
      <c r="G41" s="86" t="s">
        <v>136</v>
      </c>
      <c r="H41" s="92"/>
      <c r="I41" s="94"/>
    </row>
    <row r="42" spans="1:9" x14ac:dyDescent="0.25">
      <c r="A42" s="66" t="s">
        <v>123</v>
      </c>
      <c r="B42" s="66" t="s">
        <v>132</v>
      </c>
      <c r="C42" s="67">
        <f>+'LRAM Calc by program'!C118</f>
        <v>1142270.6567829293</v>
      </c>
      <c r="D42" s="66">
        <v>1.4800000000000001E-2</v>
      </c>
      <c r="E42" s="66">
        <f>'LRAM Calc by program'!E80</f>
        <v>0</v>
      </c>
      <c r="F42" s="66">
        <f>'LRAM Calc by program'!F80</f>
        <v>0</v>
      </c>
      <c r="G42" s="66">
        <f t="shared" ref="G42:G43" si="4">SUM(D42:F42)</f>
        <v>1.4800000000000001E-2</v>
      </c>
      <c r="H42" s="68">
        <v>1</v>
      </c>
      <c r="I42" s="68">
        <f>C42*G42*H42</f>
        <v>16905.605720387353</v>
      </c>
    </row>
    <row r="43" spans="1:9" x14ac:dyDescent="0.25">
      <c r="A43" s="66" t="s">
        <v>130</v>
      </c>
      <c r="B43" s="66" t="s">
        <v>132</v>
      </c>
      <c r="C43" s="67">
        <f>+'LRAM Calc by program'!C121</f>
        <v>33345.943398082665</v>
      </c>
      <c r="D43" s="66">
        <v>2.0299999999999999E-2</v>
      </c>
      <c r="E43" s="66">
        <f>'LRAM Calc by program'!E87</f>
        <v>0</v>
      </c>
      <c r="F43" s="66">
        <f>'LRAM Calc by program'!F87</f>
        <v>0</v>
      </c>
      <c r="G43" s="66">
        <f t="shared" si="4"/>
        <v>2.0299999999999999E-2</v>
      </c>
      <c r="H43" s="68">
        <v>1</v>
      </c>
      <c r="I43" s="68">
        <f>C43*G43*H43</f>
        <v>676.92265098107805</v>
      </c>
    </row>
    <row r="44" spans="1:9" x14ac:dyDescent="0.25">
      <c r="A44" s="66" t="s">
        <v>131</v>
      </c>
      <c r="B44" s="66" t="s">
        <v>138</v>
      </c>
      <c r="C44" s="67">
        <f>+'LRAM Calc by program'!C130</f>
        <v>298.0272180055893</v>
      </c>
      <c r="D44" s="66">
        <v>4.0914000000000001</v>
      </c>
      <c r="E44" s="66">
        <f>'LRAM Calc by program'!E90</f>
        <v>0</v>
      </c>
      <c r="F44" s="66">
        <f>'LRAM Calc by program'!F90</f>
        <v>0</v>
      </c>
      <c r="G44" s="66">
        <f>SUM(D44:F44)</f>
        <v>4.0914000000000001</v>
      </c>
      <c r="H44" s="68">
        <v>12</v>
      </c>
      <c r="I44" s="68">
        <f>C44*G44*H44</f>
        <v>14632.182716976817</v>
      </c>
    </row>
    <row r="46" spans="1:9" ht="15.75" thickBot="1" x14ac:dyDescent="0.3">
      <c r="A46" s="75" t="s">
        <v>155</v>
      </c>
      <c r="B46" s="76"/>
      <c r="C46" s="77"/>
      <c r="D46" s="76"/>
      <c r="E46" s="76"/>
      <c r="F46" s="76"/>
      <c r="G46" s="76"/>
      <c r="H46" s="76"/>
      <c r="I46" s="78">
        <f>SUM(I42:I45)</f>
        <v>32214.711088345248</v>
      </c>
    </row>
    <row r="47" spans="1:9" ht="15.75" thickTop="1" x14ac:dyDescent="0.25">
      <c r="I47" s="63" t="s">
        <v>147</v>
      </c>
    </row>
  </sheetData>
  <mergeCells count="30">
    <mergeCell ref="I40:I41"/>
    <mergeCell ref="A40:A41"/>
    <mergeCell ref="B40:B41"/>
    <mergeCell ref="C40:C41"/>
    <mergeCell ref="D40:G40"/>
    <mergeCell ref="H40:H41"/>
    <mergeCell ref="I31:I32"/>
    <mergeCell ref="A31:A32"/>
    <mergeCell ref="B31:B32"/>
    <mergeCell ref="C31:C32"/>
    <mergeCell ref="D31:G31"/>
    <mergeCell ref="H31:H32"/>
    <mergeCell ref="I22:I23"/>
    <mergeCell ref="A22:A23"/>
    <mergeCell ref="B22:B23"/>
    <mergeCell ref="C22:C23"/>
    <mergeCell ref="D22:G22"/>
    <mergeCell ref="H22:H23"/>
    <mergeCell ref="H4:H5"/>
    <mergeCell ref="I4:I5"/>
    <mergeCell ref="A13:A14"/>
    <mergeCell ref="B13:B14"/>
    <mergeCell ref="C13:C14"/>
    <mergeCell ref="H13:H14"/>
    <mergeCell ref="I13:I14"/>
    <mergeCell ref="D4:G4"/>
    <mergeCell ref="D13:G13"/>
    <mergeCell ref="C4:C5"/>
    <mergeCell ref="A4:A5"/>
    <mergeCell ref="B4:B5"/>
  </mergeCells>
  <pageMargins left="0.7" right="0.7" top="0.75" bottom="0.75" header="0.3" footer="0.3"/>
  <pageSetup scale="94"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topLeftCell="A70" zoomScale="85" zoomScaleNormal="85" workbookViewId="0">
      <selection activeCell="C7" sqref="C7"/>
    </sheetView>
  </sheetViews>
  <sheetFormatPr defaultRowHeight="15" x14ac:dyDescent="0.25"/>
  <cols>
    <col min="1" max="1" width="83.5703125" customWidth="1"/>
    <col min="2" max="2" width="5" bestFit="1" customWidth="1"/>
    <col min="3" max="3" width="14.7109375" style="16" customWidth="1"/>
    <col min="4" max="4" width="12" customWidth="1"/>
    <col min="8" max="8" width="7.140625" bestFit="1" customWidth="1"/>
    <col min="9" max="9" width="10.85546875" style="17" bestFit="1" customWidth="1"/>
  </cols>
  <sheetData>
    <row r="1" spans="1:12" x14ac:dyDescent="0.25">
      <c r="A1" s="28"/>
      <c r="B1" s="15"/>
      <c r="I1" s="54"/>
      <c r="J1" s="55"/>
      <c r="K1" s="55"/>
      <c r="L1" s="55"/>
    </row>
    <row r="2" spans="1:12" x14ac:dyDescent="0.25">
      <c r="A2" s="41" t="s">
        <v>140</v>
      </c>
      <c r="I2" s="54"/>
      <c r="J2" s="55"/>
      <c r="K2" s="55"/>
      <c r="L2" s="55"/>
    </row>
    <row r="4" spans="1:12" ht="15" customHeight="1" x14ac:dyDescent="0.25">
      <c r="A4" s="105" t="s">
        <v>141</v>
      </c>
      <c r="B4" s="107"/>
      <c r="C4" s="109" t="s">
        <v>161</v>
      </c>
      <c r="D4" s="111" t="s">
        <v>157</v>
      </c>
      <c r="E4" s="111"/>
      <c r="F4" s="111"/>
      <c r="G4" s="112"/>
      <c r="H4" s="113" t="s">
        <v>160</v>
      </c>
      <c r="I4" s="103" t="s">
        <v>139</v>
      </c>
    </row>
    <row r="5" spans="1:12" ht="30" customHeight="1" x14ac:dyDescent="0.25">
      <c r="A5" s="106"/>
      <c r="B5" s="108"/>
      <c r="C5" s="110"/>
      <c r="D5" s="21" t="s">
        <v>133</v>
      </c>
      <c r="E5" s="21" t="s">
        <v>134</v>
      </c>
      <c r="F5" s="21" t="s">
        <v>135</v>
      </c>
      <c r="G5" s="21" t="s">
        <v>136</v>
      </c>
      <c r="H5" s="114"/>
      <c r="I5" s="104"/>
    </row>
    <row r="6" spans="1:12" x14ac:dyDescent="0.25">
      <c r="A6" s="29" t="s">
        <v>123</v>
      </c>
      <c r="B6" s="29"/>
      <c r="C6" s="30"/>
      <c r="D6" s="29"/>
      <c r="E6" s="29"/>
      <c r="F6" s="29"/>
      <c r="G6" s="29"/>
      <c r="H6" s="29"/>
      <c r="I6" s="31"/>
    </row>
    <row r="7" spans="1:12" x14ac:dyDescent="0.25">
      <c r="A7" s="51" t="s">
        <v>68</v>
      </c>
      <c r="B7" s="42" t="s">
        <v>132</v>
      </c>
      <c r="C7" s="43">
        <f>+GETPIVOTDATA("Sum of 2011 MWh",pivot!$A$3,"Customer Class","Residential","Program","Consumer","Initiative","Appliance Exchange")*1000</f>
        <v>3509.2342854055782</v>
      </c>
      <c r="D7" s="42">
        <v>1.41E-2</v>
      </c>
      <c r="E7" s="42">
        <v>5.0000000000000001E-4</v>
      </c>
      <c r="F7" s="42">
        <v>0</v>
      </c>
      <c r="G7" s="42">
        <f t="shared" ref="G7:G12" si="0">SUM(D7:F7)</f>
        <v>1.46E-2</v>
      </c>
      <c r="H7" s="42">
        <v>1</v>
      </c>
      <c r="I7" s="44">
        <f t="shared" ref="I7:I12" si="1">C7*G7*H7</f>
        <v>51.234820566921442</v>
      </c>
    </row>
    <row r="8" spans="1:12" x14ac:dyDescent="0.25">
      <c r="A8" s="52" t="s">
        <v>72</v>
      </c>
      <c r="B8" s="45" t="s">
        <v>132</v>
      </c>
      <c r="C8" s="43">
        <f>+GETPIVOTDATA("Sum of 2011 MWh",pivot!$A$3,"Customer Class","Residential","Program","Consumer","Initiative","Appliance Retirement")*1000</f>
        <v>226453.14720386377</v>
      </c>
      <c r="D8" s="45">
        <v>1.41E-2</v>
      </c>
      <c r="E8" s="45">
        <v>5.0000000000000001E-4</v>
      </c>
      <c r="F8" s="45">
        <v>0</v>
      </c>
      <c r="G8" s="45">
        <f t="shared" si="0"/>
        <v>1.46E-2</v>
      </c>
      <c r="H8" s="45">
        <v>1</v>
      </c>
      <c r="I8" s="47">
        <f t="shared" si="1"/>
        <v>3306.215949176411</v>
      </c>
    </row>
    <row r="9" spans="1:12" x14ac:dyDescent="0.25">
      <c r="A9" s="52" t="s">
        <v>79</v>
      </c>
      <c r="B9" s="45" t="s">
        <v>132</v>
      </c>
      <c r="C9" s="43">
        <f>+GETPIVOTDATA("Sum of 2011 MWh",pivot!$A$3,"Customer Class","Residential","Program","Consumer","Initiative","Bi-Annual Retailer Event")*1000</f>
        <v>254227.22478472994</v>
      </c>
      <c r="D9" s="45">
        <v>1.41E-2</v>
      </c>
      <c r="E9" s="45">
        <v>5.0000000000000001E-4</v>
      </c>
      <c r="F9" s="45">
        <v>0</v>
      </c>
      <c r="G9" s="45">
        <f t="shared" si="0"/>
        <v>1.46E-2</v>
      </c>
      <c r="H9" s="45">
        <v>1</v>
      </c>
      <c r="I9" s="47">
        <f t="shared" si="1"/>
        <v>3711.717481857057</v>
      </c>
    </row>
    <row r="10" spans="1:12" x14ac:dyDescent="0.25">
      <c r="A10" s="52" t="s">
        <v>98</v>
      </c>
      <c r="B10" s="45" t="s">
        <v>132</v>
      </c>
      <c r="C10" s="43">
        <f>+GETPIVOTDATA("Sum of 2011 MWh",pivot!$A$3,"Customer Class","Residential","Program","Consumer","Initiative","Conservation Instant Coupon Booklet")*1000</f>
        <v>191284.50836094515</v>
      </c>
      <c r="D10" s="45">
        <v>1.41E-2</v>
      </c>
      <c r="E10" s="45">
        <v>5.0000000000000001E-4</v>
      </c>
      <c r="F10" s="45">
        <v>0</v>
      </c>
      <c r="G10" s="45">
        <f t="shared" si="0"/>
        <v>1.46E-2</v>
      </c>
      <c r="H10" s="45">
        <v>1</v>
      </c>
      <c r="I10" s="47">
        <f t="shared" si="1"/>
        <v>2792.7538220697993</v>
      </c>
    </row>
    <row r="11" spans="1:12" x14ac:dyDescent="0.25">
      <c r="A11" s="52" t="s">
        <v>111</v>
      </c>
      <c r="B11" s="45" t="s">
        <v>132</v>
      </c>
      <c r="C11" s="43">
        <f>+GETPIVOTDATA("Sum of 2011 MWh",pivot!$A$3,"Customer Class","Residential","Program","Consumer","Initiative","HVAC Incentives")*1000</f>
        <v>580360.59394955821</v>
      </c>
      <c r="D11" s="45">
        <v>1.41E-2</v>
      </c>
      <c r="E11" s="45">
        <v>5.0000000000000001E-4</v>
      </c>
      <c r="F11" s="45">
        <v>0</v>
      </c>
      <c r="G11" s="45">
        <f t="shared" si="0"/>
        <v>1.46E-2</v>
      </c>
      <c r="H11" s="45">
        <v>1</v>
      </c>
      <c r="I11" s="47">
        <f t="shared" si="1"/>
        <v>8473.26467166355</v>
      </c>
    </row>
    <row r="12" spans="1:12" x14ac:dyDescent="0.25">
      <c r="A12" s="53" t="s">
        <v>115</v>
      </c>
      <c r="B12" s="48" t="s">
        <v>132</v>
      </c>
      <c r="C12" s="43">
        <f>+GETPIVOTDATA("Sum of 2011 MWh",pivot!$A$3,"Customer Class","Residential","Program","Consumer","Initiative","Retailer Co-op")*1000</f>
        <v>0</v>
      </c>
      <c r="D12" s="48">
        <v>1.41E-2</v>
      </c>
      <c r="E12" s="48">
        <v>5.0000000000000001E-4</v>
      </c>
      <c r="F12" s="48">
        <v>0</v>
      </c>
      <c r="G12" s="48">
        <f t="shared" si="0"/>
        <v>1.46E-2</v>
      </c>
      <c r="H12" s="48">
        <v>1</v>
      </c>
      <c r="I12" s="50">
        <f t="shared" si="1"/>
        <v>0</v>
      </c>
    </row>
    <row r="13" spans="1:12" x14ac:dyDescent="0.25">
      <c r="A13" s="19"/>
      <c r="B13" s="19"/>
      <c r="C13" s="18">
        <f>SUM(C7:C12)</f>
        <v>1255834.7085845028</v>
      </c>
      <c r="D13" s="19"/>
      <c r="E13" s="19"/>
      <c r="F13" s="19"/>
      <c r="G13" s="19"/>
      <c r="H13" s="19"/>
      <c r="I13" s="20">
        <f>SUM(I7:I12)</f>
        <v>18335.18674533374</v>
      </c>
    </row>
    <row r="14" spans="1:12" x14ac:dyDescent="0.25">
      <c r="A14" s="29"/>
      <c r="B14" s="29"/>
      <c r="C14" s="30"/>
      <c r="D14" s="29"/>
      <c r="E14" s="29"/>
      <c r="F14" s="29"/>
      <c r="G14" s="29"/>
      <c r="H14" s="29"/>
      <c r="I14" s="31"/>
    </row>
    <row r="15" spans="1:12" x14ac:dyDescent="0.25">
      <c r="A15" s="32" t="s">
        <v>130</v>
      </c>
      <c r="B15" s="32"/>
      <c r="C15" s="33"/>
      <c r="D15" s="32"/>
      <c r="E15" s="32"/>
      <c r="F15" s="32"/>
      <c r="G15" s="32"/>
      <c r="H15" s="32"/>
      <c r="I15" s="34"/>
    </row>
    <row r="16" spans="1:12" x14ac:dyDescent="0.25">
      <c r="A16" s="56" t="s">
        <v>100</v>
      </c>
      <c r="B16" s="19" t="s">
        <v>132</v>
      </c>
      <c r="C16" s="43">
        <f>+GETPIVOTDATA("Sum of 2011 MWh",pivot!$A$3,"Customer Class","GS&lt;50kW")*1000</f>
        <v>43921.704200372813</v>
      </c>
      <c r="D16" s="19">
        <v>1.9400000000000001E-2</v>
      </c>
      <c r="E16" s="19">
        <v>0</v>
      </c>
      <c r="F16" s="19">
        <v>0</v>
      </c>
      <c r="G16" s="19">
        <f>SUM(D16:F16)</f>
        <v>1.9400000000000001E-2</v>
      </c>
      <c r="H16" s="19">
        <v>1</v>
      </c>
      <c r="I16" s="20">
        <f>C16*G16*H16</f>
        <v>852.08106148723255</v>
      </c>
    </row>
    <row r="17" spans="1:12" x14ac:dyDescent="0.25">
      <c r="A17" s="29"/>
      <c r="B17" s="29"/>
      <c r="C17" s="30"/>
      <c r="D17" s="29"/>
      <c r="E17" s="29"/>
      <c r="F17" s="29"/>
      <c r="G17" s="29"/>
      <c r="H17" s="29"/>
      <c r="I17" s="31"/>
      <c r="L17" t="s">
        <v>159</v>
      </c>
    </row>
    <row r="18" spans="1:12" x14ac:dyDescent="0.25">
      <c r="A18" s="35" t="s">
        <v>131</v>
      </c>
      <c r="B18" s="35"/>
      <c r="C18" s="36"/>
      <c r="D18" s="35"/>
      <c r="E18" s="35"/>
      <c r="F18" s="35"/>
      <c r="G18" s="35"/>
      <c r="H18" s="35"/>
      <c r="I18" s="37"/>
    </row>
    <row r="19" spans="1:12" x14ac:dyDescent="0.25">
      <c r="A19" s="51" t="s">
        <v>117</v>
      </c>
      <c r="B19" s="42" t="s">
        <v>138</v>
      </c>
      <c r="C19" s="43">
        <f>+GETPIVOTDATA("Sum of 2011 MW",pivot!$A$3,"Customer Class","GS&gt;50kW","Program","Business","Initiative","Demand Response 3 (part of the Industrial program schedule)")*1000</f>
        <v>108.46119999999999</v>
      </c>
      <c r="D19" s="42">
        <v>3.9178000000000002</v>
      </c>
      <c r="E19" s="42">
        <v>1.5299999999999999E-2</v>
      </c>
      <c r="F19" s="42">
        <v>0</v>
      </c>
      <c r="G19" s="42">
        <f t="shared" ref="G19:G24" si="2">SUM(D19:F19)</f>
        <v>3.9331</v>
      </c>
      <c r="H19" s="42">
        <v>0</v>
      </c>
      <c r="I19" s="44">
        <f t="shared" ref="I19:I24" si="3">C19*G19*H19</f>
        <v>0</v>
      </c>
      <c r="J19" s="25"/>
      <c r="L19" s="17">
        <f>IF(H19&gt;0,H19*C19/C$25,0)</f>
        <v>0</v>
      </c>
    </row>
    <row r="20" spans="1:12" x14ac:dyDescent="0.25">
      <c r="A20" s="52" t="s">
        <v>102</v>
      </c>
      <c r="B20" s="45" t="s">
        <v>138</v>
      </c>
      <c r="C20" s="46">
        <f>+GETPIVOTDATA("Sum of 2011 MW",pivot!$A$3,"Customer Class","GS&gt;50kW","Program","Business","Initiative","Efficiency: Equipment Replacement")*1000</f>
        <v>141.81701488021358</v>
      </c>
      <c r="D20" s="45">
        <v>3.9178000000000002</v>
      </c>
      <c r="E20" s="45">
        <v>1.5299999999999999E-2</v>
      </c>
      <c r="F20" s="45">
        <v>0</v>
      </c>
      <c r="G20" s="45">
        <f t="shared" si="2"/>
        <v>3.9331</v>
      </c>
      <c r="H20" s="45">
        <v>12</v>
      </c>
      <c r="I20" s="47">
        <f t="shared" si="3"/>
        <v>6693.3660147044156</v>
      </c>
      <c r="L20" s="17">
        <f t="shared" ref="L20:L24" si="4">IF(H20&gt;0,H20*C20/C$25,0)</f>
        <v>2.6454120150509874</v>
      </c>
    </row>
    <row r="21" spans="1:12" x14ac:dyDescent="0.25">
      <c r="A21" s="52" t="s">
        <v>118</v>
      </c>
      <c r="B21" s="45" t="s">
        <v>138</v>
      </c>
      <c r="C21" s="46">
        <f>+GETPIVOTDATA("Sum of 2011 MW",pivot!$A$3,"Customer Class","GS&gt;50kW","Program","Industrial","Initiative","Demand Response 3")*1000</f>
        <v>236.81559999999999</v>
      </c>
      <c r="D21" s="45">
        <v>3.9178000000000002</v>
      </c>
      <c r="E21" s="45">
        <v>1.5299999999999999E-2</v>
      </c>
      <c r="F21" s="45">
        <v>0</v>
      </c>
      <c r="G21" s="45">
        <f t="shared" si="2"/>
        <v>3.9331</v>
      </c>
      <c r="H21" s="45">
        <v>0</v>
      </c>
      <c r="I21" s="47">
        <f t="shared" si="3"/>
        <v>0</v>
      </c>
      <c r="L21" s="17">
        <f t="shared" si="4"/>
        <v>0</v>
      </c>
    </row>
    <row r="22" spans="1:12" x14ac:dyDescent="0.25">
      <c r="A22" s="52" t="s">
        <v>107</v>
      </c>
      <c r="B22" s="45" t="s">
        <v>138</v>
      </c>
      <c r="C22" s="46">
        <f>+GETPIVOTDATA("Sum of 2011 MW",pivot!$A$3,"Customer Class","GS&gt;50kW","Program","Industrial","Initiative","Efficiency: Equipment Replacement Incentive (part of the C&amp;I program schedule)")*1000</f>
        <v>58.592049347927158</v>
      </c>
      <c r="D22" s="45">
        <v>3.9178000000000002</v>
      </c>
      <c r="E22" s="45">
        <v>1.5299999999999999E-2</v>
      </c>
      <c r="F22" s="45">
        <v>0</v>
      </c>
      <c r="G22" s="45">
        <f t="shared" si="2"/>
        <v>3.9331</v>
      </c>
      <c r="H22" s="45">
        <v>12</v>
      </c>
      <c r="I22" s="47">
        <f t="shared" si="3"/>
        <v>2765.3806714839875</v>
      </c>
      <c r="L22" s="17">
        <f t="shared" si="4"/>
        <v>1.0929584962875467</v>
      </c>
    </row>
    <row r="23" spans="1:12" x14ac:dyDescent="0.25">
      <c r="A23" s="52" t="s">
        <v>109</v>
      </c>
      <c r="B23" s="45" t="s">
        <v>138</v>
      </c>
      <c r="C23" s="46">
        <f>+GETPIVOTDATA("Sum of 2011 MW",pivot!$A$3,"Customer Class","GS&gt;50kW","Program","Pre-2011 Programs Completed in 2011","Initiative","Electricity Retrofit Incentive Program")*1000</f>
        <v>90.079109120000012</v>
      </c>
      <c r="D23" s="45">
        <v>3.9178000000000002</v>
      </c>
      <c r="E23" s="45">
        <v>1.5299999999999999E-2</v>
      </c>
      <c r="F23" s="45">
        <v>0</v>
      </c>
      <c r="G23" s="45">
        <f t="shared" si="2"/>
        <v>3.9331</v>
      </c>
      <c r="H23" s="45">
        <v>12</v>
      </c>
      <c r="I23" s="47">
        <f t="shared" si="3"/>
        <v>4251.4817289584644</v>
      </c>
      <c r="L23" s="17">
        <f t="shared" si="4"/>
        <v>1.680308655293691</v>
      </c>
    </row>
    <row r="24" spans="1:12" x14ac:dyDescent="0.25">
      <c r="A24" s="53" t="s">
        <v>110</v>
      </c>
      <c r="B24" s="48" t="s">
        <v>138</v>
      </c>
      <c r="C24" s="49">
        <f>+GETPIVOTDATA("Sum of 2011 MW",pivot!$A$3,"Customer Class","GS&gt;50kW","Program","Pre-2011 Programs Completed in 2011","Initiative","High Performance New Construction")*1000</f>
        <v>7.5390446574485956</v>
      </c>
      <c r="D24" s="48">
        <v>3.9178000000000002</v>
      </c>
      <c r="E24" s="48">
        <v>1.5299999999999999E-2</v>
      </c>
      <c r="F24" s="48">
        <v>0</v>
      </c>
      <c r="G24" s="48">
        <f t="shared" si="2"/>
        <v>3.9331</v>
      </c>
      <c r="H24" s="48">
        <v>12</v>
      </c>
      <c r="I24" s="50">
        <f t="shared" si="3"/>
        <v>355.8217985065329</v>
      </c>
      <c r="L24" s="17">
        <f t="shared" si="4"/>
        <v>0.14063107544370587</v>
      </c>
    </row>
    <row r="25" spans="1:12" x14ac:dyDescent="0.25">
      <c r="A25" s="22"/>
      <c r="B25" s="23"/>
      <c r="C25" s="20">
        <f>SUM(C19:C24)</f>
        <v>643.30401800558934</v>
      </c>
      <c r="D25" s="23"/>
      <c r="E25" s="23"/>
      <c r="F25" s="23"/>
      <c r="G25" s="23"/>
      <c r="H25" s="23"/>
      <c r="I25" s="20">
        <f>SUM(I19:I24)</f>
        <v>14066.0502136534</v>
      </c>
      <c r="L25" s="115">
        <f>SUM(L19:L24)</f>
        <v>5.5593102420759308</v>
      </c>
    </row>
    <row r="26" spans="1:12" x14ac:dyDescent="0.25">
      <c r="A26" s="38"/>
      <c r="B26" s="39"/>
      <c r="C26" s="40"/>
      <c r="D26" s="39"/>
      <c r="E26" s="39"/>
      <c r="F26" s="39"/>
      <c r="G26" s="39"/>
      <c r="H26" s="39"/>
      <c r="I26" s="31"/>
    </row>
    <row r="27" spans="1:12" x14ac:dyDescent="0.25">
      <c r="A27" s="22" t="s">
        <v>137</v>
      </c>
      <c r="B27" s="23"/>
      <c r="C27" s="24"/>
      <c r="D27" s="23"/>
      <c r="E27" s="23"/>
      <c r="F27" s="23"/>
      <c r="G27" s="23"/>
      <c r="H27" s="23"/>
      <c r="I27" s="20">
        <f>I13+I16+I25</f>
        <v>33253.318020474369</v>
      </c>
    </row>
    <row r="28" spans="1:12" x14ac:dyDescent="0.25">
      <c r="A28" s="25"/>
      <c r="B28" s="25"/>
      <c r="C28" s="26"/>
      <c r="D28" s="25"/>
      <c r="E28" s="25"/>
      <c r="F28" s="25"/>
      <c r="G28" s="25"/>
      <c r="H28" s="25"/>
      <c r="I28" s="27"/>
    </row>
    <row r="30" spans="1:12" x14ac:dyDescent="0.25">
      <c r="A30" s="105" t="s">
        <v>142</v>
      </c>
      <c r="B30" s="107"/>
      <c r="C30" s="109" t="s">
        <v>163</v>
      </c>
      <c r="D30" s="111" t="s">
        <v>157</v>
      </c>
      <c r="E30" s="111"/>
      <c r="F30" s="111"/>
      <c r="G30" s="112"/>
      <c r="H30" s="113" t="s">
        <v>160</v>
      </c>
      <c r="I30" s="103" t="s">
        <v>139</v>
      </c>
    </row>
    <row r="31" spans="1:12" ht="29.25" customHeight="1" x14ac:dyDescent="0.25">
      <c r="A31" s="106"/>
      <c r="B31" s="108"/>
      <c r="C31" s="110"/>
      <c r="D31" s="21" t="s">
        <v>133</v>
      </c>
      <c r="E31" s="21" t="s">
        <v>134</v>
      </c>
      <c r="F31" s="21" t="s">
        <v>135</v>
      </c>
      <c r="G31" s="21" t="s">
        <v>136</v>
      </c>
      <c r="H31" s="114"/>
      <c r="I31" s="104"/>
    </row>
    <row r="32" spans="1:12" x14ac:dyDescent="0.25">
      <c r="A32" s="29" t="s">
        <v>123</v>
      </c>
      <c r="B32" s="29" t="s">
        <v>147</v>
      </c>
      <c r="C32" s="30"/>
      <c r="D32" s="29"/>
      <c r="E32" s="29"/>
      <c r="F32" s="29"/>
      <c r="G32" s="29"/>
      <c r="H32" s="29"/>
      <c r="I32" s="31"/>
    </row>
    <row r="33" spans="1:9" x14ac:dyDescent="0.25">
      <c r="A33" s="51" t="s">
        <v>68</v>
      </c>
      <c r="B33" s="42" t="s">
        <v>132</v>
      </c>
      <c r="C33" s="43">
        <f>+GETPIVOTDATA("Sum of 2012 MWh",pivot!$A$3,"Customer Class","Residential","Program","Consumer","Initiative","Appliance Exchange")*1000</f>
        <v>3509.2342854055782</v>
      </c>
      <c r="D33" s="42">
        <v>1.4200000000000001E-2</v>
      </c>
      <c r="E33" s="42">
        <v>8.9999999999999998E-4</v>
      </c>
      <c r="F33" s="42">
        <v>-2.0000000000000001E-4</v>
      </c>
      <c r="G33" s="42">
        <f t="shared" ref="G33:G38" si="5">SUM(D33:F33)</f>
        <v>1.49E-2</v>
      </c>
      <c r="H33" s="42">
        <v>1</v>
      </c>
      <c r="I33" s="44">
        <f t="shared" ref="I33:I38" si="6">C33*G33*H33</f>
        <v>52.287590852543119</v>
      </c>
    </row>
    <row r="34" spans="1:9" x14ac:dyDescent="0.25">
      <c r="A34" s="52" t="s">
        <v>72</v>
      </c>
      <c r="B34" s="45" t="s">
        <v>132</v>
      </c>
      <c r="C34" s="43">
        <f>+GETPIVOTDATA("Sum of 2012 MWh",pivot!$A$3,"Customer Class","Residential","Program","Consumer","Initiative","Appliance Retirement")*1000</f>
        <v>226453.14720386377</v>
      </c>
      <c r="D34" s="45">
        <v>1.4200000000000001E-2</v>
      </c>
      <c r="E34" s="45">
        <v>8.9999999999999998E-4</v>
      </c>
      <c r="F34" s="45">
        <v>-2.0000000000000001E-4</v>
      </c>
      <c r="G34" s="45">
        <f t="shared" si="5"/>
        <v>1.49E-2</v>
      </c>
      <c r="H34" s="45">
        <v>1</v>
      </c>
      <c r="I34" s="47">
        <f t="shared" si="6"/>
        <v>3374.1518933375701</v>
      </c>
    </row>
    <row r="35" spans="1:9" x14ac:dyDescent="0.25">
      <c r="A35" s="52" t="s">
        <v>79</v>
      </c>
      <c r="B35" s="45" t="s">
        <v>132</v>
      </c>
      <c r="C35" s="43">
        <f>+GETPIVOTDATA("Sum of 2012 MWh",pivot!$A$3,"Customer Class","Residential","Program","Consumer","Initiative","Bi-Annual Retailer Event")*1000</f>
        <v>254227.22478472994</v>
      </c>
      <c r="D35" s="45">
        <v>1.4200000000000001E-2</v>
      </c>
      <c r="E35" s="45">
        <v>8.9999999999999998E-4</v>
      </c>
      <c r="F35" s="45">
        <v>-2.0000000000000001E-4</v>
      </c>
      <c r="G35" s="45">
        <f t="shared" si="5"/>
        <v>1.49E-2</v>
      </c>
      <c r="H35" s="45">
        <v>1</v>
      </c>
      <c r="I35" s="47">
        <f t="shared" si="6"/>
        <v>3787.985649292476</v>
      </c>
    </row>
    <row r="36" spans="1:9" x14ac:dyDescent="0.25">
      <c r="A36" s="52" t="s">
        <v>98</v>
      </c>
      <c r="B36" s="45" t="s">
        <v>132</v>
      </c>
      <c r="C36" s="43">
        <f>+GETPIVOTDATA("Sum of 2012 MWh",pivot!$A$3,"Customer Class","Residential","Program","Consumer","Initiative","Conservation Instant Coupon Booklet")*1000</f>
        <v>191284.50836094515</v>
      </c>
      <c r="D36" s="45">
        <v>1.4200000000000001E-2</v>
      </c>
      <c r="E36" s="45">
        <v>8.9999999999999998E-4</v>
      </c>
      <c r="F36" s="45">
        <v>-2.0000000000000001E-4</v>
      </c>
      <c r="G36" s="45">
        <f t="shared" si="5"/>
        <v>1.49E-2</v>
      </c>
      <c r="H36" s="45">
        <v>1</v>
      </c>
      <c r="I36" s="47">
        <f t="shared" si="6"/>
        <v>2850.1391745780829</v>
      </c>
    </row>
    <row r="37" spans="1:9" x14ac:dyDescent="0.25">
      <c r="A37" s="52" t="s">
        <v>111</v>
      </c>
      <c r="B37" s="45" t="s">
        <v>132</v>
      </c>
      <c r="C37" s="43">
        <f>+GETPIVOTDATA("Sum of 2012 MWh",pivot!$A$3,"Customer Class","Residential","Program","Consumer","Initiative","HVAC Incentives")*1000</f>
        <v>580360.59394955821</v>
      </c>
      <c r="D37" s="45">
        <v>1.4200000000000001E-2</v>
      </c>
      <c r="E37" s="45">
        <v>8.9999999999999998E-4</v>
      </c>
      <c r="F37" s="45">
        <v>-2.0000000000000001E-4</v>
      </c>
      <c r="G37" s="45">
        <f t="shared" si="5"/>
        <v>1.49E-2</v>
      </c>
      <c r="H37" s="45">
        <v>1</v>
      </c>
      <c r="I37" s="47">
        <f t="shared" si="6"/>
        <v>8647.3728498484179</v>
      </c>
    </row>
    <row r="38" spans="1:9" x14ac:dyDescent="0.25">
      <c r="A38" s="53" t="s">
        <v>115</v>
      </c>
      <c r="B38" s="48" t="s">
        <v>132</v>
      </c>
      <c r="C38" s="43">
        <f>+GETPIVOTDATA("Sum of 2012 MWh",pivot!$A$3,"Customer Class","Residential","Program","Consumer","Initiative","Retailer Co-op")*1000</f>
        <v>0</v>
      </c>
      <c r="D38" s="48">
        <v>1.4200000000000001E-2</v>
      </c>
      <c r="E38" s="48">
        <v>8.9999999999999998E-4</v>
      </c>
      <c r="F38" s="48">
        <v>-2.0000000000000001E-4</v>
      </c>
      <c r="G38" s="48">
        <f t="shared" si="5"/>
        <v>1.49E-2</v>
      </c>
      <c r="H38" s="48">
        <v>1</v>
      </c>
      <c r="I38" s="50">
        <f t="shared" si="6"/>
        <v>0</v>
      </c>
    </row>
    <row r="39" spans="1:9" x14ac:dyDescent="0.25">
      <c r="A39" s="19"/>
      <c r="B39" s="19"/>
      <c r="C39" s="18">
        <f>SUM(C33:C38)</f>
        <v>1255834.7085845028</v>
      </c>
      <c r="D39" s="19"/>
      <c r="E39" s="19"/>
      <c r="F39" s="19"/>
      <c r="G39" s="19"/>
      <c r="H39" s="19"/>
      <c r="I39" s="18">
        <f>SUM(I33:I38)</f>
        <v>18711.937157909088</v>
      </c>
    </row>
    <row r="40" spans="1:9" x14ac:dyDescent="0.25">
      <c r="A40" s="35"/>
      <c r="B40" s="35"/>
      <c r="C40" s="30"/>
      <c r="D40" s="35"/>
      <c r="E40" s="35"/>
      <c r="F40" s="35"/>
      <c r="G40" s="35"/>
      <c r="H40" s="35"/>
      <c r="I40" s="37"/>
    </row>
    <row r="41" spans="1:9" x14ac:dyDescent="0.25">
      <c r="A41" s="32" t="s">
        <v>130</v>
      </c>
      <c r="B41" s="32"/>
      <c r="C41" s="33"/>
      <c r="D41" s="32"/>
      <c r="E41" s="32"/>
      <c r="F41" s="32"/>
      <c r="G41" s="32"/>
      <c r="H41" s="32"/>
      <c r="I41" s="34"/>
    </row>
    <row r="42" spans="1:9" x14ac:dyDescent="0.25">
      <c r="A42" s="56" t="s">
        <v>100</v>
      </c>
      <c r="B42" s="32" t="s">
        <v>132</v>
      </c>
      <c r="C42" s="43">
        <f>+GETPIVOTDATA("Sum of 2012 MWh",pivot!$A$3,"Customer Class","GS&lt;50kW")*1000</f>
        <v>43921.704200372813</v>
      </c>
      <c r="D42" s="32">
        <v>1.95E-2</v>
      </c>
      <c r="E42" s="32">
        <v>1.1000000000000001E-3</v>
      </c>
      <c r="F42" s="32">
        <v>-1E-4</v>
      </c>
      <c r="G42" s="32">
        <f t="shared" ref="G42" si="7">SUM(D42:F42)</f>
        <v>2.0500000000000001E-2</v>
      </c>
      <c r="H42" s="32">
        <v>1</v>
      </c>
      <c r="I42" s="34">
        <f>C42*G42*H42</f>
        <v>900.39493610764271</v>
      </c>
    </row>
    <row r="43" spans="1:9" x14ac:dyDescent="0.25">
      <c r="A43" s="29"/>
      <c r="B43" s="29"/>
      <c r="C43" s="30"/>
      <c r="D43" s="29"/>
      <c r="E43" s="29"/>
      <c r="F43" s="29"/>
      <c r="G43" s="29"/>
      <c r="H43" s="29"/>
      <c r="I43" s="31"/>
    </row>
    <row r="44" spans="1:9" x14ac:dyDescent="0.25">
      <c r="A44" s="35" t="s">
        <v>131</v>
      </c>
      <c r="B44" s="35"/>
      <c r="C44" s="36"/>
      <c r="D44" s="35"/>
      <c r="E44" s="35"/>
      <c r="F44" s="35"/>
      <c r="G44" s="35"/>
      <c r="H44" s="35"/>
      <c r="I44" s="37"/>
    </row>
    <row r="45" spans="1:9" x14ac:dyDescent="0.25">
      <c r="A45" s="51" t="s">
        <v>117</v>
      </c>
      <c r="B45" s="42" t="s">
        <v>138</v>
      </c>
      <c r="C45" s="43">
        <f>+GETPIVOTDATA("Sum of 2012 MW",pivot!$A$3,"Customer Class","GS&gt;50kW","Program","Business","Initiative","Demand Response 3 (part of the Industrial program schedule)")*1000</f>
        <v>0</v>
      </c>
      <c r="D45" s="42">
        <v>3.9405000000000001</v>
      </c>
      <c r="E45" s="42">
        <v>6.2700000000000006E-2</v>
      </c>
      <c r="F45" s="58">
        <v>-2.1999999999999999E-2</v>
      </c>
      <c r="G45" s="42">
        <f t="shared" ref="G45:G50" si="8">SUM(D45:F45)</f>
        <v>3.9812000000000007</v>
      </c>
      <c r="H45" s="42">
        <v>0</v>
      </c>
      <c r="I45" s="44">
        <f t="shared" ref="I45:I50" si="9">C45*G45*H45</f>
        <v>0</v>
      </c>
    </row>
    <row r="46" spans="1:9" x14ac:dyDescent="0.25">
      <c r="A46" s="52" t="s">
        <v>102</v>
      </c>
      <c r="B46" s="45" t="s">
        <v>138</v>
      </c>
      <c r="C46" s="46">
        <f>+GETPIVOTDATA("Sum of 2012 MW",pivot!$A$3,"Customer Class","GS&gt;50kW","Program","Business","Initiative","Efficiency: Equipment Replacement")*1000</f>
        <v>141.81701488021358</v>
      </c>
      <c r="D46" s="45">
        <v>3.9405000000000001</v>
      </c>
      <c r="E46" s="45">
        <v>6.2700000000000006E-2</v>
      </c>
      <c r="F46" s="59">
        <v>-2.1999999999999999E-2</v>
      </c>
      <c r="G46" s="45">
        <f t="shared" si="8"/>
        <v>3.9812000000000007</v>
      </c>
      <c r="H46" s="45">
        <v>12</v>
      </c>
      <c r="I46" s="47">
        <f t="shared" si="9"/>
        <v>6775.2227956932766</v>
      </c>
    </row>
    <row r="47" spans="1:9" x14ac:dyDescent="0.25">
      <c r="A47" s="52" t="s">
        <v>118</v>
      </c>
      <c r="B47" s="45" t="s">
        <v>138</v>
      </c>
      <c r="C47" s="46">
        <f>+GETPIVOTDATA("Sum of 2012 MW",pivot!$A$3,"Customer Class","GS&gt;50kW","Program","Industrial","Initiative","Demand Response 3")*1000</f>
        <v>0</v>
      </c>
      <c r="D47" s="45">
        <v>3.9405000000000001</v>
      </c>
      <c r="E47" s="45">
        <v>6.2700000000000006E-2</v>
      </c>
      <c r="F47" s="59">
        <v>-2.1999999999999999E-2</v>
      </c>
      <c r="G47" s="45">
        <f t="shared" si="8"/>
        <v>3.9812000000000007</v>
      </c>
      <c r="H47" s="45">
        <v>0</v>
      </c>
      <c r="I47" s="47">
        <f t="shared" si="9"/>
        <v>0</v>
      </c>
    </row>
    <row r="48" spans="1:9" x14ac:dyDescent="0.25">
      <c r="A48" s="52" t="s">
        <v>107</v>
      </c>
      <c r="B48" s="45" t="s">
        <v>138</v>
      </c>
      <c r="C48" s="46">
        <f>+GETPIVOTDATA("Sum of 2012 MW",pivot!$A$3,"Customer Class","GS&gt;50kW","Program","Industrial","Initiative","Efficiency: Equipment Replacement Incentive (part of the C&amp;I program schedule)")*1000</f>
        <v>58.592049347927158</v>
      </c>
      <c r="D48" s="45">
        <v>3.9405000000000001</v>
      </c>
      <c r="E48" s="45">
        <v>6.2700000000000006E-2</v>
      </c>
      <c r="F48" s="59">
        <v>-2.1999999999999999E-2</v>
      </c>
      <c r="G48" s="45">
        <f t="shared" si="8"/>
        <v>3.9812000000000007</v>
      </c>
      <c r="H48" s="45">
        <v>12</v>
      </c>
      <c r="I48" s="47">
        <f t="shared" si="9"/>
        <v>2799.2000023676119</v>
      </c>
    </row>
    <row r="49" spans="1:9" x14ac:dyDescent="0.25">
      <c r="A49" s="52" t="s">
        <v>109</v>
      </c>
      <c r="B49" s="45" t="s">
        <v>138</v>
      </c>
      <c r="C49" s="46">
        <f>+GETPIVOTDATA("Sum of 2012 MW",pivot!$A$3,"Customer Class","GS&gt;50kW","Program","Pre-2011 Programs Completed in 2011","Initiative","Electricity Retrofit Incentive Program")*1000</f>
        <v>90.079109120000012</v>
      </c>
      <c r="D49" s="45">
        <v>3.9405000000000001</v>
      </c>
      <c r="E49" s="45">
        <v>6.2700000000000006E-2</v>
      </c>
      <c r="F49" s="59">
        <v>-2.1999999999999999E-2</v>
      </c>
      <c r="G49" s="45">
        <f t="shared" si="8"/>
        <v>3.9812000000000007</v>
      </c>
      <c r="H49" s="45">
        <v>12</v>
      </c>
      <c r="I49" s="47">
        <f t="shared" si="9"/>
        <v>4303.4753907425293</v>
      </c>
    </row>
    <row r="50" spans="1:9" x14ac:dyDescent="0.25">
      <c r="A50" s="53" t="s">
        <v>110</v>
      </c>
      <c r="B50" s="48" t="s">
        <v>138</v>
      </c>
      <c r="C50" s="49">
        <f>+GETPIVOTDATA("Sum of 2012 MW",pivot!$A$3,"Customer Class","GS&gt;50kW","Program","Pre-2011 Programs Completed in 2011","Initiative","High Performance New Construction")*1000</f>
        <v>7.5390446574485956</v>
      </c>
      <c r="D50" s="48">
        <v>3.9405000000000001</v>
      </c>
      <c r="E50" s="48">
        <v>6.2700000000000006E-2</v>
      </c>
      <c r="F50" s="60">
        <v>-2.1999999999999999E-2</v>
      </c>
      <c r="G50" s="48">
        <f t="shared" si="8"/>
        <v>3.9812000000000007</v>
      </c>
      <c r="H50" s="48">
        <v>12</v>
      </c>
      <c r="I50" s="50">
        <f t="shared" si="9"/>
        <v>360.17333508281229</v>
      </c>
    </row>
    <row r="51" spans="1:9" x14ac:dyDescent="0.25">
      <c r="A51" s="22"/>
      <c r="B51" s="23"/>
      <c r="C51" s="24">
        <f>SUM(C45:C50)</f>
        <v>298.0272180055893</v>
      </c>
      <c r="D51" s="23"/>
      <c r="E51" s="23"/>
      <c r="F51" s="23"/>
      <c r="G51" s="23"/>
      <c r="H51" s="23"/>
      <c r="I51" s="18">
        <f>SUM(I45:I50)</f>
        <v>14238.07152388623</v>
      </c>
    </row>
    <row r="52" spans="1:9" x14ac:dyDescent="0.25">
      <c r="A52" s="38"/>
      <c r="B52" s="39"/>
      <c r="C52" s="40"/>
      <c r="D52" s="39"/>
      <c r="E52" s="39"/>
      <c r="F52" s="39"/>
      <c r="G52" s="39"/>
      <c r="H52" s="39"/>
      <c r="I52" s="31"/>
    </row>
    <row r="53" spans="1:9" x14ac:dyDescent="0.25">
      <c r="A53" s="22" t="s">
        <v>137</v>
      </c>
      <c r="B53" s="23"/>
      <c r="C53" s="24"/>
      <c r="D53" s="23"/>
      <c r="E53" s="23"/>
      <c r="F53" s="23"/>
      <c r="G53" s="23"/>
      <c r="H53" s="23"/>
      <c r="I53" s="20">
        <f>I39+I42+I51</f>
        <v>33850.403617902957</v>
      </c>
    </row>
    <row r="54" spans="1:9" x14ac:dyDescent="0.25">
      <c r="A54" s="25"/>
      <c r="B54" s="25"/>
      <c r="C54" s="26"/>
      <c r="D54" s="25"/>
      <c r="E54" s="25"/>
      <c r="F54" s="25"/>
      <c r="G54" s="25"/>
      <c r="H54" s="25"/>
      <c r="I54" s="27"/>
    </row>
    <row r="57" spans="1:9" x14ac:dyDescent="0.25">
      <c r="A57" s="105" t="s">
        <v>143</v>
      </c>
      <c r="B57" s="107"/>
      <c r="C57" s="109" t="s">
        <v>163</v>
      </c>
      <c r="D57" s="111" t="s">
        <v>157</v>
      </c>
      <c r="E57" s="111"/>
      <c r="F57" s="111"/>
      <c r="G57" s="112"/>
      <c r="H57" s="113" t="s">
        <v>160</v>
      </c>
      <c r="I57" s="103" t="s">
        <v>139</v>
      </c>
    </row>
    <row r="58" spans="1:9" x14ac:dyDescent="0.25">
      <c r="A58" s="106"/>
      <c r="B58" s="108"/>
      <c r="C58" s="110"/>
      <c r="D58" s="80" t="s">
        <v>133</v>
      </c>
      <c r="E58" s="80" t="s">
        <v>134</v>
      </c>
      <c r="F58" s="80" t="s">
        <v>135</v>
      </c>
      <c r="G58" s="80" t="s">
        <v>136</v>
      </c>
      <c r="H58" s="114"/>
      <c r="I58" s="104"/>
    </row>
    <row r="59" spans="1:9" x14ac:dyDescent="0.25">
      <c r="A59" s="29" t="s">
        <v>123</v>
      </c>
      <c r="B59" s="29" t="s">
        <v>147</v>
      </c>
      <c r="C59" s="30"/>
      <c r="D59" s="29"/>
      <c r="E59" s="29"/>
      <c r="F59" s="29"/>
      <c r="G59" s="29"/>
      <c r="H59" s="29"/>
      <c r="I59" s="31"/>
    </row>
    <row r="60" spans="1:9" x14ac:dyDescent="0.25">
      <c r="A60" s="51" t="s">
        <v>68</v>
      </c>
      <c r="B60" s="42" t="s">
        <v>132</v>
      </c>
      <c r="C60" s="43">
        <f>+GETPIVOTDATA("Sum of 2013 MWh",pivot!$A$3,"Customer Class","Residential","Program","Consumer","Initiative","Appliance Exchange")*1000</f>
        <v>3509.2342854055782</v>
      </c>
      <c r="D60" s="42">
        <v>1.44E-2</v>
      </c>
      <c r="E60" s="42"/>
      <c r="F60" s="42"/>
      <c r="G60" s="42">
        <f t="shared" ref="G60:G65" si="10">SUM(D60:F60)</f>
        <v>1.44E-2</v>
      </c>
      <c r="H60" s="42">
        <v>1</v>
      </c>
      <c r="I60" s="44">
        <f t="shared" ref="I60:I65" si="11">C60*G60*H60</f>
        <v>50.532973709840327</v>
      </c>
    </row>
    <row r="61" spans="1:9" x14ac:dyDescent="0.25">
      <c r="A61" s="52" t="s">
        <v>72</v>
      </c>
      <c r="B61" s="45" t="s">
        <v>132</v>
      </c>
      <c r="C61" s="43">
        <f>+GETPIVOTDATA("Sum of 2013 MWh",pivot!$A$3,"Customer Class","Residential","Program","Consumer","Initiative","Appliance Retirement")*1000</f>
        <v>226453.14720386377</v>
      </c>
      <c r="D61" s="45">
        <f>D60</f>
        <v>1.44E-2</v>
      </c>
      <c r="E61" s="45"/>
      <c r="F61" s="45"/>
      <c r="G61" s="45">
        <f t="shared" si="10"/>
        <v>1.44E-2</v>
      </c>
      <c r="H61" s="45">
        <v>1</v>
      </c>
      <c r="I61" s="47">
        <f t="shared" si="11"/>
        <v>3260.9253197356384</v>
      </c>
    </row>
    <row r="62" spans="1:9" x14ac:dyDescent="0.25">
      <c r="A62" s="52" t="s">
        <v>79</v>
      </c>
      <c r="B62" s="45" t="s">
        <v>132</v>
      </c>
      <c r="C62" s="43">
        <f>+GETPIVOTDATA("Sum of 2013 MWh",pivot!$A$3,"Customer Class","Residential","Program","Consumer","Initiative","Bi-Annual Retailer Event")*1000</f>
        <v>254227.22478472994</v>
      </c>
      <c r="D62" s="45">
        <f>D61</f>
        <v>1.44E-2</v>
      </c>
      <c r="E62" s="45"/>
      <c r="F62" s="45"/>
      <c r="G62" s="45">
        <f t="shared" si="10"/>
        <v>1.44E-2</v>
      </c>
      <c r="H62" s="45">
        <v>1</v>
      </c>
      <c r="I62" s="47">
        <f t="shared" si="11"/>
        <v>3660.8720369001112</v>
      </c>
    </row>
    <row r="63" spans="1:9" x14ac:dyDescent="0.25">
      <c r="A63" s="52" t="s">
        <v>98</v>
      </c>
      <c r="B63" s="45" t="s">
        <v>132</v>
      </c>
      <c r="C63" s="43">
        <f>+GETPIVOTDATA("Sum of 2013 MWh",pivot!$A$3,"Customer Class","Residential","Program","Consumer","Initiative","Conservation Instant Coupon Booklet")*1000</f>
        <v>191284.50836094515</v>
      </c>
      <c r="D63" s="45">
        <f>D62</f>
        <v>1.44E-2</v>
      </c>
      <c r="E63" s="45"/>
      <c r="F63" s="45"/>
      <c r="G63" s="45">
        <f t="shared" si="10"/>
        <v>1.44E-2</v>
      </c>
      <c r="H63" s="45">
        <v>1</v>
      </c>
      <c r="I63" s="47">
        <f t="shared" si="11"/>
        <v>2754.4969203976102</v>
      </c>
    </row>
    <row r="64" spans="1:9" x14ac:dyDescent="0.25">
      <c r="A64" s="52" t="s">
        <v>111</v>
      </c>
      <c r="B64" s="45" t="s">
        <v>132</v>
      </c>
      <c r="C64" s="43">
        <f>+GETPIVOTDATA("Sum of 2013 MWh",pivot!$A$3,"Customer Class","Residential","Program","Consumer","Initiative","HVAC Incentives")*1000</f>
        <v>580360.59394955821</v>
      </c>
      <c r="D64" s="45">
        <f>D63</f>
        <v>1.44E-2</v>
      </c>
      <c r="E64" s="45"/>
      <c r="F64" s="45"/>
      <c r="G64" s="45">
        <f t="shared" si="10"/>
        <v>1.44E-2</v>
      </c>
      <c r="H64" s="45">
        <v>1</v>
      </c>
      <c r="I64" s="47">
        <f t="shared" si="11"/>
        <v>8357.1925528736374</v>
      </c>
    </row>
    <row r="65" spans="1:9" x14ac:dyDescent="0.25">
      <c r="A65" s="53" t="s">
        <v>115</v>
      </c>
      <c r="B65" s="48" t="s">
        <v>132</v>
      </c>
      <c r="C65" s="43">
        <f>+GETPIVOTDATA("Sum of 2013 MWh",pivot!$A$3,"Customer Class","Residential","Program","Consumer","Initiative","Retailer Co-op")*1000</f>
        <v>0</v>
      </c>
      <c r="D65" s="45">
        <f>D64</f>
        <v>1.44E-2</v>
      </c>
      <c r="E65" s="48"/>
      <c r="F65" s="48"/>
      <c r="G65" s="48">
        <f t="shared" si="10"/>
        <v>1.44E-2</v>
      </c>
      <c r="H65" s="48">
        <v>1</v>
      </c>
      <c r="I65" s="50">
        <f t="shared" si="11"/>
        <v>0</v>
      </c>
    </row>
    <row r="66" spans="1:9" x14ac:dyDescent="0.25">
      <c r="A66" s="19"/>
      <c r="B66" s="19"/>
      <c r="C66" s="18">
        <f>SUM(C60:C65)</f>
        <v>1255834.7085845028</v>
      </c>
      <c r="D66" s="19"/>
      <c r="E66" s="19"/>
      <c r="F66" s="19"/>
      <c r="G66" s="19"/>
      <c r="H66" s="19"/>
      <c r="I66" s="18">
        <f>SUM(I60:I65)</f>
        <v>18084.019803616837</v>
      </c>
    </row>
    <row r="67" spans="1:9" x14ac:dyDescent="0.25">
      <c r="A67" s="35"/>
      <c r="B67" s="35"/>
      <c r="C67" s="30"/>
      <c r="D67" s="35"/>
      <c r="E67" s="35"/>
      <c r="F67" s="35"/>
      <c r="G67" s="35"/>
      <c r="H67" s="35"/>
      <c r="I67" s="37"/>
    </row>
    <row r="68" spans="1:9" x14ac:dyDescent="0.25">
      <c r="A68" s="32" t="s">
        <v>130</v>
      </c>
      <c r="B68" s="32"/>
      <c r="C68" s="33"/>
      <c r="D68" s="32"/>
      <c r="E68" s="32"/>
      <c r="F68" s="32"/>
      <c r="G68" s="32"/>
      <c r="H68" s="32"/>
      <c r="I68" s="34"/>
    </row>
    <row r="69" spans="1:9" x14ac:dyDescent="0.25">
      <c r="A69" s="56" t="s">
        <v>100</v>
      </c>
      <c r="B69" s="32" t="s">
        <v>132</v>
      </c>
      <c r="C69" s="43">
        <f>+GETPIVOTDATA("Sum of 2013 MWh",pivot!$A$3,"Customer Class","GS&lt;50kW")*1000</f>
        <v>41453.416326384882</v>
      </c>
      <c r="D69" s="32">
        <v>1.9699999999999999E-2</v>
      </c>
      <c r="E69" s="32"/>
      <c r="F69" s="32"/>
      <c r="G69" s="32">
        <f t="shared" ref="G69" si="12">SUM(D69:F69)</f>
        <v>1.9699999999999999E-2</v>
      </c>
      <c r="H69" s="32">
        <v>1</v>
      </c>
      <c r="I69" s="34">
        <f>C69*G69*H69</f>
        <v>816.63230162978209</v>
      </c>
    </row>
    <row r="70" spans="1:9" x14ac:dyDescent="0.25">
      <c r="A70" s="29"/>
      <c r="B70" s="29"/>
      <c r="C70" s="30"/>
      <c r="D70" s="29"/>
      <c r="E70" s="29"/>
      <c r="F70" s="29"/>
      <c r="G70" s="29"/>
      <c r="H70" s="29"/>
      <c r="I70" s="31"/>
    </row>
    <row r="71" spans="1:9" x14ac:dyDescent="0.25">
      <c r="A71" s="35" t="s">
        <v>131</v>
      </c>
      <c r="B71" s="35"/>
      <c r="C71" s="36"/>
      <c r="D71" s="35"/>
      <c r="E71" s="35"/>
      <c r="F71" s="35"/>
      <c r="G71" s="35"/>
      <c r="H71" s="35"/>
      <c r="I71" s="37"/>
    </row>
    <row r="72" spans="1:9" x14ac:dyDescent="0.25">
      <c r="A72" s="51" t="s">
        <v>117</v>
      </c>
      <c r="B72" s="42" t="s">
        <v>138</v>
      </c>
      <c r="C72" s="43">
        <f>+GETPIVOTDATA("Sum of 2013 MW",pivot!$A$3,"Customer Class","GS&gt;50kW","Program","Business","Initiative","Demand Response 3 (part of the Industrial program schedule)")*1000</f>
        <v>0</v>
      </c>
      <c r="D72" s="42">
        <v>3.9830999999999999</v>
      </c>
      <c r="E72" s="42"/>
      <c r="F72" s="58"/>
      <c r="G72" s="42">
        <f t="shared" ref="G72:G77" si="13">SUM(D72:F72)</f>
        <v>3.9830999999999999</v>
      </c>
      <c r="H72" s="42">
        <v>0</v>
      </c>
      <c r="I72" s="44">
        <f t="shared" ref="I72:I77" si="14">C72*G72*H72</f>
        <v>0</v>
      </c>
    </row>
    <row r="73" spans="1:9" x14ac:dyDescent="0.25">
      <c r="A73" s="52" t="s">
        <v>102</v>
      </c>
      <c r="B73" s="45" t="s">
        <v>138</v>
      </c>
      <c r="C73" s="46">
        <f>+GETPIVOTDATA("Sum of 2013 MW",pivot!$A$3,"Customer Class","GS&gt;50kW","Program","Business","Initiative","Efficiency: Equipment Replacement")*1000</f>
        <v>141.81701488021358</v>
      </c>
      <c r="D73" s="45">
        <f>D72</f>
        <v>3.9830999999999999</v>
      </c>
      <c r="E73" s="45"/>
      <c r="F73" s="59"/>
      <c r="G73" s="45">
        <f t="shared" si="13"/>
        <v>3.9830999999999999</v>
      </c>
      <c r="H73" s="45">
        <v>12</v>
      </c>
      <c r="I73" s="47">
        <f t="shared" si="14"/>
        <v>6778.4562236325437</v>
      </c>
    </row>
    <row r="74" spans="1:9" x14ac:dyDescent="0.25">
      <c r="A74" s="52" t="s">
        <v>118</v>
      </c>
      <c r="B74" s="45" t="s">
        <v>138</v>
      </c>
      <c r="C74" s="46">
        <f>+GETPIVOTDATA("Sum of 2013 MW",pivot!$A$3,"Customer Class","GS&gt;50kW","Program","Industrial","Initiative","Demand Response 3")*1000</f>
        <v>0</v>
      </c>
      <c r="D74" s="45">
        <f>D73</f>
        <v>3.9830999999999999</v>
      </c>
      <c r="E74" s="45"/>
      <c r="F74" s="59"/>
      <c r="G74" s="45">
        <f t="shared" si="13"/>
        <v>3.9830999999999999</v>
      </c>
      <c r="H74" s="45">
        <v>0</v>
      </c>
      <c r="I74" s="47">
        <f t="shared" si="14"/>
        <v>0</v>
      </c>
    </row>
    <row r="75" spans="1:9" x14ac:dyDescent="0.25">
      <c r="A75" s="52" t="s">
        <v>107</v>
      </c>
      <c r="B75" s="45" t="s">
        <v>138</v>
      </c>
      <c r="C75" s="46">
        <f>+GETPIVOTDATA("Sum of 2013 MW",pivot!$A$3,"Customer Class","GS&gt;50kW","Program","Industrial","Initiative","Efficiency: Equipment Replacement Incentive (part of the C&amp;I program schedule)")*1000</f>
        <v>58.592049347927158</v>
      </c>
      <c r="D75" s="45">
        <f>D74</f>
        <v>3.9830999999999999</v>
      </c>
      <c r="E75" s="45"/>
      <c r="F75" s="59"/>
      <c r="G75" s="45">
        <f t="shared" si="13"/>
        <v>3.9830999999999999</v>
      </c>
      <c r="H75" s="45">
        <v>12</v>
      </c>
      <c r="I75" s="47">
        <f t="shared" si="14"/>
        <v>2800.5359010927441</v>
      </c>
    </row>
    <row r="76" spans="1:9" x14ac:dyDescent="0.25">
      <c r="A76" s="52" t="s">
        <v>109</v>
      </c>
      <c r="B76" s="45" t="s">
        <v>138</v>
      </c>
      <c r="C76" s="46">
        <f>+GETPIVOTDATA("Sum of 2013 MW",pivot!$A$3,"Customer Class","GS&gt;50kW","Program","Pre-2011 Programs Completed in 2011","Initiative","Electricity Retrofit Incentive Program")*1000</f>
        <v>90.079109120000012</v>
      </c>
      <c r="D76" s="45">
        <f>D75</f>
        <v>3.9830999999999999</v>
      </c>
      <c r="E76" s="45"/>
      <c r="F76" s="59"/>
      <c r="G76" s="45">
        <f t="shared" si="13"/>
        <v>3.9830999999999999</v>
      </c>
      <c r="H76" s="45">
        <v>12</v>
      </c>
      <c r="I76" s="47">
        <f t="shared" si="14"/>
        <v>4305.5291944304645</v>
      </c>
    </row>
    <row r="77" spans="1:9" x14ac:dyDescent="0.25">
      <c r="A77" s="53" t="s">
        <v>110</v>
      </c>
      <c r="B77" s="48" t="s">
        <v>138</v>
      </c>
      <c r="C77" s="49">
        <f>+GETPIVOTDATA("Sum of 2013 MW",pivot!$A$3,"Customer Class","GS&gt;50kW","Program","Pre-2011 Programs Completed in 2011","Initiative","High Performance New Construction")*1000</f>
        <v>7.5390446574485956</v>
      </c>
      <c r="D77" s="45">
        <f>D76</f>
        <v>3.9830999999999999</v>
      </c>
      <c r="E77" s="48"/>
      <c r="F77" s="60"/>
      <c r="G77" s="48">
        <f t="shared" si="13"/>
        <v>3.9830999999999999</v>
      </c>
      <c r="H77" s="48">
        <v>12</v>
      </c>
      <c r="I77" s="50">
        <f t="shared" si="14"/>
        <v>360.34522530100196</v>
      </c>
    </row>
    <row r="78" spans="1:9" x14ac:dyDescent="0.25">
      <c r="A78" s="22"/>
      <c r="B78" s="23"/>
      <c r="C78" s="24">
        <f>SUM(C72:C77)</f>
        <v>298.0272180055893</v>
      </c>
      <c r="D78" s="23"/>
      <c r="E78" s="23"/>
      <c r="F78" s="23"/>
      <c r="G78" s="23"/>
      <c r="H78" s="23"/>
      <c r="I78" s="57">
        <f>SUM(I72:I77)</f>
        <v>14244.866544456754</v>
      </c>
    </row>
    <row r="79" spans="1:9" x14ac:dyDescent="0.25">
      <c r="A79" s="38"/>
      <c r="B79" s="39"/>
      <c r="C79" s="40"/>
      <c r="D79" s="39"/>
      <c r="E79" s="39"/>
      <c r="F79" s="39"/>
      <c r="G79" s="39"/>
      <c r="H79" s="39"/>
      <c r="I79" s="31"/>
    </row>
    <row r="80" spans="1:9" x14ac:dyDescent="0.25">
      <c r="A80" s="22" t="s">
        <v>137</v>
      </c>
      <c r="B80" s="23"/>
      <c r="C80" s="24"/>
      <c r="D80" s="23"/>
      <c r="E80" s="23"/>
      <c r="F80" s="23"/>
      <c r="G80" s="23"/>
      <c r="H80" s="23"/>
      <c r="I80" s="20">
        <f>I66+I69+I78</f>
        <v>33145.518649703372</v>
      </c>
    </row>
    <row r="83" spans="1:9" x14ac:dyDescent="0.25">
      <c r="A83" s="105" t="s">
        <v>150</v>
      </c>
      <c r="B83" s="107"/>
      <c r="C83" s="109" t="s">
        <v>163</v>
      </c>
      <c r="D83" s="111" t="s">
        <v>157</v>
      </c>
      <c r="E83" s="111"/>
      <c r="F83" s="111"/>
      <c r="G83" s="112"/>
      <c r="H83" s="113" t="s">
        <v>160</v>
      </c>
      <c r="I83" s="103" t="s">
        <v>139</v>
      </c>
    </row>
    <row r="84" spans="1:9" ht="21.75" customHeight="1" x14ac:dyDescent="0.25">
      <c r="A84" s="106"/>
      <c r="B84" s="108"/>
      <c r="C84" s="110"/>
      <c r="D84" s="82" t="s">
        <v>133</v>
      </c>
      <c r="E84" s="82" t="s">
        <v>134</v>
      </c>
      <c r="F84" s="82" t="s">
        <v>135</v>
      </c>
      <c r="G84" s="82" t="s">
        <v>136</v>
      </c>
      <c r="H84" s="114"/>
      <c r="I84" s="104"/>
    </row>
    <row r="85" spans="1:9" x14ac:dyDescent="0.25">
      <c r="A85" s="29" t="s">
        <v>123</v>
      </c>
      <c r="B85" s="29" t="s">
        <v>147</v>
      </c>
      <c r="C85" s="30"/>
      <c r="D85" s="29"/>
      <c r="E85" s="29"/>
      <c r="F85" s="29"/>
      <c r="G85" s="29"/>
      <c r="H85" s="29"/>
      <c r="I85" s="31"/>
    </row>
    <row r="86" spans="1:9" x14ac:dyDescent="0.25">
      <c r="A86" s="51" t="s">
        <v>68</v>
      </c>
      <c r="B86" s="42" t="s">
        <v>132</v>
      </c>
      <c r="C86" s="43">
        <f>+GETPIVOTDATA("Sum of 2014 MWh",pivot!$A$3,"Customer Class","Residential","Program","Consumer","Initiative","Appliance Exchange")*1000</f>
        <v>2611.4170178028075</v>
      </c>
      <c r="D86" s="42">
        <v>1.46E-2</v>
      </c>
      <c r="E86" s="42"/>
      <c r="F86" s="42"/>
      <c r="G86" s="42">
        <f t="shared" ref="G86:G91" si="15">SUM(D86:F86)</f>
        <v>1.46E-2</v>
      </c>
      <c r="H86" s="42">
        <v>1</v>
      </c>
      <c r="I86" s="44">
        <f t="shared" ref="I86:I91" si="16">C86*G86*H86</f>
        <v>38.126688459920992</v>
      </c>
    </row>
    <row r="87" spans="1:9" x14ac:dyDescent="0.25">
      <c r="A87" s="52" t="s">
        <v>72</v>
      </c>
      <c r="B87" s="45" t="s">
        <v>132</v>
      </c>
      <c r="C87" s="43">
        <f>+GETPIVOTDATA("Sum of 2014 MWh",pivot!$A$3,"Customer Class","Residential","Program","Consumer","Initiative","Appliance Retirement")*1000</f>
        <v>226148.7631768253</v>
      </c>
      <c r="D87" s="45">
        <f>D86</f>
        <v>1.46E-2</v>
      </c>
      <c r="E87" s="45"/>
      <c r="F87" s="45"/>
      <c r="G87" s="45">
        <f t="shared" si="15"/>
        <v>1.46E-2</v>
      </c>
      <c r="H87" s="45">
        <v>1</v>
      </c>
      <c r="I87" s="47">
        <f t="shared" si="16"/>
        <v>3301.7719423816493</v>
      </c>
    </row>
    <row r="88" spans="1:9" x14ac:dyDescent="0.25">
      <c r="A88" s="52" t="s">
        <v>79</v>
      </c>
      <c r="B88" s="45" t="s">
        <v>132</v>
      </c>
      <c r="C88" s="43">
        <f>+GETPIVOTDATA("Sum of 2014 MWh",pivot!$A$3,"Customer Class","Residential","Program","Consumer","Initiative","Bi-Annual Retailer Event")*1000</f>
        <v>254227.22478472994</v>
      </c>
      <c r="D88" s="45">
        <f>D87</f>
        <v>1.46E-2</v>
      </c>
      <c r="E88" s="45"/>
      <c r="F88" s="45"/>
      <c r="G88" s="45">
        <f t="shared" si="15"/>
        <v>1.46E-2</v>
      </c>
      <c r="H88" s="45">
        <v>1</v>
      </c>
      <c r="I88" s="47">
        <f t="shared" si="16"/>
        <v>3711.717481857057</v>
      </c>
    </row>
    <row r="89" spans="1:9" x14ac:dyDescent="0.25">
      <c r="A89" s="52" t="s">
        <v>98</v>
      </c>
      <c r="B89" s="45" t="s">
        <v>132</v>
      </c>
      <c r="C89" s="43">
        <f>+GETPIVOTDATA("Sum of 2014 MWh",pivot!$A$3,"Customer Class","Residential","Program","Consumer","Initiative","Conservation Instant Coupon Booklet")*1000</f>
        <v>191284.50836094515</v>
      </c>
      <c r="D89" s="45">
        <f>D88</f>
        <v>1.46E-2</v>
      </c>
      <c r="E89" s="45"/>
      <c r="F89" s="45"/>
      <c r="G89" s="45">
        <f t="shared" si="15"/>
        <v>1.46E-2</v>
      </c>
      <c r="H89" s="45">
        <v>1</v>
      </c>
      <c r="I89" s="47">
        <f t="shared" si="16"/>
        <v>2792.7538220697993</v>
      </c>
    </row>
    <row r="90" spans="1:9" x14ac:dyDescent="0.25">
      <c r="A90" s="52" t="s">
        <v>111</v>
      </c>
      <c r="B90" s="45" t="s">
        <v>132</v>
      </c>
      <c r="C90" s="43">
        <f>+GETPIVOTDATA("Sum of 2014 MWh",pivot!$A$3,"Customer Class","Residential","Program","Consumer","Initiative","HVAC Incentives")*1000</f>
        <v>580360.59394955821</v>
      </c>
      <c r="D90" s="45">
        <f>D89</f>
        <v>1.46E-2</v>
      </c>
      <c r="E90" s="45"/>
      <c r="F90" s="45"/>
      <c r="G90" s="45">
        <f t="shared" si="15"/>
        <v>1.46E-2</v>
      </c>
      <c r="H90" s="45">
        <v>1</v>
      </c>
      <c r="I90" s="47">
        <f t="shared" si="16"/>
        <v>8473.26467166355</v>
      </c>
    </row>
    <row r="91" spans="1:9" x14ac:dyDescent="0.25">
      <c r="A91" s="53" t="s">
        <v>115</v>
      </c>
      <c r="B91" s="48" t="s">
        <v>132</v>
      </c>
      <c r="C91" s="43">
        <f>+GETPIVOTDATA("Sum of 2014 MWh",pivot!$A$3,"Customer Class","Residential","Program","Consumer","Initiative","Retailer Co-op")*1000</f>
        <v>0</v>
      </c>
      <c r="D91" s="45">
        <f>D90</f>
        <v>1.46E-2</v>
      </c>
      <c r="E91" s="48"/>
      <c r="F91" s="48"/>
      <c r="G91" s="48">
        <f t="shared" si="15"/>
        <v>1.46E-2</v>
      </c>
      <c r="H91" s="48">
        <v>1</v>
      </c>
      <c r="I91" s="50">
        <f t="shared" si="16"/>
        <v>0</v>
      </c>
    </row>
    <row r="92" spans="1:9" x14ac:dyDescent="0.25">
      <c r="A92" s="19"/>
      <c r="B92" s="19"/>
      <c r="C92" s="18">
        <f>SUM(C86:C91)</f>
        <v>1254632.5072898613</v>
      </c>
      <c r="D92" s="19"/>
      <c r="E92" s="19"/>
      <c r="F92" s="19"/>
      <c r="G92" s="19"/>
      <c r="H92" s="19"/>
      <c r="I92" s="18">
        <f>SUM(I86:I91)</f>
        <v>18317.634606431977</v>
      </c>
    </row>
    <row r="93" spans="1:9" x14ac:dyDescent="0.25">
      <c r="A93" s="35"/>
      <c r="B93" s="35"/>
      <c r="C93" s="30"/>
      <c r="D93" s="35"/>
      <c r="E93" s="35"/>
      <c r="F93" s="35"/>
      <c r="G93" s="35"/>
      <c r="H93" s="35"/>
      <c r="I93" s="37"/>
    </row>
    <row r="94" spans="1:9" x14ac:dyDescent="0.25">
      <c r="A94" s="32" t="s">
        <v>130</v>
      </c>
      <c r="B94" s="32"/>
      <c r="C94" s="33"/>
      <c r="D94" s="32"/>
      <c r="E94" s="32"/>
      <c r="F94" s="32"/>
      <c r="G94" s="32"/>
      <c r="H94" s="32"/>
      <c r="I94" s="34"/>
    </row>
    <row r="95" spans="1:9" x14ac:dyDescent="0.25">
      <c r="A95" s="56" t="s">
        <v>100</v>
      </c>
      <c r="B95" s="32" t="s">
        <v>132</v>
      </c>
      <c r="C95" s="43">
        <f>+GETPIVOTDATA("Sum of 2014 MWh",pivot!$A$3,"Customer Class","GS&lt;50kW")*1000</f>
        <v>33345.943398082665</v>
      </c>
      <c r="D95" s="32">
        <v>0.02</v>
      </c>
      <c r="E95" s="32"/>
      <c r="F95" s="32"/>
      <c r="G95" s="32">
        <f t="shared" ref="G95" si="17">SUM(D95:F95)</f>
        <v>0.02</v>
      </c>
      <c r="H95" s="32">
        <v>1</v>
      </c>
      <c r="I95" s="34">
        <f>C95*G95*H95</f>
        <v>666.91886796165329</v>
      </c>
    </row>
    <row r="96" spans="1:9" x14ac:dyDescent="0.25">
      <c r="A96" s="29"/>
      <c r="B96" s="29"/>
      <c r="C96" s="30"/>
      <c r="D96" s="29"/>
      <c r="E96" s="29"/>
      <c r="F96" s="29"/>
      <c r="G96" s="29"/>
      <c r="H96" s="29"/>
      <c r="I96" s="31"/>
    </row>
    <row r="97" spans="1:9" x14ac:dyDescent="0.25">
      <c r="A97" s="35" t="s">
        <v>131</v>
      </c>
      <c r="B97" s="35"/>
      <c r="C97" s="36"/>
      <c r="D97" s="35"/>
      <c r="E97" s="35"/>
      <c r="F97" s="35"/>
      <c r="G97" s="35"/>
      <c r="H97" s="35"/>
      <c r="I97" s="37"/>
    </row>
    <row r="98" spans="1:9" x14ac:dyDescent="0.25">
      <c r="A98" s="51" t="s">
        <v>117</v>
      </c>
      <c r="B98" s="42" t="s">
        <v>138</v>
      </c>
      <c r="C98" s="43">
        <f>+GETPIVOTDATA("Sum of 2014 MW",pivot!$A$3,"Customer Class","GS&gt;50kW","Program","Business","Initiative","Demand Response 3 (part of the Industrial program schedule)")*1000</f>
        <v>0</v>
      </c>
      <c r="D98" s="42">
        <v>4.0388999999999999</v>
      </c>
      <c r="E98" s="42"/>
      <c r="F98" s="58"/>
      <c r="G98" s="42">
        <f t="shared" ref="G98:G103" si="18">SUM(D98:F98)</f>
        <v>4.0388999999999999</v>
      </c>
      <c r="H98" s="42">
        <v>0</v>
      </c>
      <c r="I98" s="44">
        <f t="shared" ref="I98:I103" si="19">C98*G98*H98</f>
        <v>0</v>
      </c>
    </row>
    <row r="99" spans="1:9" x14ac:dyDescent="0.25">
      <c r="A99" s="52" t="s">
        <v>102</v>
      </c>
      <c r="B99" s="45" t="s">
        <v>138</v>
      </c>
      <c r="C99" s="46">
        <f>+GETPIVOTDATA("Sum of 2014 MW",pivot!$A$3,"Customer Class","GS&gt;50kW","Program","Business","Initiative","Efficiency: Equipment Replacement")*1000</f>
        <v>141.81701488021358</v>
      </c>
      <c r="D99" s="45">
        <f>D98</f>
        <v>4.0388999999999999</v>
      </c>
      <c r="E99" s="45"/>
      <c r="F99" s="59"/>
      <c r="G99" s="45">
        <f t="shared" si="18"/>
        <v>4.0388999999999999</v>
      </c>
      <c r="H99" s="45">
        <v>12</v>
      </c>
      <c r="I99" s="47">
        <f t="shared" si="19"/>
        <v>6873.4168967963342</v>
      </c>
    </row>
    <row r="100" spans="1:9" x14ac:dyDescent="0.25">
      <c r="A100" s="52" t="s">
        <v>118</v>
      </c>
      <c r="B100" s="45" t="s">
        <v>138</v>
      </c>
      <c r="C100" s="46">
        <f>+GETPIVOTDATA("Sum of 2014 MW",pivot!$A$3,"Customer Class","GS&gt;50kW","Program","Industrial","Initiative","Demand Response 3")*1000</f>
        <v>0</v>
      </c>
      <c r="D100" s="45">
        <f>D99</f>
        <v>4.0388999999999999</v>
      </c>
      <c r="E100" s="45"/>
      <c r="F100" s="59"/>
      <c r="G100" s="45">
        <f t="shared" si="18"/>
        <v>4.0388999999999999</v>
      </c>
      <c r="H100" s="45">
        <v>0</v>
      </c>
      <c r="I100" s="47">
        <f t="shared" si="19"/>
        <v>0</v>
      </c>
    </row>
    <row r="101" spans="1:9" x14ac:dyDescent="0.25">
      <c r="A101" s="52" t="s">
        <v>107</v>
      </c>
      <c r="B101" s="45" t="s">
        <v>138</v>
      </c>
      <c r="C101" s="46">
        <f>+GETPIVOTDATA("Sum of 2014 MW",pivot!$A$3,"Customer Class","GS&gt;50kW","Program","Industrial","Initiative","Efficiency: Equipment Replacement Incentive (part of the C&amp;I program schedule)")*1000</f>
        <v>58.592049347927158</v>
      </c>
      <c r="D101" s="45">
        <f>D100</f>
        <v>4.0388999999999999</v>
      </c>
      <c r="E101" s="45"/>
      <c r="F101" s="59"/>
      <c r="G101" s="45">
        <f t="shared" si="18"/>
        <v>4.0388999999999999</v>
      </c>
      <c r="H101" s="45">
        <v>12</v>
      </c>
      <c r="I101" s="47">
        <f t="shared" si="19"/>
        <v>2839.7691373361158</v>
      </c>
    </row>
    <row r="102" spans="1:9" x14ac:dyDescent="0.25">
      <c r="A102" s="52" t="s">
        <v>109</v>
      </c>
      <c r="B102" s="45" t="s">
        <v>138</v>
      </c>
      <c r="C102" s="46">
        <f>+GETPIVOTDATA("Sum of 2014 MW",pivot!$A$3,"Customer Class","GS&gt;50kW","Program","Pre-2011 Programs Completed in 2011","Initiative","Electricity Retrofit Incentive Program")*1000</f>
        <v>90.079109120000012</v>
      </c>
      <c r="D102" s="45">
        <f>D101</f>
        <v>4.0388999999999999</v>
      </c>
      <c r="E102" s="45"/>
      <c r="F102" s="59"/>
      <c r="G102" s="45">
        <f t="shared" si="18"/>
        <v>4.0388999999999999</v>
      </c>
      <c r="H102" s="45">
        <v>12</v>
      </c>
      <c r="I102" s="47">
        <f t="shared" si="19"/>
        <v>4365.8461658972165</v>
      </c>
    </row>
    <row r="103" spans="1:9" x14ac:dyDescent="0.25">
      <c r="A103" s="53" t="s">
        <v>110</v>
      </c>
      <c r="B103" s="48" t="s">
        <v>138</v>
      </c>
      <c r="C103" s="49">
        <f>+GETPIVOTDATA("Sum of 2014 MW",pivot!$A$3,"Customer Class","GS&gt;50kW","Program","Pre-2011 Programs Completed in 2011","Initiative","High Performance New Construction")*1000</f>
        <v>7.5390446574485956</v>
      </c>
      <c r="D103" s="45">
        <f>D102</f>
        <v>4.0388999999999999</v>
      </c>
      <c r="E103" s="48"/>
      <c r="F103" s="60"/>
      <c r="G103" s="48">
        <f t="shared" si="18"/>
        <v>4.0388999999999999</v>
      </c>
      <c r="H103" s="48">
        <v>12</v>
      </c>
      <c r="I103" s="50">
        <f t="shared" si="19"/>
        <v>365.39336960362959</v>
      </c>
    </row>
    <row r="104" spans="1:9" x14ac:dyDescent="0.25">
      <c r="A104" s="22"/>
      <c r="B104" s="23"/>
      <c r="C104" s="24">
        <f>SUM(C98:C103)</f>
        <v>298.0272180055893</v>
      </c>
      <c r="D104" s="23"/>
      <c r="E104" s="23"/>
      <c r="F104" s="23"/>
      <c r="G104" s="23"/>
      <c r="H104" s="23"/>
      <c r="I104" s="57">
        <f>SUM(I98:I103)</f>
        <v>14444.425569633295</v>
      </c>
    </row>
    <row r="105" spans="1:9" x14ac:dyDescent="0.25">
      <c r="A105" s="38"/>
      <c r="B105" s="39"/>
      <c r="C105" s="40"/>
      <c r="D105" s="39"/>
      <c r="E105" s="39"/>
      <c r="F105" s="39"/>
      <c r="G105" s="39"/>
      <c r="H105" s="39"/>
      <c r="I105" s="31"/>
    </row>
    <row r="106" spans="1:9" x14ac:dyDescent="0.25">
      <c r="A106" s="22" t="s">
        <v>137</v>
      </c>
      <c r="B106" s="23"/>
      <c r="C106" s="24"/>
      <c r="D106" s="23"/>
      <c r="E106" s="23"/>
      <c r="F106" s="23"/>
      <c r="G106" s="23"/>
      <c r="H106" s="23"/>
      <c r="I106" s="20">
        <f>I92+I95+I104</f>
        <v>33428.979044026928</v>
      </c>
    </row>
    <row r="107" spans="1:9" x14ac:dyDescent="0.25">
      <c r="I107" s="17" t="s">
        <v>147</v>
      </c>
    </row>
    <row r="109" spans="1:9" x14ac:dyDescent="0.25">
      <c r="A109" s="105" t="s">
        <v>154</v>
      </c>
      <c r="B109" s="107"/>
      <c r="C109" s="109" t="s">
        <v>163</v>
      </c>
      <c r="D109" s="111" t="s">
        <v>158</v>
      </c>
      <c r="E109" s="111"/>
      <c r="F109" s="111"/>
      <c r="G109" s="112"/>
      <c r="H109" s="113" t="s">
        <v>160</v>
      </c>
      <c r="I109" s="103" t="s">
        <v>139</v>
      </c>
    </row>
    <row r="110" spans="1:9" x14ac:dyDescent="0.25">
      <c r="A110" s="106"/>
      <c r="B110" s="108"/>
      <c r="C110" s="110"/>
      <c r="D110" s="87" t="s">
        <v>133</v>
      </c>
      <c r="E110" s="87" t="s">
        <v>134</v>
      </c>
      <c r="F110" s="87" t="s">
        <v>135</v>
      </c>
      <c r="G110" s="87" t="s">
        <v>136</v>
      </c>
      <c r="H110" s="114"/>
      <c r="I110" s="104"/>
    </row>
    <row r="111" spans="1:9" x14ac:dyDescent="0.25">
      <c r="A111" s="29" t="s">
        <v>123</v>
      </c>
      <c r="B111" s="29" t="s">
        <v>147</v>
      </c>
      <c r="C111" s="30"/>
      <c r="D111" s="29"/>
      <c r="E111" s="29"/>
      <c r="F111" s="29"/>
      <c r="G111" s="29"/>
      <c r="H111" s="29"/>
      <c r="I111" s="31"/>
    </row>
    <row r="112" spans="1:9" x14ac:dyDescent="0.25">
      <c r="A112" s="51" t="s">
        <v>68</v>
      </c>
      <c r="B112" s="42" t="s">
        <v>132</v>
      </c>
      <c r="C112" s="43">
        <f>+GETPIVOTDATA("Sum of 2015 MWh",pivot!$A$3,"Customer Class","Residential","Program","Consumer","Initiative","Appliance Exchange")*1000</f>
        <v>0</v>
      </c>
      <c r="D112" s="42">
        <v>1.4800000000000001E-2</v>
      </c>
      <c r="E112" s="42"/>
      <c r="F112" s="42"/>
      <c r="G112" s="42">
        <f t="shared" ref="G112:G117" si="20">SUM(D112:F112)</f>
        <v>1.4800000000000001E-2</v>
      </c>
      <c r="H112" s="42">
        <v>1</v>
      </c>
      <c r="I112" s="44">
        <f t="shared" ref="I112:I117" si="21">C112*G112*H112</f>
        <v>0</v>
      </c>
    </row>
    <row r="113" spans="1:9" x14ac:dyDescent="0.25">
      <c r="A113" s="52" t="s">
        <v>72</v>
      </c>
      <c r="B113" s="45" t="s">
        <v>132</v>
      </c>
      <c r="C113" s="43">
        <f>+GETPIVOTDATA("Sum of 2015 MWh",pivot!$A$3,"Customer Class","Residential","Program","Consumer","Initiative","Appliance Retirement")*1000</f>
        <v>153556.71836511002</v>
      </c>
      <c r="D113" s="45">
        <f>D112</f>
        <v>1.4800000000000001E-2</v>
      </c>
      <c r="E113" s="45"/>
      <c r="F113" s="45"/>
      <c r="G113" s="45">
        <f t="shared" si="20"/>
        <v>1.4800000000000001E-2</v>
      </c>
      <c r="H113" s="45">
        <v>1</v>
      </c>
      <c r="I113" s="47">
        <f t="shared" si="21"/>
        <v>2272.6394318036282</v>
      </c>
    </row>
    <row r="114" spans="1:9" x14ac:dyDescent="0.25">
      <c r="A114" s="52" t="s">
        <v>79</v>
      </c>
      <c r="B114" s="45" t="s">
        <v>132</v>
      </c>
      <c r="C114" s="43">
        <f>+GETPIVOTDATA("Sum of 2015 MWh",pivot!$A$3,"Customer Class","Residential","Program","Consumer","Initiative","Bi-Annual Retailer Event")*1000</f>
        <v>232344.96093660541</v>
      </c>
      <c r="D114" s="45">
        <f>D113</f>
        <v>1.4800000000000001E-2</v>
      </c>
      <c r="E114" s="45"/>
      <c r="F114" s="45"/>
      <c r="G114" s="45">
        <f t="shared" si="20"/>
        <v>1.4800000000000001E-2</v>
      </c>
      <c r="H114" s="45">
        <v>1</v>
      </c>
      <c r="I114" s="47">
        <f t="shared" si="21"/>
        <v>3438.70542186176</v>
      </c>
    </row>
    <row r="115" spans="1:9" x14ac:dyDescent="0.25">
      <c r="A115" s="52" t="s">
        <v>98</v>
      </c>
      <c r="B115" s="45" t="s">
        <v>132</v>
      </c>
      <c r="C115" s="43">
        <f>+GETPIVOTDATA("Sum of 2015 MWh",pivot!$A$3,"Customer Class","Residential","Program","Consumer","Initiative","Conservation Instant Coupon Booklet")*1000</f>
        <v>176008.38353165574</v>
      </c>
      <c r="D115" s="45">
        <f>D114</f>
        <v>1.4800000000000001E-2</v>
      </c>
      <c r="E115" s="45"/>
      <c r="F115" s="45"/>
      <c r="G115" s="45">
        <f t="shared" si="20"/>
        <v>1.4800000000000001E-2</v>
      </c>
      <c r="H115" s="45">
        <v>1</v>
      </c>
      <c r="I115" s="47">
        <f t="shared" si="21"/>
        <v>2604.9240762685049</v>
      </c>
    </row>
    <row r="116" spans="1:9" x14ac:dyDescent="0.25">
      <c r="A116" s="52" t="s">
        <v>111</v>
      </c>
      <c r="B116" s="45" t="s">
        <v>132</v>
      </c>
      <c r="C116" s="43">
        <f>+GETPIVOTDATA("Sum of 2015 MWh",pivot!$A$3,"Customer Class","Residential","Program","Consumer","Initiative","HVAC Incentives")*1000</f>
        <v>580360.59394955821</v>
      </c>
      <c r="D116" s="45">
        <f>D115</f>
        <v>1.4800000000000001E-2</v>
      </c>
      <c r="E116" s="45"/>
      <c r="F116" s="45"/>
      <c r="G116" s="45">
        <f t="shared" si="20"/>
        <v>1.4800000000000001E-2</v>
      </c>
      <c r="H116" s="45">
        <v>1</v>
      </c>
      <c r="I116" s="47">
        <f t="shared" si="21"/>
        <v>8589.3367904534625</v>
      </c>
    </row>
    <row r="117" spans="1:9" x14ac:dyDescent="0.25">
      <c r="A117" s="53" t="s">
        <v>115</v>
      </c>
      <c r="B117" s="48" t="s">
        <v>132</v>
      </c>
      <c r="C117" s="43">
        <f>+GETPIVOTDATA("Sum of 2015 MWh",pivot!$A$3,"Customer Class","Residential","Program","Consumer","Initiative","Retailer Co-op")*1000</f>
        <v>0</v>
      </c>
      <c r="D117" s="45">
        <f>D116</f>
        <v>1.4800000000000001E-2</v>
      </c>
      <c r="E117" s="48"/>
      <c r="F117" s="48"/>
      <c r="G117" s="48">
        <f t="shared" si="20"/>
        <v>1.4800000000000001E-2</v>
      </c>
      <c r="H117" s="48">
        <v>1</v>
      </c>
      <c r="I117" s="50">
        <f t="shared" si="21"/>
        <v>0</v>
      </c>
    </row>
    <row r="118" spans="1:9" x14ac:dyDescent="0.25">
      <c r="A118" s="19"/>
      <c r="B118" s="19"/>
      <c r="C118" s="18">
        <f>SUM(C112:C117)</f>
        <v>1142270.6567829293</v>
      </c>
      <c r="D118" s="19"/>
      <c r="E118" s="19"/>
      <c r="F118" s="19"/>
      <c r="G118" s="19"/>
      <c r="H118" s="19"/>
      <c r="I118" s="18">
        <f>SUM(I112:I117)</f>
        <v>16905.605720387357</v>
      </c>
    </row>
    <row r="119" spans="1:9" x14ac:dyDescent="0.25">
      <c r="A119" s="35"/>
      <c r="B119" s="35"/>
      <c r="C119" s="30"/>
      <c r="D119" s="35"/>
      <c r="E119" s="35"/>
      <c r="F119" s="35"/>
      <c r="G119" s="35"/>
      <c r="H119" s="35"/>
      <c r="I119" s="37"/>
    </row>
    <row r="120" spans="1:9" x14ac:dyDescent="0.25">
      <c r="A120" s="32" t="s">
        <v>130</v>
      </c>
      <c r="B120" s="32"/>
      <c r="C120" s="33"/>
      <c r="D120" s="32"/>
      <c r="E120" s="32"/>
      <c r="F120" s="32"/>
      <c r="G120" s="32"/>
      <c r="H120" s="32"/>
      <c r="I120" s="34"/>
    </row>
    <row r="121" spans="1:9" x14ac:dyDescent="0.25">
      <c r="A121" s="56" t="s">
        <v>100</v>
      </c>
      <c r="B121" s="32" t="s">
        <v>132</v>
      </c>
      <c r="C121" s="43">
        <f>+GETPIVOTDATA("Sum of 2015 MWh",pivot!$A$3,"Customer Class","GS&lt;50kW")*1000</f>
        <v>33345.943398082665</v>
      </c>
      <c r="D121" s="32">
        <v>2.0299999999999999E-2</v>
      </c>
      <c r="E121" s="32"/>
      <c r="F121" s="32"/>
      <c r="G121" s="32">
        <f t="shared" ref="G121" si="22">SUM(D121:F121)</f>
        <v>2.0299999999999999E-2</v>
      </c>
      <c r="H121" s="32">
        <v>1</v>
      </c>
      <c r="I121" s="34">
        <f>C121*G121*H121</f>
        <v>676.92265098107805</v>
      </c>
    </row>
    <row r="122" spans="1:9" x14ac:dyDescent="0.25">
      <c r="A122" s="29"/>
      <c r="B122" s="29"/>
      <c r="C122" s="30"/>
      <c r="D122" s="29"/>
      <c r="E122" s="29"/>
      <c r="F122" s="29"/>
      <c r="G122" s="29"/>
      <c r="H122" s="29"/>
      <c r="I122" s="31"/>
    </row>
    <row r="123" spans="1:9" x14ac:dyDescent="0.25">
      <c r="A123" s="35" t="s">
        <v>131</v>
      </c>
      <c r="B123" s="35"/>
      <c r="C123" s="36"/>
      <c r="D123" s="35"/>
      <c r="E123" s="35"/>
      <c r="F123" s="35"/>
      <c r="G123" s="35"/>
      <c r="H123" s="35"/>
      <c r="I123" s="37"/>
    </row>
    <row r="124" spans="1:9" x14ac:dyDescent="0.25">
      <c r="A124" s="51" t="s">
        <v>117</v>
      </c>
      <c r="B124" s="42" t="s">
        <v>138</v>
      </c>
      <c r="C124" s="43">
        <f>+GETPIVOTDATA("Sum of 2015 MW",pivot!$A$3,"Customer Class","GS&gt;50kW","Program","Business","Initiative","Demand Response 3 (part of the Industrial program schedule)")*1000</f>
        <v>0</v>
      </c>
      <c r="D124" s="42">
        <v>4.0914000000000001</v>
      </c>
      <c r="E124" s="42"/>
      <c r="F124" s="58"/>
      <c r="G124" s="42">
        <f t="shared" ref="G124:G129" si="23">SUM(D124:F124)</f>
        <v>4.0914000000000001</v>
      </c>
      <c r="H124" s="42">
        <v>0</v>
      </c>
      <c r="I124" s="44">
        <f t="shared" ref="I124:I129" si="24">C124*G124*H124</f>
        <v>0</v>
      </c>
    </row>
    <row r="125" spans="1:9" x14ac:dyDescent="0.25">
      <c r="A125" s="52" t="s">
        <v>102</v>
      </c>
      <c r="B125" s="45" t="s">
        <v>138</v>
      </c>
      <c r="C125" s="46">
        <f>+GETPIVOTDATA("Sum of 2015 MW",pivot!$A$3,"Customer Class","GS&gt;50kW","Program","Business","Initiative","Efficiency: Equipment Replacement")*1000</f>
        <v>141.81701488021358</v>
      </c>
      <c r="D125" s="45">
        <f>D124</f>
        <v>4.0914000000000001</v>
      </c>
      <c r="E125" s="45"/>
      <c r="F125" s="59"/>
      <c r="G125" s="45">
        <f t="shared" si="23"/>
        <v>4.0914000000000001</v>
      </c>
      <c r="H125" s="45">
        <v>12</v>
      </c>
      <c r="I125" s="47">
        <f t="shared" si="24"/>
        <v>6962.7616161708702</v>
      </c>
    </row>
    <row r="126" spans="1:9" x14ac:dyDescent="0.25">
      <c r="A126" s="52" t="s">
        <v>118</v>
      </c>
      <c r="B126" s="45" t="s">
        <v>138</v>
      </c>
      <c r="C126" s="46">
        <f>+GETPIVOTDATA("Sum of 2015 MW",pivot!$A$3,"Customer Class","GS&gt;50kW","Program","Industrial","Initiative","Demand Response 3")*1000</f>
        <v>0</v>
      </c>
      <c r="D126" s="45">
        <f>D125</f>
        <v>4.0914000000000001</v>
      </c>
      <c r="E126" s="45"/>
      <c r="F126" s="59"/>
      <c r="G126" s="45">
        <f t="shared" si="23"/>
        <v>4.0914000000000001</v>
      </c>
      <c r="H126" s="45">
        <v>0</v>
      </c>
      <c r="I126" s="47">
        <f t="shared" si="24"/>
        <v>0</v>
      </c>
    </row>
    <row r="127" spans="1:9" x14ac:dyDescent="0.25">
      <c r="A127" s="52" t="s">
        <v>107</v>
      </c>
      <c r="B127" s="45" t="s">
        <v>138</v>
      </c>
      <c r="C127" s="46">
        <f>+GETPIVOTDATA("Sum of 2015 MW",pivot!$A$3,"Customer Class","GS&gt;50kW","Program","Industrial","Initiative","Efficiency: Equipment Replacement Incentive (part of the C&amp;I program schedule)")*1000</f>
        <v>58.592049347927158</v>
      </c>
      <c r="D127" s="45">
        <f>D126</f>
        <v>4.0914000000000001</v>
      </c>
      <c r="E127" s="45"/>
      <c r="F127" s="59"/>
      <c r="G127" s="45">
        <f t="shared" si="23"/>
        <v>4.0914000000000001</v>
      </c>
      <c r="H127" s="45">
        <v>12</v>
      </c>
      <c r="I127" s="47">
        <f t="shared" si="24"/>
        <v>2876.6821284253101</v>
      </c>
    </row>
    <row r="128" spans="1:9" x14ac:dyDescent="0.25">
      <c r="A128" s="52" t="s">
        <v>109</v>
      </c>
      <c r="B128" s="45" t="s">
        <v>138</v>
      </c>
      <c r="C128" s="46">
        <f>+GETPIVOTDATA("Sum of 2015 MW",pivot!$A$3,"Customer Class","GS&gt;50kW","Program","Pre-2011 Programs Completed in 2011","Initiative","Electricity Retrofit Incentive Program")*1000</f>
        <v>90.079109120000012</v>
      </c>
      <c r="D128" s="45">
        <f>D127</f>
        <v>4.0914000000000001</v>
      </c>
      <c r="E128" s="45"/>
      <c r="F128" s="59"/>
      <c r="G128" s="45">
        <f t="shared" si="23"/>
        <v>4.0914000000000001</v>
      </c>
      <c r="H128" s="45">
        <v>12</v>
      </c>
      <c r="I128" s="47">
        <f t="shared" si="24"/>
        <v>4422.5960046428163</v>
      </c>
    </row>
    <row r="129" spans="1:9" x14ac:dyDescent="0.25">
      <c r="A129" s="53" t="s">
        <v>110</v>
      </c>
      <c r="B129" s="48" t="s">
        <v>138</v>
      </c>
      <c r="C129" s="49">
        <f>+GETPIVOTDATA("Sum of 2015 MW",pivot!$A$3,"Customer Class","GS&gt;50kW","Program","Pre-2011 Programs Completed in 2011","Initiative","High Performance New Construction")*1000</f>
        <v>7.5390446574485956</v>
      </c>
      <c r="D129" s="45">
        <f>D128</f>
        <v>4.0914000000000001</v>
      </c>
      <c r="E129" s="48"/>
      <c r="F129" s="60"/>
      <c r="G129" s="48">
        <f t="shared" si="23"/>
        <v>4.0914000000000001</v>
      </c>
      <c r="H129" s="48">
        <v>12</v>
      </c>
      <c r="I129" s="50">
        <f t="shared" si="24"/>
        <v>370.14296773782223</v>
      </c>
    </row>
    <row r="130" spans="1:9" x14ac:dyDescent="0.25">
      <c r="A130" s="22"/>
      <c r="B130" s="23"/>
      <c r="C130" s="24">
        <f>SUM(C124:C129)</f>
        <v>298.0272180055893</v>
      </c>
      <c r="D130" s="23"/>
      <c r="E130" s="23"/>
      <c r="F130" s="23"/>
      <c r="G130" s="23"/>
      <c r="H130" s="23"/>
      <c r="I130" s="57">
        <f>SUM(I124:I129)</f>
        <v>14632.182716976818</v>
      </c>
    </row>
    <row r="131" spans="1:9" x14ac:dyDescent="0.25">
      <c r="A131" s="38"/>
      <c r="B131" s="39"/>
      <c r="C131" s="40"/>
      <c r="D131" s="39"/>
      <c r="E131" s="39"/>
      <c r="F131" s="39"/>
      <c r="G131" s="39"/>
      <c r="H131" s="39"/>
      <c r="I131" s="31"/>
    </row>
    <row r="132" spans="1:9" x14ac:dyDescent="0.25">
      <c r="A132" s="22" t="s">
        <v>137</v>
      </c>
      <c r="B132" s="23"/>
      <c r="C132" s="24"/>
      <c r="D132" s="23"/>
      <c r="E132" s="23"/>
      <c r="F132" s="23"/>
      <c r="G132" s="23"/>
      <c r="H132" s="23"/>
      <c r="I132" s="20">
        <f>I118+I121+I130</f>
        <v>32214.711088345255</v>
      </c>
    </row>
  </sheetData>
  <mergeCells count="30">
    <mergeCell ref="I109:I110"/>
    <mergeCell ref="A109:A110"/>
    <mergeCell ref="B109:B110"/>
    <mergeCell ref="C109:C110"/>
    <mergeCell ref="D109:G109"/>
    <mergeCell ref="H109:H110"/>
    <mergeCell ref="I83:I84"/>
    <mergeCell ref="A83:A84"/>
    <mergeCell ref="B83:B84"/>
    <mergeCell ref="C83:C84"/>
    <mergeCell ref="D83:G83"/>
    <mergeCell ref="H83:H84"/>
    <mergeCell ref="I57:I58"/>
    <mergeCell ref="A57:A58"/>
    <mergeCell ref="B57:B58"/>
    <mergeCell ref="C57:C58"/>
    <mergeCell ref="D57:G57"/>
    <mergeCell ref="H57:H58"/>
    <mergeCell ref="I30:I31"/>
    <mergeCell ref="A4:A5"/>
    <mergeCell ref="B4:B5"/>
    <mergeCell ref="C4:C5"/>
    <mergeCell ref="D4:G4"/>
    <mergeCell ref="H4:H5"/>
    <mergeCell ref="I4:I5"/>
    <mergeCell ref="A30:A31"/>
    <mergeCell ref="B30:B31"/>
    <mergeCell ref="C30:C31"/>
    <mergeCell ref="D30:G30"/>
    <mergeCell ref="H30:H31"/>
  </mergeCell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8"/>
  <sheetViews>
    <sheetView workbookViewId="0">
      <selection activeCell="A27" sqref="A27:XFD27"/>
    </sheetView>
  </sheetViews>
  <sheetFormatPr defaultRowHeight="15" x14ac:dyDescent="0.25"/>
  <cols>
    <col min="1" max="1" width="80" bestFit="1" customWidth="1"/>
    <col min="2" max="6" width="16" bestFit="1" customWidth="1"/>
    <col min="7" max="11" width="17.28515625" bestFit="1" customWidth="1"/>
  </cols>
  <sheetData>
    <row r="3" spans="1:11" x14ac:dyDescent="0.25">
      <c r="A3" s="11" t="s">
        <v>124</v>
      </c>
      <c r="B3" t="s">
        <v>126</v>
      </c>
      <c r="C3" t="s">
        <v>127</v>
      </c>
      <c r="D3" t="s">
        <v>145</v>
      </c>
      <c r="E3" t="s">
        <v>148</v>
      </c>
      <c r="F3" t="s">
        <v>152</v>
      </c>
      <c r="G3" t="s">
        <v>128</v>
      </c>
      <c r="H3" t="s">
        <v>129</v>
      </c>
      <c r="I3" t="s">
        <v>146</v>
      </c>
      <c r="J3" t="s">
        <v>149</v>
      </c>
      <c r="K3" t="s">
        <v>153</v>
      </c>
    </row>
    <row r="4" spans="1:11" x14ac:dyDescent="0.25">
      <c r="A4" s="12" t="s">
        <v>130</v>
      </c>
      <c r="B4" s="2">
        <v>2.1841422079401013E-2</v>
      </c>
      <c r="C4" s="2">
        <v>2.1841422079401013E-2</v>
      </c>
      <c r="D4" s="2">
        <v>2.0957718395542776E-2</v>
      </c>
      <c r="E4" s="2">
        <v>1.8465604877700062E-2</v>
      </c>
      <c r="F4" s="2">
        <v>1.8465604877700062E-2</v>
      </c>
      <c r="G4" s="83">
        <v>43.921704200372815</v>
      </c>
      <c r="H4" s="83">
        <v>43.921704200372815</v>
      </c>
      <c r="I4" s="83">
        <v>41.453416326384882</v>
      </c>
      <c r="J4" s="83">
        <v>33.345943398082667</v>
      </c>
      <c r="K4" s="83">
        <v>33.345943398082667</v>
      </c>
    </row>
    <row r="5" spans="1:11" x14ac:dyDescent="0.25">
      <c r="A5" s="13" t="s">
        <v>101</v>
      </c>
      <c r="B5" s="2">
        <v>2.1841422079401013E-2</v>
      </c>
      <c r="C5" s="2">
        <v>2.1841422079401013E-2</v>
      </c>
      <c r="D5" s="2">
        <v>2.0957718395542776E-2</v>
      </c>
      <c r="E5" s="2">
        <v>1.8465604877700062E-2</v>
      </c>
      <c r="F5" s="2">
        <v>1.8465604877700062E-2</v>
      </c>
      <c r="G5" s="2">
        <v>43.921704200372815</v>
      </c>
      <c r="H5" s="2">
        <v>43.921704200372815</v>
      </c>
      <c r="I5" s="2">
        <v>41.453416326384882</v>
      </c>
      <c r="J5" s="2">
        <v>33.345943398082667</v>
      </c>
      <c r="K5" s="2">
        <v>33.345943398082667</v>
      </c>
    </row>
    <row r="6" spans="1:11" x14ac:dyDescent="0.25">
      <c r="A6" s="14" t="s">
        <v>100</v>
      </c>
      <c r="B6" s="2">
        <v>2.1841422079401013E-2</v>
      </c>
      <c r="C6" s="2">
        <v>2.1841422079401013E-2</v>
      </c>
      <c r="D6" s="2">
        <v>2.0957718395542776E-2</v>
      </c>
      <c r="E6" s="2">
        <v>1.8465604877700062E-2</v>
      </c>
      <c r="F6" s="2">
        <v>1.8465604877700062E-2</v>
      </c>
      <c r="G6" s="2">
        <v>43.921704200372815</v>
      </c>
      <c r="H6" s="2">
        <v>43.921704200372815</v>
      </c>
      <c r="I6" s="2">
        <v>41.453416326384882</v>
      </c>
      <c r="J6" s="2">
        <v>33.345943398082667</v>
      </c>
      <c r="K6" s="2">
        <v>33.345943398082667</v>
      </c>
    </row>
    <row r="7" spans="1:11" x14ac:dyDescent="0.25">
      <c r="A7" s="12" t="s">
        <v>131</v>
      </c>
      <c r="B7" s="83">
        <v>0.64330401800558934</v>
      </c>
      <c r="C7" s="83">
        <v>0.29802721800558934</v>
      </c>
      <c r="D7" s="83">
        <v>0.29802721800558934</v>
      </c>
      <c r="E7" s="83">
        <v>0.29802721800558934</v>
      </c>
      <c r="F7" s="83">
        <v>0.29802721800558934</v>
      </c>
      <c r="G7" s="2">
        <v>1745.3531358141113</v>
      </c>
      <c r="H7" s="2">
        <v>1727.2176668141112</v>
      </c>
      <c r="I7" s="2">
        <v>1727.2176668141112</v>
      </c>
      <c r="J7" s="2">
        <v>1727.2176668141112</v>
      </c>
      <c r="K7" s="2">
        <v>1727.2176668141112</v>
      </c>
    </row>
    <row r="8" spans="1:11" x14ac:dyDescent="0.25">
      <c r="A8" s="13" t="s">
        <v>101</v>
      </c>
      <c r="B8" s="2">
        <v>0.25027821488021357</v>
      </c>
      <c r="C8" s="2">
        <v>0.14181701488021359</v>
      </c>
      <c r="D8" s="2">
        <v>0.14181701488021359</v>
      </c>
      <c r="E8" s="2">
        <v>0.14181701488021359</v>
      </c>
      <c r="F8" s="2">
        <v>0.14181701488021359</v>
      </c>
      <c r="G8" s="2">
        <v>829.05169916402383</v>
      </c>
      <c r="H8" s="2">
        <v>824.81705016402384</v>
      </c>
      <c r="I8" s="2">
        <v>824.81705016402384</v>
      </c>
      <c r="J8" s="2">
        <v>824.81705016402384</v>
      </c>
      <c r="K8" s="2">
        <v>824.81705016402384</v>
      </c>
    </row>
    <row r="9" spans="1:11" x14ac:dyDescent="0.25">
      <c r="A9" s="14" t="s">
        <v>117</v>
      </c>
      <c r="B9" s="2">
        <v>0.10846119999999999</v>
      </c>
      <c r="C9" s="2">
        <v>0</v>
      </c>
      <c r="D9" s="2">
        <v>0</v>
      </c>
      <c r="E9" s="2">
        <v>0</v>
      </c>
      <c r="F9" s="2">
        <v>0</v>
      </c>
      <c r="G9" s="2">
        <v>4.2346490000000001</v>
      </c>
      <c r="H9" s="2">
        <v>0</v>
      </c>
      <c r="I9" s="2">
        <v>0</v>
      </c>
      <c r="J9" s="2">
        <v>0</v>
      </c>
      <c r="K9" s="2">
        <v>0</v>
      </c>
    </row>
    <row r="10" spans="1:11" x14ac:dyDescent="0.25">
      <c r="A10" s="14" t="s">
        <v>102</v>
      </c>
      <c r="B10" s="2">
        <v>0.14181701488021359</v>
      </c>
      <c r="C10" s="2">
        <v>0.14181701488021359</v>
      </c>
      <c r="D10" s="2">
        <v>0.14181701488021359</v>
      </c>
      <c r="E10" s="2">
        <v>0.14181701488021359</v>
      </c>
      <c r="F10" s="2">
        <v>0.14181701488021359</v>
      </c>
      <c r="G10" s="2">
        <v>824.81705016402384</v>
      </c>
      <c r="H10" s="2">
        <v>824.81705016402384</v>
      </c>
      <c r="I10" s="2">
        <v>824.81705016402384</v>
      </c>
      <c r="J10" s="2">
        <v>824.81705016402384</v>
      </c>
      <c r="K10" s="2">
        <v>824.81705016402384</v>
      </c>
    </row>
    <row r="11" spans="1:11" x14ac:dyDescent="0.25">
      <c r="A11" s="13" t="s">
        <v>106</v>
      </c>
      <c r="B11" s="2">
        <v>0.29540764934792713</v>
      </c>
      <c r="C11" s="2">
        <v>5.859204934792716E-2</v>
      </c>
      <c r="D11" s="2">
        <v>5.859204934792716E-2</v>
      </c>
      <c r="E11" s="2">
        <v>5.859204934792716E-2</v>
      </c>
      <c r="F11" s="2">
        <v>5.859204934792716E-2</v>
      </c>
      <c r="G11" s="2">
        <v>378.0087033786474</v>
      </c>
      <c r="H11" s="2">
        <v>364.10788337864739</v>
      </c>
      <c r="I11" s="2">
        <v>364.10788337864739</v>
      </c>
      <c r="J11" s="2">
        <v>364.10788337864739</v>
      </c>
      <c r="K11" s="2">
        <v>364.10788337864739</v>
      </c>
    </row>
    <row r="12" spans="1:11" x14ac:dyDescent="0.25">
      <c r="A12" s="14" t="s">
        <v>118</v>
      </c>
      <c r="B12" s="2">
        <v>0.23681559999999999</v>
      </c>
      <c r="C12" s="2">
        <v>0</v>
      </c>
      <c r="D12" s="2">
        <v>0</v>
      </c>
      <c r="E12" s="2">
        <v>0</v>
      </c>
      <c r="F12" s="2">
        <v>0</v>
      </c>
      <c r="G12" s="2">
        <v>13.90082</v>
      </c>
      <c r="H12" s="2">
        <v>0</v>
      </c>
      <c r="I12" s="2">
        <v>0</v>
      </c>
      <c r="J12" s="2">
        <v>0</v>
      </c>
      <c r="K12" s="2">
        <v>0</v>
      </c>
    </row>
    <row r="13" spans="1:11" x14ac:dyDescent="0.25">
      <c r="A13" s="14" t="s">
        <v>107</v>
      </c>
      <c r="B13" s="2">
        <v>5.859204934792716E-2</v>
      </c>
      <c r="C13" s="2">
        <v>5.859204934792716E-2</v>
      </c>
      <c r="D13" s="2">
        <v>5.859204934792716E-2</v>
      </c>
      <c r="E13" s="2">
        <v>5.859204934792716E-2</v>
      </c>
      <c r="F13" s="2">
        <v>5.859204934792716E-2</v>
      </c>
      <c r="G13" s="2">
        <v>364.10788337864739</v>
      </c>
      <c r="H13" s="2">
        <v>364.10788337864739</v>
      </c>
      <c r="I13" s="2">
        <v>364.10788337864739</v>
      </c>
      <c r="J13" s="2">
        <v>364.10788337864739</v>
      </c>
      <c r="K13" s="2">
        <v>364.10788337864739</v>
      </c>
    </row>
    <row r="14" spans="1:11" x14ac:dyDescent="0.25">
      <c r="A14" s="13" t="s">
        <v>108</v>
      </c>
      <c r="B14" s="2">
        <v>9.7618153777448605E-2</v>
      </c>
      <c r="C14" s="2">
        <v>9.7618153777448605E-2</v>
      </c>
      <c r="D14" s="2">
        <v>9.7618153777448605E-2</v>
      </c>
      <c r="E14" s="2">
        <v>9.7618153777448605E-2</v>
      </c>
      <c r="F14" s="2">
        <v>9.7618153777448605E-2</v>
      </c>
      <c r="G14" s="2">
        <v>538.29273327144006</v>
      </c>
      <c r="H14" s="2">
        <v>538.29273327144006</v>
      </c>
      <c r="I14" s="2">
        <v>538.29273327144006</v>
      </c>
      <c r="J14" s="2">
        <v>538.29273327144006</v>
      </c>
      <c r="K14" s="2">
        <v>538.29273327144006</v>
      </c>
    </row>
    <row r="15" spans="1:11" x14ac:dyDescent="0.25">
      <c r="A15" s="14" t="s">
        <v>109</v>
      </c>
      <c r="B15" s="2">
        <v>9.0079109120000014E-2</v>
      </c>
      <c r="C15" s="2">
        <v>9.0079109120000014E-2</v>
      </c>
      <c r="D15" s="2">
        <v>9.0079109120000014E-2</v>
      </c>
      <c r="E15" s="2">
        <v>9.0079109120000014E-2</v>
      </c>
      <c r="F15" s="2">
        <v>9.0079109120000014E-2</v>
      </c>
      <c r="G15" s="2">
        <v>499.57219991078404</v>
      </c>
      <c r="H15" s="2">
        <v>499.57219991078404</v>
      </c>
      <c r="I15" s="2">
        <v>499.57219991078404</v>
      </c>
      <c r="J15" s="2">
        <v>499.57219991078404</v>
      </c>
      <c r="K15" s="2">
        <v>499.57219991078404</v>
      </c>
    </row>
    <row r="16" spans="1:11" x14ac:dyDescent="0.25">
      <c r="A16" s="14" t="s">
        <v>110</v>
      </c>
      <c r="B16" s="2">
        <v>7.5390446574485955E-3</v>
      </c>
      <c r="C16" s="2">
        <v>7.5390446574485955E-3</v>
      </c>
      <c r="D16" s="2">
        <v>7.5390446574485955E-3</v>
      </c>
      <c r="E16" s="2">
        <v>7.5390446574485955E-3</v>
      </c>
      <c r="F16" s="2">
        <v>7.5390446574485955E-3</v>
      </c>
      <c r="G16" s="2">
        <v>38.720533360655985</v>
      </c>
      <c r="H16" s="2">
        <v>38.720533360655985</v>
      </c>
      <c r="I16" s="2">
        <v>38.720533360655985</v>
      </c>
      <c r="J16" s="2">
        <v>38.720533360655985</v>
      </c>
      <c r="K16" s="2">
        <v>38.720533360655985</v>
      </c>
    </row>
    <row r="17" spans="1:11" x14ac:dyDescent="0.25">
      <c r="A17" s="12" t="s">
        <v>123</v>
      </c>
      <c r="B17" s="89">
        <v>0.37818849910849217</v>
      </c>
      <c r="C17" s="89">
        <v>0.37818849910849217</v>
      </c>
      <c r="D17" s="89">
        <v>0.37818849910849217</v>
      </c>
      <c r="E17" s="89">
        <v>0.37684413751818457</v>
      </c>
      <c r="F17" s="89">
        <v>0.36335265904664055</v>
      </c>
      <c r="G17" s="83">
        <v>1255.8347085845026</v>
      </c>
      <c r="H17" s="83">
        <v>1255.8347085845026</v>
      </c>
      <c r="I17" s="83">
        <v>1255.8347085845026</v>
      </c>
      <c r="J17" s="83">
        <v>1254.6325072898612</v>
      </c>
      <c r="K17" s="83">
        <v>1142.2706567829293</v>
      </c>
    </row>
    <row r="18" spans="1:11" x14ac:dyDescent="0.25">
      <c r="A18" s="13" t="s">
        <v>67</v>
      </c>
      <c r="B18" s="2">
        <v>0.37818849910849217</v>
      </c>
      <c r="C18" s="2">
        <v>0.37818849910849217</v>
      </c>
      <c r="D18" s="2">
        <v>0.37818849910849217</v>
      </c>
      <c r="E18" s="2">
        <v>0.37684413751818457</v>
      </c>
      <c r="F18" s="2">
        <v>0.36335265904664055</v>
      </c>
      <c r="G18" s="2">
        <v>1255.8347085845026</v>
      </c>
      <c r="H18" s="2">
        <v>1255.8347085845026</v>
      </c>
      <c r="I18" s="2">
        <v>1255.8347085845026</v>
      </c>
      <c r="J18" s="2">
        <v>1254.6325072898612</v>
      </c>
      <c r="K18" s="2">
        <v>1142.2706567829293</v>
      </c>
    </row>
    <row r="19" spans="1:11" x14ac:dyDescent="0.25">
      <c r="A19" s="14" t="s">
        <v>68</v>
      </c>
      <c r="B19" s="2">
        <v>2.4685531636964675E-3</v>
      </c>
      <c r="C19" s="2">
        <v>2.4685531636964675E-3</v>
      </c>
      <c r="D19" s="2">
        <v>2.4685531636964675E-3</v>
      </c>
      <c r="E19" s="2">
        <v>1.4645690097447052E-3</v>
      </c>
      <c r="F19" s="2">
        <v>0</v>
      </c>
      <c r="G19" s="2">
        <v>3.5092342854055785</v>
      </c>
      <c r="H19" s="2">
        <v>3.5092342854055785</v>
      </c>
      <c r="I19" s="2">
        <v>3.5092342854055785</v>
      </c>
      <c r="J19" s="2">
        <v>2.6114170178028075</v>
      </c>
      <c r="K19" s="2">
        <v>0</v>
      </c>
    </row>
    <row r="20" spans="1:11" x14ac:dyDescent="0.25">
      <c r="A20" s="14" t="s">
        <v>72</v>
      </c>
      <c r="B20" s="2">
        <v>3.0836338730172577E-2</v>
      </c>
      <c r="C20" s="2">
        <v>3.0836338730172577E-2</v>
      </c>
      <c r="D20" s="2">
        <v>3.0836338730172577E-2</v>
      </c>
      <c r="E20" s="2">
        <v>3.0495961293816716E-2</v>
      </c>
      <c r="F20" s="2">
        <v>2.0189594848855033E-2</v>
      </c>
      <c r="G20" s="2">
        <v>226.45314720386378</v>
      </c>
      <c r="H20" s="2">
        <v>226.45314720386378</v>
      </c>
      <c r="I20" s="2">
        <v>226.45314720386378</v>
      </c>
      <c r="J20" s="2">
        <v>226.1487631768253</v>
      </c>
      <c r="K20" s="2">
        <v>153.55671836511002</v>
      </c>
    </row>
    <row r="21" spans="1:11" x14ac:dyDescent="0.25">
      <c r="A21" s="14" t="s">
        <v>79</v>
      </c>
      <c r="B21" s="2">
        <v>1.4546251589365419E-2</v>
      </c>
      <c r="C21" s="2">
        <v>1.4546251589365419E-2</v>
      </c>
      <c r="D21" s="2">
        <v>1.4546251589365419E-2</v>
      </c>
      <c r="E21" s="2">
        <v>1.4546251589365419E-2</v>
      </c>
      <c r="F21" s="2">
        <v>1.3533038218265363E-2</v>
      </c>
      <c r="G21" s="2">
        <v>254.22722478472994</v>
      </c>
      <c r="H21" s="2">
        <v>254.22722478472994</v>
      </c>
      <c r="I21" s="2">
        <v>254.22722478472994</v>
      </c>
      <c r="J21" s="2">
        <v>254.22722478472994</v>
      </c>
      <c r="K21" s="2">
        <v>232.34496093660542</v>
      </c>
    </row>
    <row r="22" spans="1:11" x14ac:dyDescent="0.25">
      <c r="A22" s="14" t="s">
        <v>98</v>
      </c>
      <c r="B22" s="2">
        <v>1.1551498556320285E-2</v>
      </c>
      <c r="C22" s="2">
        <v>1.1551498556320285E-2</v>
      </c>
      <c r="D22" s="2">
        <v>1.1551498556320285E-2</v>
      </c>
      <c r="E22" s="2">
        <v>1.1551498556320285E-2</v>
      </c>
      <c r="F22" s="2">
        <v>1.0844168910582732E-2</v>
      </c>
      <c r="G22" s="2">
        <v>191.28450836094515</v>
      </c>
      <c r="H22" s="2">
        <v>191.28450836094515</v>
      </c>
      <c r="I22" s="2">
        <v>191.28450836094515</v>
      </c>
      <c r="J22" s="2">
        <v>191.28450836094515</v>
      </c>
      <c r="K22" s="2">
        <v>176.00838353165574</v>
      </c>
    </row>
    <row r="23" spans="1:11" x14ac:dyDescent="0.25">
      <c r="A23" s="14" t="s">
        <v>111</v>
      </c>
      <c r="B23" s="2">
        <v>0.31878585706893742</v>
      </c>
      <c r="C23" s="2">
        <v>0.31878585706893742</v>
      </c>
      <c r="D23" s="2">
        <v>0.31878585706893742</v>
      </c>
      <c r="E23" s="2">
        <v>0.31878585706893742</v>
      </c>
      <c r="F23" s="2">
        <v>0.31878585706893742</v>
      </c>
      <c r="G23" s="2">
        <v>580.36059394955817</v>
      </c>
      <c r="H23" s="2">
        <v>580.36059394955817</v>
      </c>
      <c r="I23" s="2">
        <v>580.36059394955817</v>
      </c>
      <c r="J23" s="2">
        <v>580.36059394955817</v>
      </c>
      <c r="K23" s="2">
        <v>580.36059394955817</v>
      </c>
    </row>
    <row r="24" spans="1:11" x14ac:dyDescent="0.25">
      <c r="A24" s="14" t="s">
        <v>115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</row>
    <row r="25" spans="1:11" x14ac:dyDescent="0.25">
      <c r="A25" s="12" t="s">
        <v>125</v>
      </c>
      <c r="B25" s="2">
        <v>1.0433339391934826</v>
      </c>
      <c r="C25" s="2">
        <v>0.69805713919348245</v>
      </c>
      <c r="D25" s="2">
        <v>0.69717343550962418</v>
      </c>
      <c r="E25" s="2">
        <v>0.69333696040147386</v>
      </c>
      <c r="F25" s="2">
        <v>0.67984548192992988</v>
      </c>
      <c r="G25" s="2">
        <v>3045.1095485989867</v>
      </c>
      <c r="H25" s="2">
        <v>3026.9740795989869</v>
      </c>
      <c r="I25" s="2">
        <v>3024.5057917249987</v>
      </c>
      <c r="J25" s="2">
        <v>3015.1961175020551</v>
      </c>
      <c r="K25" s="2">
        <v>2902.8342669951235</v>
      </c>
    </row>
    <row r="27" spans="1:11" x14ac:dyDescent="0.25">
      <c r="A27" s="88"/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8" spans="1:11" x14ac:dyDescent="0.25">
      <c r="A28" s="88"/>
      <c r="B28" s="90"/>
      <c r="C28" s="90"/>
      <c r="D28" s="90"/>
      <c r="E28" s="90"/>
      <c r="F28" s="90"/>
      <c r="G28" s="90"/>
      <c r="H28" s="90"/>
      <c r="I28" s="90"/>
      <c r="J28" s="90"/>
      <c r="K28" s="90"/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9"/>
  <sheetViews>
    <sheetView workbookViewId="0">
      <pane xSplit="5" ySplit="3" topLeftCell="F21" activePane="bottomRight" state="frozen"/>
      <selection pane="topRight" activeCell="E1" sqref="E1"/>
      <selection pane="bottomLeft" activeCell="A4" sqref="A4"/>
      <selection pane="bottomRight" activeCell="A66" sqref="A66"/>
    </sheetView>
  </sheetViews>
  <sheetFormatPr defaultRowHeight="15" x14ac:dyDescent="0.25"/>
  <cols>
    <col min="1" max="1" width="11" bestFit="1" customWidth="1"/>
    <col min="6" max="6" width="19.7109375" style="5" customWidth="1"/>
    <col min="8" max="9" width="13.85546875" customWidth="1"/>
    <col min="10" max="11" width="11.85546875" customWidth="1"/>
    <col min="42" max="71" width="10.85546875" customWidth="1"/>
  </cols>
  <sheetData>
    <row r="1" spans="1:71" x14ac:dyDescent="0.25">
      <c r="B1" s="1" t="s">
        <v>69</v>
      </c>
    </row>
    <row r="3" spans="1:71" s="4" customFormat="1" ht="45" x14ac:dyDescent="0.25">
      <c r="A3" s="10" t="s">
        <v>122</v>
      </c>
      <c r="B3" s="4" t="s">
        <v>0</v>
      </c>
      <c r="C3" s="4" t="s">
        <v>1</v>
      </c>
      <c r="D3" s="4" t="s">
        <v>2</v>
      </c>
      <c r="E3" s="4" t="s">
        <v>3</v>
      </c>
      <c r="F3" s="6" t="s">
        <v>121</v>
      </c>
      <c r="G3" s="4" t="s">
        <v>4</v>
      </c>
      <c r="H3" s="4" t="s">
        <v>5</v>
      </c>
      <c r="I3" s="4" t="s">
        <v>6</v>
      </c>
      <c r="J3" s="4" t="s">
        <v>119</v>
      </c>
      <c r="K3" s="4" t="s">
        <v>120</v>
      </c>
      <c r="L3" s="4" t="s">
        <v>7</v>
      </c>
      <c r="M3" s="4" t="s">
        <v>8</v>
      </c>
      <c r="N3" s="4" t="s">
        <v>9</v>
      </c>
      <c r="O3" s="4" t="s">
        <v>10</v>
      </c>
      <c r="P3" s="4" t="s">
        <v>11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17</v>
      </c>
      <c r="W3" s="4" t="s">
        <v>18</v>
      </c>
      <c r="X3" s="4" t="s">
        <v>19</v>
      </c>
      <c r="Y3" s="4" t="s">
        <v>20</v>
      </c>
      <c r="Z3" s="4" t="s">
        <v>21</v>
      </c>
      <c r="AA3" s="4" t="s">
        <v>22</v>
      </c>
      <c r="AB3" s="4" t="s">
        <v>23</v>
      </c>
      <c r="AC3" s="4" t="s">
        <v>24</v>
      </c>
      <c r="AD3" s="4" t="s">
        <v>25</v>
      </c>
      <c r="AE3" s="4" t="s">
        <v>26</v>
      </c>
      <c r="AF3" s="4" t="s">
        <v>27</v>
      </c>
      <c r="AG3" s="4" t="s">
        <v>28</v>
      </c>
      <c r="AH3" s="4" t="s">
        <v>29</v>
      </c>
      <c r="AI3" s="4" t="s">
        <v>30</v>
      </c>
      <c r="AJ3" s="4" t="s">
        <v>31</v>
      </c>
      <c r="AK3" s="4" t="s">
        <v>32</v>
      </c>
      <c r="AL3" s="4" t="s">
        <v>33</v>
      </c>
      <c r="AM3" s="4" t="s">
        <v>34</v>
      </c>
      <c r="AN3" s="4" t="s">
        <v>35</v>
      </c>
      <c r="AO3" s="4" t="s">
        <v>36</v>
      </c>
      <c r="AP3" s="4" t="s">
        <v>37</v>
      </c>
      <c r="AQ3" s="4" t="s">
        <v>38</v>
      </c>
      <c r="AR3" s="4" t="s">
        <v>39</v>
      </c>
      <c r="AS3" s="4" t="s">
        <v>40</v>
      </c>
      <c r="AT3" s="4" t="s">
        <v>41</v>
      </c>
      <c r="AU3" s="4" t="s">
        <v>42</v>
      </c>
      <c r="AV3" s="4" t="s">
        <v>43</v>
      </c>
      <c r="AW3" s="4" t="s">
        <v>44</v>
      </c>
      <c r="AX3" s="4" t="s">
        <v>45</v>
      </c>
      <c r="AY3" s="4" t="s">
        <v>46</v>
      </c>
      <c r="AZ3" s="4" t="s">
        <v>47</v>
      </c>
      <c r="BA3" s="4" t="s">
        <v>48</v>
      </c>
      <c r="BB3" s="4" t="s">
        <v>49</v>
      </c>
      <c r="BC3" s="4" t="s">
        <v>50</v>
      </c>
      <c r="BD3" s="4" t="s">
        <v>51</v>
      </c>
      <c r="BE3" s="4" t="s">
        <v>52</v>
      </c>
      <c r="BF3" s="4" t="s">
        <v>53</v>
      </c>
      <c r="BG3" s="4" t="s">
        <v>54</v>
      </c>
      <c r="BH3" s="4" t="s">
        <v>55</v>
      </c>
      <c r="BI3" s="4" t="s">
        <v>56</v>
      </c>
      <c r="BJ3" s="4" t="s">
        <v>57</v>
      </c>
      <c r="BK3" s="4" t="s">
        <v>58</v>
      </c>
      <c r="BL3" s="4" t="s">
        <v>59</v>
      </c>
      <c r="BM3" s="4" t="s">
        <v>60</v>
      </c>
      <c r="BN3" s="4" t="s">
        <v>61</v>
      </c>
      <c r="BO3" s="4" t="s">
        <v>62</v>
      </c>
      <c r="BP3" s="4" t="s">
        <v>63</v>
      </c>
      <c r="BQ3" s="4" t="s">
        <v>64</v>
      </c>
      <c r="BR3" s="4" t="s">
        <v>65</v>
      </c>
      <c r="BS3" s="4" t="s">
        <v>66</v>
      </c>
    </row>
    <row r="4" spans="1:71" x14ac:dyDescent="0.25">
      <c r="A4" t="s">
        <v>130</v>
      </c>
      <c r="B4" t="s">
        <v>101</v>
      </c>
      <c r="C4" t="s">
        <v>100</v>
      </c>
      <c r="F4" s="7">
        <v>17</v>
      </c>
      <c r="G4" s="9">
        <v>6.7032002047826946</v>
      </c>
      <c r="H4" s="8">
        <v>0.89504473906375259</v>
      </c>
      <c r="I4" s="8">
        <v>1.0759581849200779</v>
      </c>
      <c r="J4" s="8">
        <v>0.92853912100348235</v>
      </c>
      <c r="K4" s="8">
        <v>0.92547823167093235</v>
      </c>
      <c r="L4">
        <v>2.1841422079401013E-2</v>
      </c>
      <c r="M4">
        <v>2.1841422079401013E-2</v>
      </c>
      <c r="N4">
        <v>2.0957718395542776E-2</v>
      </c>
      <c r="O4">
        <v>1.8465604877700062E-2</v>
      </c>
      <c r="P4">
        <v>1.8465604877700062E-2</v>
      </c>
      <c r="Q4">
        <v>1.823001407002451E-2</v>
      </c>
      <c r="R4">
        <v>9.6614295891200731E-3</v>
      </c>
      <c r="S4">
        <v>7.6221133956010699E-3</v>
      </c>
      <c r="T4">
        <v>7.6221133956010699E-3</v>
      </c>
      <c r="U4">
        <v>7.6221133956010699E-3</v>
      </c>
      <c r="V4">
        <v>7.5910051824795944E-3</v>
      </c>
      <c r="W4">
        <v>7.5910051824795944E-3</v>
      </c>
      <c r="X4">
        <v>6.2216426242952703E-3</v>
      </c>
      <c r="Y4">
        <v>6.2216426242952703E-3</v>
      </c>
      <c r="Z4">
        <v>6.2216426242952703E-3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43.921704200372815</v>
      </c>
      <c r="AQ4">
        <v>43.921704200372815</v>
      </c>
      <c r="AR4">
        <v>41.453416326384882</v>
      </c>
      <c r="AS4">
        <v>33.345943398082667</v>
      </c>
      <c r="AT4">
        <v>33.345943398082667</v>
      </c>
      <c r="AU4">
        <v>32.800301396948392</v>
      </c>
      <c r="AV4">
        <v>9.9465708344624684</v>
      </c>
      <c r="AW4">
        <v>8.4157863840534013</v>
      </c>
      <c r="AX4">
        <v>8.4157863840534013</v>
      </c>
      <c r="AY4">
        <v>8.4157863840534013</v>
      </c>
      <c r="AZ4">
        <v>8.2112320686800935</v>
      </c>
      <c r="BA4">
        <v>8.2112320686800935</v>
      </c>
      <c r="BB4">
        <v>4.670189848705629</v>
      </c>
      <c r="BC4">
        <v>4.670189848705629</v>
      </c>
      <c r="BD4">
        <v>4.670189848705629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</row>
    <row r="5" spans="1:71" x14ac:dyDescent="0.25">
      <c r="A5" t="s">
        <v>131</v>
      </c>
      <c r="B5" t="s">
        <v>101</v>
      </c>
      <c r="C5" t="s">
        <v>102</v>
      </c>
      <c r="D5" t="s">
        <v>99</v>
      </c>
      <c r="E5" t="s">
        <v>103</v>
      </c>
      <c r="F5" s="7">
        <v>4</v>
      </c>
      <c r="G5" s="9">
        <v>13.959052546775407</v>
      </c>
      <c r="H5" s="8">
        <v>0.95719026523845097</v>
      </c>
      <c r="I5" s="8">
        <v>1.0580492940562609</v>
      </c>
      <c r="J5" s="8">
        <v>0.659464079616217</v>
      </c>
      <c r="K5" s="8">
        <v>0.64636886265645865</v>
      </c>
      <c r="L5">
        <v>2.2531238688056607E-2</v>
      </c>
      <c r="M5">
        <v>2.2531238688056607E-2</v>
      </c>
      <c r="N5">
        <v>2.2531238688056607E-2</v>
      </c>
      <c r="O5">
        <v>2.2531238688056607E-2</v>
      </c>
      <c r="P5">
        <v>2.2531238688056607E-2</v>
      </c>
      <c r="Q5">
        <v>2.2531238688056607E-2</v>
      </c>
      <c r="R5">
        <v>2.2531238688056607E-2</v>
      </c>
      <c r="S5">
        <v>2.2531238688056607E-2</v>
      </c>
      <c r="T5">
        <v>2.2531238688056607E-2</v>
      </c>
      <c r="U5">
        <v>2.2531238688056607E-2</v>
      </c>
      <c r="V5">
        <v>2.2531238688056607E-2</v>
      </c>
      <c r="W5">
        <v>2.2531238688056607E-2</v>
      </c>
      <c r="X5">
        <v>2.2531238688056607E-2</v>
      </c>
      <c r="Y5">
        <v>2.2531238688056607E-2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135.93972722049446</v>
      </c>
      <c r="AQ5">
        <v>135.93972722049446</v>
      </c>
      <c r="AR5">
        <v>135.93972722049446</v>
      </c>
      <c r="AS5">
        <v>135.93972722049446</v>
      </c>
      <c r="AT5">
        <v>135.93972722049446</v>
      </c>
      <c r="AU5">
        <v>135.93972722049446</v>
      </c>
      <c r="AV5">
        <v>135.93972722049446</v>
      </c>
      <c r="AW5">
        <v>135.93972722049446</v>
      </c>
      <c r="AX5">
        <v>135.93972722049446</v>
      </c>
      <c r="AY5">
        <v>135.93972722049446</v>
      </c>
      <c r="AZ5">
        <v>135.93972722049446</v>
      </c>
      <c r="BA5">
        <v>135.93972722049446</v>
      </c>
      <c r="BB5">
        <v>135.93972722049446</v>
      </c>
      <c r="BC5">
        <v>135.93972722049446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</row>
    <row r="6" spans="1:71" x14ac:dyDescent="0.25">
      <c r="A6" t="s">
        <v>131</v>
      </c>
      <c r="B6" t="s">
        <v>101</v>
      </c>
      <c r="C6" t="s">
        <v>102</v>
      </c>
      <c r="D6" t="s">
        <v>99</v>
      </c>
      <c r="E6" t="s">
        <v>104</v>
      </c>
      <c r="F6" s="7">
        <v>3</v>
      </c>
      <c r="G6" s="9">
        <v>7.3592297456241038</v>
      </c>
      <c r="H6" s="8">
        <v>0.76439468964765489</v>
      </c>
      <c r="I6" s="8">
        <v>0.86618436348283745</v>
      </c>
      <c r="J6" s="8">
        <v>0.79676963547568291</v>
      </c>
      <c r="K6" s="8">
        <v>0.73391032796985012</v>
      </c>
      <c r="L6">
        <v>4.6469790635909905E-2</v>
      </c>
      <c r="M6">
        <v>4.6469790635909905E-2</v>
      </c>
      <c r="N6">
        <v>4.6469790635909905E-2</v>
      </c>
      <c r="O6">
        <v>4.6469790635909905E-2</v>
      </c>
      <c r="P6">
        <v>4.6469790635909905E-2</v>
      </c>
      <c r="Q6">
        <v>4.6469790635909905E-2</v>
      </c>
      <c r="R6">
        <v>4.6469790635909905E-2</v>
      </c>
      <c r="S6">
        <v>4.6469790635909905E-2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200.8817999146371</v>
      </c>
      <c r="AQ6">
        <v>200.8817999146371</v>
      </c>
      <c r="AR6">
        <v>200.8817999146371</v>
      </c>
      <c r="AS6">
        <v>200.8817999146371</v>
      </c>
      <c r="AT6">
        <v>200.8817999146371</v>
      </c>
      <c r="AU6">
        <v>200.8817999146371</v>
      </c>
      <c r="AV6">
        <v>200.8817999146371</v>
      </c>
      <c r="AW6">
        <v>200.8817999146371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</row>
    <row r="7" spans="1:71" x14ac:dyDescent="0.25">
      <c r="A7" t="s">
        <v>131</v>
      </c>
      <c r="B7" t="s">
        <v>101</v>
      </c>
      <c r="C7" t="s">
        <v>102</v>
      </c>
      <c r="D7" t="s">
        <v>99</v>
      </c>
      <c r="E7" t="s">
        <v>105</v>
      </c>
      <c r="F7" s="7">
        <v>2</v>
      </c>
      <c r="G7" s="9">
        <v>11.524909230172993</v>
      </c>
      <c r="H7" s="8">
        <v>1.3530152209425181</v>
      </c>
      <c r="I7" s="8">
        <v>0.93467411405774281</v>
      </c>
      <c r="J7" s="8">
        <v>0.763941640536135</v>
      </c>
      <c r="K7" s="8">
        <v>0.74777996763436583</v>
      </c>
      <c r="L7">
        <v>7.2815985556247062E-2</v>
      </c>
      <c r="M7">
        <v>7.2815985556247062E-2</v>
      </c>
      <c r="N7">
        <v>7.2815985556247062E-2</v>
      </c>
      <c r="O7">
        <v>7.2815985556247062E-2</v>
      </c>
      <c r="P7">
        <v>7.2815985556247062E-2</v>
      </c>
      <c r="Q7">
        <v>7.2815985556247062E-2</v>
      </c>
      <c r="R7">
        <v>7.2815985556247062E-2</v>
      </c>
      <c r="S7">
        <v>7.2815985556247062E-2</v>
      </c>
      <c r="T7">
        <v>7.2815985556247062E-2</v>
      </c>
      <c r="U7">
        <v>7.2815985556247062E-2</v>
      </c>
      <c r="V7">
        <v>7.2815985556247062E-2</v>
      </c>
      <c r="W7">
        <v>7.2815985556247062E-2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487.99552302889236</v>
      </c>
      <c r="AQ7">
        <v>487.99552302889236</v>
      </c>
      <c r="AR7">
        <v>487.99552302889236</v>
      </c>
      <c r="AS7">
        <v>487.99552302889236</v>
      </c>
      <c r="AT7">
        <v>487.99552302889236</v>
      </c>
      <c r="AU7">
        <v>487.99552302889236</v>
      </c>
      <c r="AV7">
        <v>487.99552302889236</v>
      </c>
      <c r="AW7">
        <v>487.99552302889236</v>
      </c>
      <c r="AX7">
        <v>487.99552302889236</v>
      </c>
      <c r="AY7">
        <v>487.99552302889236</v>
      </c>
      <c r="AZ7">
        <v>487.99552302889236</v>
      </c>
      <c r="BA7">
        <v>487.99552302889236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</row>
    <row r="8" spans="1:71" x14ac:dyDescent="0.25">
      <c r="A8" t="s">
        <v>131</v>
      </c>
      <c r="B8" t="s">
        <v>106</v>
      </c>
      <c r="C8" t="s">
        <v>107</v>
      </c>
      <c r="D8" t="s">
        <v>106</v>
      </c>
      <c r="E8" t="s">
        <v>105</v>
      </c>
      <c r="F8" s="7">
        <v>10</v>
      </c>
      <c r="G8" s="9">
        <v>11.524909230172993</v>
      </c>
      <c r="H8" s="8">
        <v>1.3530152209425181</v>
      </c>
      <c r="I8" s="8">
        <v>0.93467411405774281</v>
      </c>
      <c r="J8" s="8">
        <v>0.763941640536135</v>
      </c>
      <c r="K8" s="8">
        <v>0.74777996763436583</v>
      </c>
      <c r="L8">
        <v>5.859204934792716E-2</v>
      </c>
      <c r="M8">
        <v>5.859204934792716E-2</v>
      </c>
      <c r="N8">
        <v>5.859204934792716E-2</v>
      </c>
      <c r="O8">
        <v>5.859204934792716E-2</v>
      </c>
      <c r="P8">
        <v>5.859204934792716E-2</v>
      </c>
      <c r="Q8">
        <v>5.859204934792716E-2</v>
      </c>
      <c r="R8">
        <v>5.859204934792716E-2</v>
      </c>
      <c r="S8">
        <v>5.859204934792716E-2</v>
      </c>
      <c r="T8">
        <v>5.859204934792716E-2</v>
      </c>
      <c r="U8">
        <v>5.859204934792716E-2</v>
      </c>
      <c r="V8">
        <v>5.859204934792716E-2</v>
      </c>
      <c r="W8">
        <v>5.859204934792716E-2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364.10788337864739</v>
      </c>
      <c r="AQ8">
        <v>364.10788337864739</v>
      </c>
      <c r="AR8">
        <v>364.10788337864739</v>
      </c>
      <c r="AS8">
        <v>364.10788337864739</v>
      </c>
      <c r="AT8">
        <v>364.10788337864739</v>
      </c>
      <c r="AU8">
        <v>364.10788337864739</v>
      </c>
      <c r="AV8">
        <v>364.10788337864739</v>
      </c>
      <c r="AW8">
        <v>364.10788337864739</v>
      </c>
      <c r="AX8">
        <v>364.10788337864739</v>
      </c>
      <c r="AY8">
        <v>364.10788337864739</v>
      </c>
      <c r="AZ8">
        <v>364.10788337864739</v>
      </c>
      <c r="BA8">
        <v>364.10788337864739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</row>
    <row r="9" spans="1:71" x14ac:dyDescent="0.25">
      <c r="A9" t="s">
        <v>131</v>
      </c>
      <c r="B9" t="s">
        <v>108</v>
      </c>
      <c r="C9" t="s">
        <v>109</v>
      </c>
      <c r="D9" t="s">
        <v>99</v>
      </c>
      <c r="F9" s="7">
        <v>14</v>
      </c>
      <c r="G9" s="9">
        <v>12.856999999999999</v>
      </c>
      <c r="H9" s="8">
        <v>0.77</v>
      </c>
      <c r="I9" s="8">
        <v>0.77</v>
      </c>
      <c r="J9" s="8">
        <v>0.52</v>
      </c>
      <c r="K9" s="8">
        <v>0.52</v>
      </c>
      <c r="L9">
        <v>9.0079109120000014E-2</v>
      </c>
      <c r="M9">
        <v>9.0079109120000014E-2</v>
      </c>
      <c r="N9">
        <v>9.0079109120000014E-2</v>
      </c>
      <c r="O9">
        <v>9.0079109120000014E-2</v>
      </c>
      <c r="P9">
        <v>9.0079109120000014E-2</v>
      </c>
      <c r="Q9">
        <v>9.0079109120000014E-2</v>
      </c>
      <c r="R9">
        <v>9.0079109120000014E-2</v>
      </c>
      <c r="S9">
        <v>9.0079109120000014E-2</v>
      </c>
      <c r="T9">
        <v>9.0079109120000014E-2</v>
      </c>
      <c r="U9">
        <v>9.0079109120000014E-2</v>
      </c>
      <c r="V9">
        <v>9.0079109120000014E-2</v>
      </c>
      <c r="W9">
        <v>9.0079109120000014E-2</v>
      </c>
      <c r="X9">
        <v>9.0079109120000014E-2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499.57219991078404</v>
      </c>
      <c r="AQ9">
        <v>499.57219991078404</v>
      </c>
      <c r="AR9">
        <v>499.57219991078404</v>
      </c>
      <c r="AS9">
        <v>499.57219991078404</v>
      </c>
      <c r="AT9">
        <v>499.57219991078404</v>
      </c>
      <c r="AU9">
        <v>499.57219991078404</v>
      </c>
      <c r="AV9">
        <v>499.57219991078404</v>
      </c>
      <c r="AW9">
        <v>499.57219991078404</v>
      </c>
      <c r="AX9">
        <v>499.57219991078404</v>
      </c>
      <c r="AY9">
        <v>499.57219991078404</v>
      </c>
      <c r="AZ9">
        <v>499.57219991078404</v>
      </c>
      <c r="BA9">
        <v>499.57219991078404</v>
      </c>
      <c r="BB9">
        <v>499.57219991078404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</row>
    <row r="10" spans="1:71" x14ac:dyDescent="0.25">
      <c r="A10" t="s">
        <v>131</v>
      </c>
      <c r="B10" t="s">
        <v>108</v>
      </c>
      <c r="C10" t="s">
        <v>110</v>
      </c>
      <c r="D10" t="s">
        <v>105</v>
      </c>
      <c r="F10" s="7">
        <v>1</v>
      </c>
      <c r="G10" s="9">
        <v>14</v>
      </c>
      <c r="H10" s="8">
        <v>1</v>
      </c>
      <c r="I10" s="8">
        <v>1</v>
      </c>
      <c r="J10" s="8">
        <v>0.5</v>
      </c>
      <c r="K10" s="8">
        <v>0.5</v>
      </c>
      <c r="L10">
        <v>7.1250000000000003E-3</v>
      </c>
      <c r="M10">
        <v>7.1250000000000003E-3</v>
      </c>
      <c r="N10">
        <v>7.1250000000000003E-3</v>
      </c>
      <c r="O10">
        <v>7.1250000000000003E-3</v>
      </c>
      <c r="P10">
        <v>7.1250000000000003E-3</v>
      </c>
      <c r="Q10">
        <v>7.1250000000000003E-3</v>
      </c>
      <c r="R10">
        <v>7.1250000000000003E-3</v>
      </c>
      <c r="S10">
        <v>7.1250000000000003E-3</v>
      </c>
      <c r="T10">
        <v>7.1250000000000003E-3</v>
      </c>
      <c r="U10">
        <v>7.1250000000000003E-3</v>
      </c>
      <c r="V10">
        <v>7.1250000000000003E-3</v>
      </c>
      <c r="W10">
        <v>7.1250000000000003E-3</v>
      </c>
      <c r="X10">
        <v>7.1250000000000003E-3</v>
      </c>
      <c r="Y10">
        <v>7.1250000000000003E-3</v>
      </c>
      <c r="Z10">
        <v>7.1250000000000003E-3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36.594000000000001</v>
      </c>
      <c r="AQ10">
        <v>36.594000000000001</v>
      </c>
      <c r="AR10">
        <v>36.594000000000001</v>
      </c>
      <c r="AS10">
        <v>36.594000000000001</v>
      </c>
      <c r="AT10">
        <v>36.594000000000001</v>
      </c>
      <c r="AU10">
        <v>36.594000000000001</v>
      </c>
      <c r="AV10">
        <v>36.594000000000001</v>
      </c>
      <c r="AW10">
        <v>36.594000000000001</v>
      </c>
      <c r="AX10">
        <v>36.594000000000001</v>
      </c>
      <c r="AY10">
        <v>36.594000000000001</v>
      </c>
      <c r="AZ10">
        <v>36.594000000000001</v>
      </c>
      <c r="BA10">
        <v>36.594000000000001</v>
      </c>
      <c r="BB10">
        <v>36.594000000000001</v>
      </c>
      <c r="BC10">
        <v>36.594000000000001</v>
      </c>
      <c r="BD10">
        <v>36.594000000000001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</row>
    <row r="11" spans="1:71" x14ac:dyDescent="0.25">
      <c r="A11" t="s">
        <v>131</v>
      </c>
      <c r="B11" t="s">
        <v>108</v>
      </c>
      <c r="C11" t="s">
        <v>110</v>
      </c>
      <c r="D11" t="s">
        <v>103</v>
      </c>
      <c r="F11" s="7">
        <v>6.230920352875772E-3</v>
      </c>
      <c r="G11" s="9">
        <v>25</v>
      </c>
      <c r="H11" s="8">
        <v>1</v>
      </c>
      <c r="I11" s="8">
        <v>1</v>
      </c>
      <c r="J11" s="8">
        <v>0.5</v>
      </c>
      <c r="K11" s="8">
        <v>0.5</v>
      </c>
      <c r="L11">
        <v>4.140446574485951E-4</v>
      </c>
      <c r="M11">
        <v>4.140446574485951E-4</v>
      </c>
      <c r="N11">
        <v>4.140446574485951E-4</v>
      </c>
      <c r="O11">
        <v>4.140446574485951E-4</v>
      </c>
      <c r="P11">
        <v>4.140446574485951E-4</v>
      </c>
      <c r="Q11">
        <v>4.140446574485951E-4</v>
      </c>
      <c r="R11">
        <v>4.140446574485951E-4</v>
      </c>
      <c r="S11">
        <v>4.140446574485951E-4</v>
      </c>
      <c r="T11">
        <v>4.140446574485951E-4</v>
      </c>
      <c r="U11">
        <v>4.140446574485951E-4</v>
      </c>
      <c r="V11">
        <v>4.140446574485951E-4</v>
      </c>
      <c r="W11">
        <v>4.140446574485951E-4</v>
      </c>
      <c r="X11">
        <v>4.140446574485951E-4</v>
      </c>
      <c r="Y11">
        <v>4.140446574485951E-4</v>
      </c>
      <c r="Z11">
        <v>4.140446574485951E-4</v>
      </c>
      <c r="AA11">
        <v>4.140446574485951E-4</v>
      </c>
      <c r="AB11">
        <v>4.140446574485951E-4</v>
      </c>
      <c r="AC11">
        <v>4.140446574485951E-4</v>
      </c>
      <c r="AD11">
        <v>4.140446574485951E-4</v>
      </c>
      <c r="AE11">
        <v>4.140446574485951E-4</v>
      </c>
      <c r="AF11">
        <v>4.140446574485951E-4</v>
      </c>
      <c r="AG11">
        <v>4.140446574485951E-4</v>
      </c>
      <c r="AH11">
        <v>4.140446574485951E-4</v>
      </c>
      <c r="AI11">
        <v>4.140446574485951E-4</v>
      </c>
      <c r="AJ11">
        <v>4.140446574485951E-4</v>
      </c>
      <c r="AK11">
        <v>4.140446574485951E-4</v>
      </c>
      <c r="AL11">
        <v>0</v>
      </c>
      <c r="AM11">
        <v>0</v>
      </c>
      <c r="AN11">
        <v>0</v>
      </c>
      <c r="AO11">
        <v>0</v>
      </c>
      <c r="AP11">
        <v>2.1265333606559844</v>
      </c>
      <c r="AQ11">
        <v>2.1265333606559844</v>
      </c>
      <c r="AR11">
        <v>2.1265333606559844</v>
      </c>
      <c r="AS11">
        <v>2.1265333606559844</v>
      </c>
      <c r="AT11">
        <v>2.1265333606559844</v>
      </c>
      <c r="AU11">
        <v>2.1265333606559844</v>
      </c>
      <c r="AV11">
        <v>2.1265333606559844</v>
      </c>
      <c r="AW11">
        <v>2.1265333606559844</v>
      </c>
      <c r="AX11">
        <v>2.1265333606559844</v>
      </c>
      <c r="AY11">
        <v>2.1265333606559844</v>
      </c>
      <c r="AZ11">
        <v>2.1265333606559844</v>
      </c>
      <c r="BA11">
        <v>2.1265333606559844</v>
      </c>
      <c r="BB11">
        <v>2.1265333606559844</v>
      </c>
      <c r="BC11">
        <v>2.1265333606559844</v>
      </c>
      <c r="BD11">
        <v>2.1265333606559844</v>
      </c>
      <c r="BE11">
        <v>2.1265333606559844</v>
      </c>
      <c r="BF11">
        <v>2.1265333606559844</v>
      </c>
      <c r="BG11">
        <v>2.1265333606559844</v>
      </c>
      <c r="BH11">
        <v>2.1265333606559844</v>
      </c>
      <c r="BI11">
        <v>2.1265333606559844</v>
      </c>
      <c r="BJ11">
        <v>2.1265333606559844</v>
      </c>
      <c r="BK11">
        <v>2.1265333606559844</v>
      </c>
      <c r="BL11">
        <v>2.1265333606559844</v>
      </c>
      <c r="BM11">
        <v>2.1265333606559844</v>
      </c>
      <c r="BN11">
        <v>2.1265333606559844</v>
      </c>
      <c r="BO11">
        <v>2.1265333606559844</v>
      </c>
      <c r="BP11">
        <v>0</v>
      </c>
      <c r="BQ11">
        <v>0</v>
      </c>
      <c r="BR11">
        <v>0</v>
      </c>
      <c r="BS11">
        <v>0</v>
      </c>
    </row>
    <row r="12" spans="1:71" x14ac:dyDescent="0.25">
      <c r="A12" t="s">
        <v>131</v>
      </c>
      <c r="B12" t="s">
        <v>101</v>
      </c>
      <c r="C12" s="3" t="s">
        <v>117</v>
      </c>
      <c r="D12" s="3"/>
      <c r="E12" s="3"/>
      <c r="F12" s="7">
        <v>1</v>
      </c>
      <c r="G12" s="9">
        <v>1</v>
      </c>
      <c r="H12" s="2"/>
      <c r="I12" s="2"/>
      <c r="L12" s="2">
        <v>0.10846119999999999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>
        <v>0</v>
      </c>
      <c r="AP12" s="2">
        <v>4.2346490000000001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</row>
    <row r="13" spans="1:71" x14ac:dyDescent="0.25">
      <c r="A13" t="s">
        <v>131</v>
      </c>
      <c r="B13" s="84" t="s">
        <v>106</v>
      </c>
      <c r="C13" s="3" t="s">
        <v>118</v>
      </c>
      <c r="D13" s="3"/>
      <c r="E13" s="3"/>
      <c r="F13" s="7">
        <v>2</v>
      </c>
      <c r="G13" s="9">
        <v>1</v>
      </c>
      <c r="H13" s="2"/>
      <c r="I13" s="2"/>
      <c r="L13" s="2">
        <v>0.23681559999999999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>
        <v>0</v>
      </c>
      <c r="AP13" s="2">
        <v>13.90082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</row>
    <row r="14" spans="1:71" x14ac:dyDescent="0.25">
      <c r="A14" t="s">
        <v>123</v>
      </c>
      <c r="B14" t="s">
        <v>67</v>
      </c>
      <c r="C14" t="s">
        <v>68</v>
      </c>
      <c r="D14" t="s">
        <v>70</v>
      </c>
      <c r="F14" s="7">
        <v>11.806587575150782</v>
      </c>
      <c r="G14" s="9">
        <v>3</v>
      </c>
      <c r="H14" s="8">
        <v>1</v>
      </c>
      <c r="I14" s="8">
        <v>1</v>
      </c>
      <c r="J14" s="8">
        <v>0.51536512624827746</v>
      </c>
      <c r="K14" s="8">
        <v>0.51536512624827746</v>
      </c>
      <c r="L14">
        <v>1.0039841539517622E-3</v>
      </c>
      <c r="M14">
        <v>1.0039841539517622E-3</v>
      </c>
      <c r="N14">
        <v>1.0039841539517622E-3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0.89781726760277092</v>
      </c>
      <c r="AQ14">
        <v>0.89781726760277092</v>
      </c>
      <c r="AR14">
        <v>0.89781726760277092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</row>
    <row r="15" spans="1:71" x14ac:dyDescent="0.25">
      <c r="A15" t="s">
        <v>123</v>
      </c>
      <c r="B15" t="s">
        <v>67</v>
      </c>
      <c r="C15" t="s">
        <v>68</v>
      </c>
      <c r="D15" t="s">
        <v>71</v>
      </c>
      <c r="F15" s="7">
        <v>9.8599374544768352</v>
      </c>
      <c r="G15" s="9">
        <v>4</v>
      </c>
      <c r="H15" s="8">
        <v>1</v>
      </c>
      <c r="I15" s="8">
        <v>1</v>
      </c>
      <c r="J15" s="8">
        <v>0.51536512624827746</v>
      </c>
      <c r="K15" s="8">
        <v>0.51536512624827746</v>
      </c>
      <c r="L15">
        <v>1.4645690097447052E-3</v>
      </c>
      <c r="M15">
        <v>1.4645690097447052E-3</v>
      </c>
      <c r="N15">
        <v>1.4645690097447052E-3</v>
      </c>
      <c r="O15">
        <v>1.4645690097447052E-3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2.6114170178028075</v>
      </c>
      <c r="AQ15">
        <v>2.6114170178028075</v>
      </c>
      <c r="AR15">
        <v>2.6114170178028075</v>
      </c>
      <c r="AS15">
        <v>2.6114170178028075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</row>
    <row r="16" spans="1:71" x14ac:dyDescent="0.25">
      <c r="A16" t="s">
        <v>123</v>
      </c>
      <c r="B16" t="s">
        <v>67</v>
      </c>
      <c r="C16" t="s">
        <v>72</v>
      </c>
      <c r="D16" t="s">
        <v>73</v>
      </c>
      <c r="F16" s="7">
        <v>3</v>
      </c>
      <c r="G16" s="9">
        <v>3</v>
      </c>
      <c r="H16" s="8">
        <v>1</v>
      </c>
      <c r="I16" s="8">
        <v>1</v>
      </c>
      <c r="J16" s="8">
        <v>0.377</v>
      </c>
      <c r="K16" s="8">
        <v>0.377</v>
      </c>
      <c r="L16">
        <v>3.3842565171961453E-4</v>
      </c>
      <c r="M16">
        <v>3.3842565171961453E-4</v>
      </c>
      <c r="N16">
        <v>3.3842565171961453E-4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0.30263863500000004</v>
      </c>
      <c r="AQ16">
        <v>0.30263863500000004</v>
      </c>
      <c r="AR16">
        <v>0.30263863500000004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</row>
    <row r="17" spans="1:71" x14ac:dyDescent="0.25">
      <c r="A17" t="s">
        <v>123</v>
      </c>
      <c r="B17" t="s">
        <v>67</v>
      </c>
      <c r="C17" t="s">
        <v>72</v>
      </c>
      <c r="D17" t="s">
        <v>74</v>
      </c>
      <c r="F17" s="7">
        <v>3.6467341306347727</v>
      </c>
      <c r="G17" s="9">
        <v>4</v>
      </c>
      <c r="H17" s="8">
        <v>1</v>
      </c>
      <c r="I17" s="8">
        <v>1</v>
      </c>
      <c r="J17" s="8">
        <v>0.377</v>
      </c>
      <c r="K17" s="8">
        <v>0.377</v>
      </c>
      <c r="L17">
        <v>5.9105019629769227E-4</v>
      </c>
      <c r="M17">
        <v>5.9105019629769227E-4</v>
      </c>
      <c r="N17">
        <v>5.9105019629769227E-4</v>
      </c>
      <c r="O17">
        <v>5.9105019629769227E-4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1.0538790119944799</v>
      </c>
      <c r="AQ17">
        <v>1.0538790119944799</v>
      </c>
      <c r="AR17">
        <v>1.0538790119944799</v>
      </c>
      <c r="AS17">
        <v>1.0538790119944799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</row>
    <row r="18" spans="1:71" x14ac:dyDescent="0.25">
      <c r="A18" t="s">
        <v>123</v>
      </c>
      <c r="B18" t="s">
        <v>67</v>
      </c>
      <c r="C18" t="s">
        <v>72</v>
      </c>
      <c r="D18" t="s">
        <v>75</v>
      </c>
      <c r="F18" s="7">
        <v>171.12461334456739</v>
      </c>
      <c r="G18" s="9">
        <v>4</v>
      </c>
      <c r="H18" s="8">
        <v>1</v>
      </c>
      <c r="I18" s="8">
        <v>1</v>
      </c>
      <c r="J18" s="8">
        <v>0.52700000000000002</v>
      </c>
      <c r="K18" s="8">
        <v>0.52700000000000002</v>
      </c>
      <c r="L18">
        <v>9.6495915898510958E-3</v>
      </c>
      <c r="M18">
        <v>9.6495915898510958E-3</v>
      </c>
      <c r="N18">
        <v>9.6495915898510958E-3</v>
      </c>
      <c r="O18">
        <v>9.6495915898510958E-3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71.068379834694042</v>
      </c>
      <c r="AQ18">
        <v>71.068379834694042</v>
      </c>
      <c r="AR18">
        <v>71.068379834694042</v>
      </c>
      <c r="AS18">
        <v>71.068379834694042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</row>
    <row r="19" spans="1:71" x14ac:dyDescent="0.25">
      <c r="A19" t="s">
        <v>123</v>
      </c>
      <c r="B19" t="s">
        <v>67</v>
      </c>
      <c r="C19" t="s">
        <v>72</v>
      </c>
      <c r="D19" t="s">
        <v>76</v>
      </c>
      <c r="F19" s="7">
        <v>323.27558719954709</v>
      </c>
      <c r="G19" s="9">
        <v>5</v>
      </c>
      <c r="H19" s="8">
        <v>1</v>
      </c>
      <c r="I19" s="8">
        <v>1</v>
      </c>
      <c r="J19" s="8">
        <v>0.52700000000000002</v>
      </c>
      <c r="K19" s="8">
        <v>0.52700000000000002</v>
      </c>
      <c r="L19">
        <v>1.9170271097986982E-2</v>
      </c>
      <c r="M19">
        <v>1.9170271097986982E-2</v>
      </c>
      <c r="N19">
        <v>1.9170271097986982E-2</v>
      </c>
      <c r="O19">
        <v>1.9170271097986982E-2</v>
      </c>
      <c r="P19">
        <v>1.9170271097986982E-2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145.80401152246679</v>
      </c>
      <c r="AQ19">
        <v>145.80401152246679</v>
      </c>
      <c r="AR19">
        <v>145.80401152246679</v>
      </c>
      <c r="AS19">
        <v>145.80401152246679</v>
      </c>
      <c r="AT19">
        <v>145.80401152246679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</row>
    <row r="20" spans="1:71" x14ac:dyDescent="0.25">
      <c r="A20" t="s">
        <v>123</v>
      </c>
      <c r="B20" t="s">
        <v>67</v>
      </c>
      <c r="C20" t="s">
        <v>72</v>
      </c>
      <c r="D20" t="s">
        <v>77</v>
      </c>
      <c r="F20" s="7">
        <v>2.3365597056589351</v>
      </c>
      <c r="G20" s="9">
        <v>4</v>
      </c>
      <c r="H20" s="8">
        <v>1</v>
      </c>
      <c r="I20" s="8">
        <v>1</v>
      </c>
      <c r="J20" s="8">
        <v>0.217</v>
      </c>
      <c r="K20" s="8">
        <v>0.217</v>
      </c>
      <c r="L20">
        <v>5.4600682394860046E-5</v>
      </c>
      <c r="M20">
        <v>5.4600682394860046E-5</v>
      </c>
      <c r="N20">
        <v>5.4600682394860046E-5</v>
      </c>
      <c r="O20">
        <v>5.4600682394860046E-5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0.40212914707733083</v>
      </c>
      <c r="AQ20">
        <v>0.40212914707733083</v>
      </c>
      <c r="AR20">
        <v>0.40212914707733083</v>
      </c>
      <c r="AS20">
        <v>0.40212914707733083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</row>
    <row r="21" spans="1:71" x14ac:dyDescent="0.25">
      <c r="A21" t="s">
        <v>123</v>
      </c>
      <c r="B21" t="s">
        <v>67</v>
      </c>
      <c r="C21" t="s">
        <v>72</v>
      </c>
      <c r="D21" t="s">
        <v>78</v>
      </c>
      <c r="F21" s="7">
        <v>43.666792947982373</v>
      </c>
      <c r="G21" s="9">
        <v>5</v>
      </c>
      <c r="H21" s="8">
        <v>1</v>
      </c>
      <c r="I21" s="8">
        <v>1</v>
      </c>
      <c r="J21" s="8">
        <v>0.217</v>
      </c>
      <c r="K21" s="8">
        <v>0.217</v>
      </c>
      <c r="L21">
        <v>1.0044468241616122E-3</v>
      </c>
      <c r="M21">
        <v>1.0044468241616122E-3</v>
      </c>
      <c r="N21">
        <v>1.0044468241616122E-3</v>
      </c>
      <c r="O21">
        <v>1.0044468241616122E-3</v>
      </c>
      <c r="P21">
        <v>1.0044468241616122E-3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7.6395568729929639</v>
      </c>
      <c r="AQ21">
        <v>7.6395568729929639</v>
      </c>
      <c r="AR21">
        <v>7.6395568729929639</v>
      </c>
      <c r="AS21">
        <v>7.6395568729929639</v>
      </c>
      <c r="AT21">
        <v>7.6395568729929639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</row>
    <row r="22" spans="1:71" x14ac:dyDescent="0.25">
      <c r="A22" t="s">
        <v>123</v>
      </c>
      <c r="B22" t="s">
        <v>67</v>
      </c>
      <c r="C22" t="s">
        <v>72</v>
      </c>
      <c r="D22" t="s">
        <v>73</v>
      </c>
      <c r="F22" s="7">
        <v>1.7301743762575213E-2</v>
      </c>
      <c r="G22" s="9">
        <v>3</v>
      </c>
      <c r="H22" s="8">
        <v>1</v>
      </c>
      <c r="I22" s="8">
        <v>1</v>
      </c>
      <c r="J22" s="8">
        <v>0.377</v>
      </c>
      <c r="K22" s="8">
        <v>0.377</v>
      </c>
      <c r="L22">
        <v>1.9517846362450973E-6</v>
      </c>
      <c r="M22">
        <v>1.9517846362450973E-6</v>
      </c>
      <c r="N22">
        <v>1.9517846362450973E-6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1.7453920384751754E-3</v>
      </c>
      <c r="AQ22">
        <v>1.7453920384751754E-3</v>
      </c>
      <c r="AR22">
        <v>1.7453920384751754E-3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</row>
    <row r="23" spans="1:71" x14ac:dyDescent="0.25">
      <c r="A23" t="s">
        <v>123</v>
      </c>
      <c r="B23" t="s">
        <v>67</v>
      </c>
      <c r="C23" t="s">
        <v>72</v>
      </c>
      <c r="D23" t="s">
        <v>74</v>
      </c>
      <c r="F23" s="7">
        <v>1.5773714874620079E-2</v>
      </c>
      <c r="G23" s="9">
        <v>4</v>
      </c>
      <c r="H23" s="8">
        <v>1</v>
      </c>
      <c r="I23" s="8">
        <v>1</v>
      </c>
      <c r="J23" s="8">
        <v>0.377</v>
      </c>
      <c r="K23" s="8">
        <v>0.377</v>
      </c>
      <c r="L23">
        <v>2.5565497617906129E-6</v>
      </c>
      <c r="M23">
        <v>2.5565497617906129E-6</v>
      </c>
      <c r="N23">
        <v>2.5565497617906129E-6</v>
      </c>
      <c r="O23">
        <v>2.5565497617906129E-6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4.5584861555711042E-3</v>
      </c>
      <c r="AQ23">
        <v>4.5584861555711042E-3</v>
      </c>
      <c r="AR23">
        <v>4.5584861555711042E-3</v>
      </c>
      <c r="AS23">
        <v>4.5584861555711042E-3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</row>
    <row r="24" spans="1:71" x14ac:dyDescent="0.25">
      <c r="A24" t="s">
        <v>123</v>
      </c>
      <c r="B24" t="s">
        <v>67</v>
      </c>
      <c r="C24" t="s">
        <v>72</v>
      </c>
      <c r="D24" t="s">
        <v>75</v>
      </c>
      <c r="F24" s="7">
        <v>0.15193363991174427</v>
      </c>
      <c r="G24" s="9">
        <v>4</v>
      </c>
      <c r="H24" s="8">
        <v>1</v>
      </c>
      <c r="I24" s="8">
        <v>1</v>
      </c>
      <c r="J24" s="8">
        <v>0.52700000000000002</v>
      </c>
      <c r="K24" s="8">
        <v>0.52700000000000002</v>
      </c>
      <c r="L24">
        <v>8.5674266562448049E-6</v>
      </c>
      <c r="M24">
        <v>8.5674266562448049E-6</v>
      </c>
      <c r="N24">
        <v>8.5674266562448049E-6</v>
      </c>
      <c r="O24">
        <v>8.5674266562448049E-6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6.309833179388312E-2</v>
      </c>
      <c r="AQ24">
        <v>6.309833179388312E-2</v>
      </c>
      <c r="AR24">
        <v>6.309833179388312E-2</v>
      </c>
      <c r="AS24">
        <v>6.309833179388312E-2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</row>
    <row r="25" spans="1:71" x14ac:dyDescent="0.25">
      <c r="A25" t="s">
        <v>123</v>
      </c>
      <c r="B25" t="s">
        <v>67</v>
      </c>
      <c r="C25" t="s">
        <v>72</v>
      </c>
      <c r="D25" t="s">
        <v>76</v>
      </c>
      <c r="F25" s="7">
        <v>0.25087528455734059</v>
      </c>
      <c r="G25" s="9">
        <v>5</v>
      </c>
      <c r="H25" s="8">
        <v>1</v>
      </c>
      <c r="I25" s="8">
        <v>1</v>
      </c>
      <c r="J25" s="8">
        <v>0.52700000000000002</v>
      </c>
      <c r="K25" s="8">
        <v>0.52700000000000002</v>
      </c>
      <c r="L25">
        <v>1.4876926706439477E-5</v>
      </c>
      <c r="M25">
        <v>1.4876926706439477E-5</v>
      </c>
      <c r="N25">
        <v>1.4876926706439477E-5</v>
      </c>
      <c r="O25">
        <v>1.4876926706439477E-5</v>
      </c>
      <c r="P25">
        <v>1.4876926706439477E-5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0.11314996965026582</v>
      </c>
      <c r="AQ25">
        <v>0.11314996965026582</v>
      </c>
      <c r="AR25">
        <v>0.11314996965026582</v>
      </c>
      <c r="AS25">
        <v>0.11314996965026582</v>
      </c>
      <c r="AT25">
        <v>0.11314996965026582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</row>
    <row r="26" spans="1:71" x14ac:dyDescent="0.25">
      <c r="A26" t="s">
        <v>123</v>
      </c>
      <c r="B26" t="s">
        <v>67</v>
      </c>
      <c r="C26" t="s">
        <v>79</v>
      </c>
      <c r="D26" t="s">
        <v>80</v>
      </c>
      <c r="F26" s="7">
        <v>154.52187354355922</v>
      </c>
      <c r="G26" s="9">
        <v>15</v>
      </c>
      <c r="H26" s="8">
        <v>1</v>
      </c>
      <c r="I26" s="8">
        <v>1</v>
      </c>
      <c r="J26" s="8">
        <v>1.33</v>
      </c>
      <c r="K26" s="8">
        <v>1.33</v>
      </c>
      <c r="L26">
        <v>1.181716464937433E-4</v>
      </c>
      <c r="M26">
        <v>1.181716464937433E-4</v>
      </c>
      <c r="N26">
        <v>1.181716464937433E-4</v>
      </c>
      <c r="O26">
        <v>1.181716464937433E-4</v>
      </c>
      <c r="P26">
        <v>1.181716464937433E-4</v>
      </c>
      <c r="Q26">
        <v>1.181716464937433E-4</v>
      </c>
      <c r="R26">
        <v>1.181716464937433E-4</v>
      </c>
      <c r="S26">
        <v>1.181716464937433E-4</v>
      </c>
      <c r="T26">
        <v>1.181716464937433E-4</v>
      </c>
      <c r="U26">
        <v>1.181716464937433E-4</v>
      </c>
      <c r="V26">
        <v>1.181716464937433E-4</v>
      </c>
      <c r="W26">
        <v>1.181716464937433E-4</v>
      </c>
      <c r="X26">
        <v>1.181716464937433E-4</v>
      </c>
      <c r="Y26">
        <v>1.181716464937433E-4</v>
      </c>
      <c r="Z26">
        <v>1.181716464937433E-4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1.3892490889354818</v>
      </c>
      <c r="AQ26">
        <v>1.3892490889354818</v>
      </c>
      <c r="AR26">
        <v>1.3892490889354818</v>
      </c>
      <c r="AS26">
        <v>1.3892490889354818</v>
      </c>
      <c r="AT26">
        <v>1.3892490889354818</v>
      </c>
      <c r="AU26">
        <v>1.3892490889354818</v>
      </c>
      <c r="AV26">
        <v>1.3892490889354818</v>
      </c>
      <c r="AW26">
        <v>1.3892490889354818</v>
      </c>
      <c r="AX26">
        <v>1.3892490889354818</v>
      </c>
      <c r="AY26">
        <v>1.3892490889354818</v>
      </c>
      <c r="AZ26">
        <v>1.3892490889354818</v>
      </c>
      <c r="BA26">
        <v>1.3892490889354818</v>
      </c>
      <c r="BB26">
        <v>1.3892490889354818</v>
      </c>
      <c r="BC26">
        <v>1.3892490889354818</v>
      </c>
      <c r="BD26">
        <v>1.3892490889354818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</row>
    <row r="27" spans="1:71" x14ac:dyDescent="0.25">
      <c r="A27" t="s">
        <v>123</v>
      </c>
      <c r="B27" t="s">
        <v>67</v>
      </c>
      <c r="C27" t="s">
        <v>79</v>
      </c>
      <c r="D27" t="s">
        <v>81</v>
      </c>
      <c r="F27" s="7">
        <v>14.023063319567211</v>
      </c>
      <c r="G27" s="9">
        <v>10</v>
      </c>
      <c r="H27" s="8">
        <v>1</v>
      </c>
      <c r="I27" s="8">
        <v>1</v>
      </c>
      <c r="J27" s="8">
        <v>1.1600000000000001</v>
      </c>
      <c r="K27" s="8">
        <v>1.1600000000000001</v>
      </c>
      <c r="L27">
        <v>3.8850130653956128E-5</v>
      </c>
      <c r="M27">
        <v>3.8850130653956128E-5</v>
      </c>
      <c r="N27">
        <v>3.8850130653956128E-5</v>
      </c>
      <c r="O27">
        <v>3.8850130653956128E-5</v>
      </c>
      <c r="P27">
        <v>3.8850130653956128E-5</v>
      </c>
      <c r="Q27">
        <v>3.8850130653956128E-5</v>
      </c>
      <c r="R27">
        <v>3.8850130653956128E-5</v>
      </c>
      <c r="S27">
        <v>3.8850130653956128E-5</v>
      </c>
      <c r="T27">
        <v>3.8850130653956128E-5</v>
      </c>
      <c r="U27">
        <v>3.8850130653956128E-5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0.83904223310928627</v>
      </c>
      <c r="AQ27">
        <v>0.83904223310928627</v>
      </c>
      <c r="AR27">
        <v>0.83904223310928627</v>
      </c>
      <c r="AS27">
        <v>0.83904223310928627</v>
      </c>
      <c r="AT27">
        <v>0.83904223310928627</v>
      </c>
      <c r="AU27">
        <v>0.83904223310928627</v>
      </c>
      <c r="AV27">
        <v>0.83904223310928627</v>
      </c>
      <c r="AW27">
        <v>0.83904223310928627</v>
      </c>
      <c r="AX27">
        <v>0.83904223310928627</v>
      </c>
      <c r="AY27">
        <v>0.83904223310928627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</row>
    <row r="28" spans="1:71" x14ac:dyDescent="0.25">
      <c r="A28" t="s">
        <v>123</v>
      </c>
      <c r="B28" t="s">
        <v>67</v>
      </c>
      <c r="C28" t="s">
        <v>79</v>
      </c>
      <c r="D28" t="s">
        <v>82</v>
      </c>
      <c r="F28" s="7">
        <v>86.733641481789547</v>
      </c>
      <c r="G28" s="9">
        <v>16</v>
      </c>
      <c r="H28" s="8">
        <v>1</v>
      </c>
      <c r="I28" s="8">
        <v>1</v>
      </c>
      <c r="J28" s="8">
        <v>1.02</v>
      </c>
      <c r="K28" s="8">
        <v>1.02</v>
      </c>
      <c r="L28">
        <v>2.873836703069175E-4</v>
      </c>
      <c r="M28">
        <v>2.873836703069175E-4</v>
      </c>
      <c r="N28">
        <v>2.873836703069175E-4</v>
      </c>
      <c r="O28">
        <v>2.873836703069175E-4</v>
      </c>
      <c r="P28">
        <v>2.873836703069175E-4</v>
      </c>
      <c r="Q28">
        <v>2.873836703069175E-4</v>
      </c>
      <c r="R28">
        <v>2.873836703069175E-4</v>
      </c>
      <c r="S28">
        <v>2.873836703069175E-4</v>
      </c>
      <c r="T28">
        <v>2.873836703069175E-4</v>
      </c>
      <c r="U28">
        <v>2.873836703069175E-4</v>
      </c>
      <c r="V28">
        <v>2.873836703069175E-4</v>
      </c>
      <c r="W28">
        <v>2.873836703069175E-4</v>
      </c>
      <c r="X28">
        <v>2.873836703069175E-4</v>
      </c>
      <c r="Y28">
        <v>2.873836703069175E-4</v>
      </c>
      <c r="Z28">
        <v>2.873836703069175E-4</v>
      </c>
      <c r="AA28">
        <v>2.873836703069175E-4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6.2065952529532824</v>
      </c>
      <c r="AQ28">
        <v>6.2065952529532824</v>
      </c>
      <c r="AR28">
        <v>6.2065952529532824</v>
      </c>
      <c r="AS28">
        <v>6.2065952529532824</v>
      </c>
      <c r="AT28">
        <v>6.2065952529532824</v>
      </c>
      <c r="AU28">
        <v>6.2065952529532824</v>
      </c>
      <c r="AV28">
        <v>6.2065952529532824</v>
      </c>
      <c r="AW28">
        <v>6.2065952529532824</v>
      </c>
      <c r="AX28">
        <v>6.2065952529532824</v>
      </c>
      <c r="AY28">
        <v>6.2065952529532824</v>
      </c>
      <c r="AZ28">
        <v>6.2065952529532824</v>
      </c>
      <c r="BA28">
        <v>6.2065952529532824</v>
      </c>
      <c r="BB28">
        <v>6.2065952529532824</v>
      </c>
      <c r="BC28">
        <v>6.2065952529532824</v>
      </c>
      <c r="BD28">
        <v>6.2065952529532824</v>
      </c>
      <c r="BE28">
        <v>6.2065952529532824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</row>
    <row r="29" spans="1:71" x14ac:dyDescent="0.25">
      <c r="A29" t="s">
        <v>123</v>
      </c>
      <c r="B29" t="s">
        <v>67</v>
      </c>
      <c r="C29" t="s">
        <v>79</v>
      </c>
      <c r="D29" t="s">
        <v>83</v>
      </c>
      <c r="F29" s="7">
        <v>106.27596106161825</v>
      </c>
      <c r="G29" s="9">
        <v>16</v>
      </c>
      <c r="H29" s="8">
        <v>1</v>
      </c>
      <c r="I29" s="8">
        <v>1</v>
      </c>
      <c r="J29" s="8">
        <v>1.02</v>
      </c>
      <c r="K29" s="8">
        <v>1.02</v>
      </c>
      <c r="L29">
        <v>3.5213528722526246E-4</v>
      </c>
      <c r="M29">
        <v>3.5213528722526246E-4</v>
      </c>
      <c r="N29">
        <v>3.5213528722526246E-4</v>
      </c>
      <c r="O29">
        <v>3.5213528722526246E-4</v>
      </c>
      <c r="P29">
        <v>3.5213528722526246E-4</v>
      </c>
      <c r="Q29">
        <v>3.5213528722526246E-4</v>
      </c>
      <c r="R29">
        <v>3.5213528722526246E-4</v>
      </c>
      <c r="S29">
        <v>3.5213528722526246E-4</v>
      </c>
      <c r="T29">
        <v>3.5213528722526246E-4</v>
      </c>
      <c r="U29">
        <v>3.5213528722526246E-4</v>
      </c>
      <c r="V29">
        <v>3.5213528722526246E-4</v>
      </c>
      <c r="W29">
        <v>3.5213528722526246E-4</v>
      </c>
      <c r="X29">
        <v>3.5213528722526246E-4</v>
      </c>
      <c r="Y29">
        <v>3.5213528722526246E-4</v>
      </c>
      <c r="Z29">
        <v>3.5213528722526246E-4</v>
      </c>
      <c r="AA29">
        <v>3.5213528722526246E-4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7.6050291923529887</v>
      </c>
      <c r="AQ29">
        <v>7.6050291923529887</v>
      </c>
      <c r="AR29">
        <v>7.6050291923529887</v>
      </c>
      <c r="AS29">
        <v>7.6050291923529887</v>
      </c>
      <c r="AT29">
        <v>7.6050291923529887</v>
      </c>
      <c r="AU29">
        <v>7.6050291923529887</v>
      </c>
      <c r="AV29">
        <v>7.6050291923529887</v>
      </c>
      <c r="AW29">
        <v>7.6050291923529887</v>
      </c>
      <c r="AX29">
        <v>7.6050291923529887</v>
      </c>
      <c r="AY29">
        <v>7.6050291923529887</v>
      </c>
      <c r="AZ29">
        <v>7.6050291923529887</v>
      </c>
      <c r="BA29">
        <v>7.6050291923529887</v>
      </c>
      <c r="BB29">
        <v>7.6050291923529887</v>
      </c>
      <c r="BC29">
        <v>7.6050291923529887</v>
      </c>
      <c r="BD29">
        <v>7.6050291923529887</v>
      </c>
      <c r="BE29">
        <v>7.6050291923529887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</row>
    <row r="30" spans="1:71" x14ac:dyDescent="0.25">
      <c r="A30" t="s">
        <v>123</v>
      </c>
      <c r="B30" t="s">
        <v>67</v>
      </c>
      <c r="C30" t="s">
        <v>79</v>
      </c>
      <c r="D30" t="s">
        <v>84</v>
      </c>
      <c r="F30" s="7">
        <v>537.67764003766865</v>
      </c>
      <c r="G30" s="9">
        <v>6</v>
      </c>
      <c r="H30" s="8">
        <v>1</v>
      </c>
      <c r="I30" s="8">
        <v>1</v>
      </c>
      <c r="J30" s="8">
        <v>1.01</v>
      </c>
      <c r="K30" s="8">
        <v>1.01</v>
      </c>
      <c r="L30">
        <v>7.2298957225760128E-4</v>
      </c>
      <c r="M30">
        <v>7.2298957225760128E-4</v>
      </c>
      <c r="N30">
        <v>7.2298957225760128E-4</v>
      </c>
      <c r="O30">
        <v>7.2298957225760128E-4</v>
      </c>
      <c r="P30">
        <v>7.2298957225760128E-4</v>
      </c>
      <c r="Q30">
        <v>7.2298957225760128E-4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15.614330634431809</v>
      </c>
      <c r="AQ30">
        <v>15.614330634431809</v>
      </c>
      <c r="AR30">
        <v>15.614330634431809</v>
      </c>
      <c r="AS30">
        <v>15.614330634431809</v>
      </c>
      <c r="AT30">
        <v>15.614330634431809</v>
      </c>
      <c r="AU30">
        <v>15.614330634431809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</row>
    <row r="31" spans="1:71" x14ac:dyDescent="0.25">
      <c r="A31" t="s">
        <v>123</v>
      </c>
      <c r="B31" t="s">
        <v>67</v>
      </c>
      <c r="C31" t="s">
        <v>79</v>
      </c>
      <c r="D31" t="s">
        <v>85</v>
      </c>
      <c r="F31" s="7">
        <v>1228.4670615022465</v>
      </c>
      <c r="G31" s="9">
        <v>6</v>
      </c>
      <c r="H31" s="8">
        <v>1</v>
      </c>
      <c r="I31" s="8">
        <v>1</v>
      </c>
      <c r="J31" s="8">
        <v>1.01</v>
      </c>
      <c r="K31" s="8">
        <v>1.01</v>
      </c>
      <c r="L31">
        <v>1.6518612811680957E-3</v>
      </c>
      <c r="M31">
        <v>1.6518612811680957E-3</v>
      </c>
      <c r="N31">
        <v>1.6518612811680957E-3</v>
      </c>
      <c r="O31">
        <v>1.6518612811680957E-3</v>
      </c>
      <c r="P31">
        <v>1.6518612811680957E-3</v>
      </c>
      <c r="Q31">
        <v>1.6518612811680957E-3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35.675076371896587</v>
      </c>
      <c r="AQ31">
        <v>35.675076371896587</v>
      </c>
      <c r="AR31">
        <v>35.675076371896587</v>
      </c>
      <c r="AS31">
        <v>35.675076371896587</v>
      </c>
      <c r="AT31">
        <v>35.675076371896587</v>
      </c>
      <c r="AU31">
        <v>35.675076371896587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</row>
    <row r="32" spans="1:71" x14ac:dyDescent="0.25">
      <c r="A32" t="s">
        <v>123</v>
      </c>
      <c r="B32" t="s">
        <v>67</v>
      </c>
      <c r="C32" t="s">
        <v>79</v>
      </c>
      <c r="D32" t="s">
        <v>86</v>
      </c>
      <c r="F32" s="7">
        <v>961.04265903600276</v>
      </c>
      <c r="G32" s="9">
        <v>9</v>
      </c>
      <c r="H32" s="8">
        <v>1</v>
      </c>
      <c r="I32" s="8">
        <v>1</v>
      </c>
      <c r="J32" s="8">
        <v>1.08</v>
      </c>
      <c r="K32" s="8">
        <v>1.08</v>
      </c>
      <c r="L32">
        <v>1.3054115704333913E-3</v>
      </c>
      <c r="M32">
        <v>1.3054115704333913E-3</v>
      </c>
      <c r="N32">
        <v>1.3054115704333913E-3</v>
      </c>
      <c r="O32">
        <v>1.3054115704333913E-3</v>
      </c>
      <c r="P32">
        <v>1.0975539319496911E-3</v>
      </c>
      <c r="Q32">
        <v>8.7047821748248682E-4</v>
      </c>
      <c r="R32">
        <v>8.7047821748248682E-4</v>
      </c>
      <c r="S32">
        <v>8.7047821748248682E-4</v>
      </c>
      <c r="T32">
        <v>1.3054115704333913E-3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28.19283798397209</v>
      </c>
      <c r="AQ32">
        <v>28.19283798397209</v>
      </c>
      <c r="AR32">
        <v>28.19283798397209</v>
      </c>
      <c r="AS32">
        <v>28.19283798397209</v>
      </c>
      <c r="AT32">
        <v>23.703758173260379</v>
      </c>
      <c r="AU32">
        <v>18.79962757332768</v>
      </c>
      <c r="AV32">
        <v>18.79962757332768</v>
      </c>
      <c r="AW32">
        <v>18.79962757332768</v>
      </c>
      <c r="AX32">
        <v>28.19283798397209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</row>
    <row r="33" spans="1:71" x14ac:dyDescent="0.25">
      <c r="A33" t="s">
        <v>123</v>
      </c>
      <c r="B33" t="s">
        <v>67</v>
      </c>
      <c r="C33" t="s">
        <v>79</v>
      </c>
      <c r="D33" t="s">
        <v>87</v>
      </c>
      <c r="F33" s="7">
        <v>3723.6120856063872</v>
      </c>
      <c r="G33" s="9">
        <v>9</v>
      </c>
      <c r="H33" s="8">
        <v>1</v>
      </c>
      <c r="I33" s="8">
        <v>1</v>
      </c>
      <c r="J33" s="8">
        <v>1.08</v>
      </c>
      <c r="K33" s="8">
        <v>1.08</v>
      </c>
      <c r="L33">
        <v>5.0578881745290882E-3</v>
      </c>
      <c r="M33">
        <v>5.0578881745290882E-3</v>
      </c>
      <c r="N33">
        <v>5.0578881745290882E-3</v>
      </c>
      <c r="O33">
        <v>5.0578881745290882E-3</v>
      </c>
      <c r="P33">
        <v>4.2525324419127337E-3</v>
      </c>
      <c r="Q33">
        <v>3.3727152279860095E-3</v>
      </c>
      <c r="R33">
        <v>3.3727152279860095E-3</v>
      </c>
      <c r="S33">
        <v>3.3727152279860095E-3</v>
      </c>
      <c r="T33">
        <v>5.0578881745290882E-3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109.23468511789397</v>
      </c>
      <c r="AQ33">
        <v>109.23468511789397</v>
      </c>
      <c r="AR33">
        <v>109.23468511789397</v>
      </c>
      <c r="AS33">
        <v>109.23468511789397</v>
      </c>
      <c r="AT33">
        <v>91.841501080481166</v>
      </c>
      <c r="AU33">
        <v>72.840180171772758</v>
      </c>
      <c r="AV33">
        <v>72.840180171772758</v>
      </c>
      <c r="AW33">
        <v>72.840180171772758</v>
      </c>
      <c r="AX33">
        <v>109.23468511789397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</row>
    <row r="34" spans="1:71" x14ac:dyDescent="0.25">
      <c r="A34" t="s">
        <v>123</v>
      </c>
      <c r="B34" t="s">
        <v>67</v>
      </c>
      <c r="C34" t="s">
        <v>79</v>
      </c>
      <c r="D34" t="s">
        <v>88</v>
      </c>
      <c r="F34" s="7">
        <v>43.141898071981295</v>
      </c>
      <c r="G34" s="9">
        <v>10</v>
      </c>
      <c r="H34" s="8">
        <v>1</v>
      </c>
      <c r="I34" s="8">
        <v>1</v>
      </c>
      <c r="J34" s="8">
        <v>1.27</v>
      </c>
      <c r="K34" s="8">
        <v>1.27</v>
      </c>
      <c r="L34">
        <v>1.9979562615508859E-3</v>
      </c>
      <c r="M34">
        <v>1.9979562615508859E-3</v>
      </c>
      <c r="N34">
        <v>1.9979562615508859E-3</v>
      </c>
      <c r="O34">
        <v>1.9979562615508859E-3</v>
      </c>
      <c r="P34">
        <v>1.9979562615508859E-3</v>
      </c>
      <c r="Q34">
        <v>1.9979562615508859E-3</v>
      </c>
      <c r="R34">
        <v>1.9979562615508859E-3</v>
      </c>
      <c r="S34">
        <v>1.9979562615508859E-3</v>
      </c>
      <c r="T34">
        <v>1.9979562615508859E-3</v>
      </c>
      <c r="U34">
        <v>1.9979562615508859E-3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24.87886263212895</v>
      </c>
      <c r="AQ34">
        <v>24.87886263212895</v>
      </c>
      <c r="AR34">
        <v>24.87886263212895</v>
      </c>
      <c r="AS34">
        <v>24.87886263212895</v>
      </c>
      <c r="AT34">
        <v>24.87886263212895</v>
      </c>
      <c r="AU34">
        <v>24.87886263212895</v>
      </c>
      <c r="AV34">
        <v>24.87886263212895</v>
      </c>
      <c r="AW34">
        <v>24.87886263212895</v>
      </c>
      <c r="AX34">
        <v>24.87886263212895</v>
      </c>
      <c r="AY34">
        <v>24.87886263212895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</row>
    <row r="35" spans="1:71" x14ac:dyDescent="0.25">
      <c r="A35" t="s">
        <v>123</v>
      </c>
      <c r="B35" t="s">
        <v>67</v>
      </c>
      <c r="C35" t="s">
        <v>79</v>
      </c>
      <c r="D35" t="s">
        <v>89</v>
      </c>
      <c r="F35" s="7">
        <v>205.72638420890055</v>
      </c>
      <c r="G35" s="9">
        <v>10</v>
      </c>
      <c r="H35" s="8">
        <v>1</v>
      </c>
      <c r="I35" s="8">
        <v>1</v>
      </c>
      <c r="J35" s="8">
        <v>1.45</v>
      </c>
      <c r="K35" s="8">
        <v>1.45</v>
      </c>
      <c r="L35">
        <v>3.5888286057162924E-4</v>
      </c>
      <c r="M35">
        <v>3.5888286057162924E-4</v>
      </c>
      <c r="N35">
        <v>3.5888286057162924E-4</v>
      </c>
      <c r="O35">
        <v>3.5888286057162924E-4</v>
      </c>
      <c r="P35">
        <v>3.5888286057162924E-4</v>
      </c>
      <c r="Q35">
        <v>3.5888286057162924E-4</v>
      </c>
      <c r="R35">
        <v>3.5888286057162924E-4</v>
      </c>
      <c r="S35">
        <v>3.5888286057162924E-4</v>
      </c>
      <c r="T35">
        <v>3.5888286057162924E-4</v>
      </c>
      <c r="U35">
        <v>3.5888286057162924E-4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7.750755832477628</v>
      </c>
      <c r="AQ35">
        <v>7.750755832477628</v>
      </c>
      <c r="AR35">
        <v>7.750755832477628</v>
      </c>
      <c r="AS35">
        <v>7.750755832477628</v>
      </c>
      <c r="AT35">
        <v>7.750755832477628</v>
      </c>
      <c r="AU35">
        <v>7.750755832477628</v>
      </c>
      <c r="AV35">
        <v>7.750755832477628</v>
      </c>
      <c r="AW35">
        <v>7.750755832477628</v>
      </c>
      <c r="AX35">
        <v>7.750755832477628</v>
      </c>
      <c r="AY35">
        <v>7.750755832477628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</row>
    <row r="36" spans="1:71" x14ac:dyDescent="0.25">
      <c r="A36" t="s">
        <v>123</v>
      </c>
      <c r="B36" t="s">
        <v>67</v>
      </c>
      <c r="C36" t="s">
        <v>79</v>
      </c>
      <c r="D36" t="s">
        <v>90</v>
      </c>
      <c r="F36" s="7">
        <v>132.35833978370039</v>
      </c>
      <c r="G36" s="9">
        <v>10</v>
      </c>
      <c r="H36" s="8">
        <v>1</v>
      </c>
      <c r="I36" s="8">
        <v>1</v>
      </c>
      <c r="J36" s="8">
        <v>1.45</v>
      </c>
      <c r="K36" s="8">
        <v>1.45</v>
      </c>
      <c r="L36">
        <v>2.3089473809957225E-4</v>
      </c>
      <c r="M36">
        <v>2.3089473809957225E-4</v>
      </c>
      <c r="N36">
        <v>2.3089473809957225E-4</v>
      </c>
      <c r="O36">
        <v>2.3089473809957225E-4</v>
      </c>
      <c r="P36">
        <v>2.3089473809957225E-4</v>
      </c>
      <c r="Q36">
        <v>2.3089473809957225E-4</v>
      </c>
      <c r="R36">
        <v>2.3089473809957225E-4</v>
      </c>
      <c r="S36">
        <v>2.3089473809957225E-4</v>
      </c>
      <c r="T36">
        <v>2.3089473809957225E-4</v>
      </c>
      <c r="U36">
        <v>2.3089473809957225E-4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4.9866096563183939</v>
      </c>
      <c r="AQ36">
        <v>4.9866096563183939</v>
      </c>
      <c r="AR36">
        <v>4.9866096563183939</v>
      </c>
      <c r="AS36">
        <v>4.9866096563183939</v>
      </c>
      <c r="AT36">
        <v>4.9866096563183939</v>
      </c>
      <c r="AU36">
        <v>4.9866096563183939</v>
      </c>
      <c r="AV36">
        <v>4.9866096563183939</v>
      </c>
      <c r="AW36">
        <v>4.9866096563183939</v>
      </c>
      <c r="AX36">
        <v>4.9866096563183939</v>
      </c>
      <c r="AY36">
        <v>4.9866096563183939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</row>
    <row r="37" spans="1:71" x14ac:dyDescent="0.25">
      <c r="A37" t="s">
        <v>123</v>
      </c>
      <c r="B37" t="s">
        <v>67</v>
      </c>
      <c r="C37" t="s">
        <v>79</v>
      </c>
      <c r="D37" t="s">
        <v>91</v>
      </c>
      <c r="F37" s="7">
        <v>5.4500492852111924</v>
      </c>
      <c r="G37" s="9">
        <v>7</v>
      </c>
      <c r="H37" s="8">
        <v>1</v>
      </c>
      <c r="I37" s="8">
        <v>1</v>
      </c>
      <c r="J37" s="8">
        <v>1.3900000000000001</v>
      </c>
      <c r="K37" s="8">
        <v>1.3900000000000001</v>
      </c>
      <c r="L37">
        <v>6.5442611079862372E-5</v>
      </c>
      <c r="M37">
        <v>6.5442611079862372E-5</v>
      </c>
      <c r="N37">
        <v>6.5442611079862372E-5</v>
      </c>
      <c r="O37">
        <v>6.5442611079862372E-5</v>
      </c>
      <c r="P37">
        <v>6.5442611079862372E-5</v>
      </c>
      <c r="Q37">
        <v>6.5442611079862372E-5</v>
      </c>
      <c r="R37">
        <v>6.5442611079862372E-5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0.57327727305959653</v>
      </c>
      <c r="AQ37">
        <v>0.57327727305959653</v>
      </c>
      <c r="AR37">
        <v>0.57327727305959653</v>
      </c>
      <c r="AS37">
        <v>0.57327727305959653</v>
      </c>
      <c r="AT37">
        <v>0.57327727305959653</v>
      </c>
      <c r="AU37">
        <v>0.57327727305959653</v>
      </c>
      <c r="AV37">
        <v>0.57327727305959653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</row>
    <row r="38" spans="1:71" x14ac:dyDescent="0.25">
      <c r="A38" t="s">
        <v>123</v>
      </c>
      <c r="B38" t="s">
        <v>67</v>
      </c>
      <c r="C38" t="s">
        <v>79</v>
      </c>
      <c r="D38" t="s">
        <v>92</v>
      </c>
      <c r="F38" s="7">
        <v>23.720690698490618</v>
      </c>
      <c r="G38" s="9">
        <v>10</v>
      </c>
      <c r="H38" s="8">
        <v>1</v>
      </c>
      <c r="I38" s="8">
        <v>1</v>
      </c>
      <c r="J38" s="8">
        <v>1.19</v>
      </c>
      <c r="K38" s="8">
        <v>1.19</v>
      </c>
      <c r="L38">
        <v>2.2636455963728807E-3</v>
      </c>
      <c r="M38">
        <v>2.2636455963728807E-3</v>
      </c>
      <c r="N38">
        <v>2.2636455963728807E-3</v>
      </c>
      <c r="O38">
        <v>2.2636455963728807E-3</v>
      </c>
      <c r="P38">
        <v>2.2636455963728807E-3</v>
      </c>
      <c r="Q38">
        <v>2.2636455963728807E-3</v>
      </c>
      <c r="R38">
        <v>2.2636455963728807E-3</v>
      </c>
      <c r="S38">
        <v>2.2636455963728807E-3</v>
      </c>
      <c r="T38">
        <v>2.2636455963728807E-3</v>
      </c>
      <c r="U38">
        <v>2.2636455963728807E-3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2.4990647383956599</v>
      </c>
      <c r="AQ38">
        <v>2.4990647383956599</v>
      </c>
      <c r="AR38">
        <v>2.4990647383956599</v>
      </c>
      <c r="AS38">
        <v>2.4990647383956599</v>
      </c>
      <c r="AT38">
        <v>2.4990647383956599</v>
      </c>
      <c r="AU38">
        <v>2.4990647383956599</v>
      </c>
      <c r="AV38">
        <v>2.4990647383956599</v>
      </c>
      <c r="AW38">
        <v>2.4990647383956599</v>
      </c>
      <c r="AX38">
        <v>2.4990647383956599</v>
      </c>
      <c r="AY38">
        <v>2.4990647383956599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</row>
    <row r="39" spans="1:71" x14ac:dyDescent="0.25">
      <c r="A39" t="s">
        <v>123</v>
      </c>
      <c r="B39" t="s">
        <v>67</v>
      </c>
      <c r="C39" t="s">
        <v>79</v>
      </c>
      <c r="D39" t="s">
        <v>93</v>
      </c>
      <c r="F39" s="7">
        <v>26.480318828621364</v>
      </c>
      <c r="G39" s="9">
        <v>10</v>
      </c>
      <c r="H39" s="8">
        <v>1</v>
      </c>
      <c r="I39" s="8">
        <v>1</v>
      </c>
      <c r="J39" s="8">
        <v>1.3399999999999999</v>
      </c>
      <c r="K39" s="8">
        <v>1.3399999999999999</v>
      </c>
      <c r="L39">
        <v>3.5768016575096243E-5</v>
      </c>
      <c r="M39">
        <v>3.5768016575096243E-5</v>
      </c>
      <c r="N39">
        <v>3.5768016575096243E-5</v>
      </c>
      <c r="O39">
        <v>3.5768016575096243E-5</v>
      </c>
      <c r="P39">
        <v>3.5768016575096243E-5</v>
      </c>
      <c r="Q39">
        <v>3.5768016575096243E-5</v>
      </c>
      <c r="R39">
        <v>3.5768016575096243E-5</v>
      </c>
      <c r="S39">
        <v>3.5768016575096243E-5</v>
      </c>
      <c r="T39">
        <v>3.5768016575096243E-5</v>
      </c>
      <c r="U39">
        <v>3.5768016575096243E-5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0.60096320423684912</v>
      </c>
      <c r="AQ39">
        <v>0.60096320423684912</v>
      </c>
      <c r="AR39">
        <v>0.60096320423684912</v>
      </c>
      <c r="AS39">
        <v>0.60096320423684912</v>
      </c>
      <c r="AT39">
        <v>0.60096320423684912</v>
      </c>
      <c r="AU39">
        <v>0.60096320423684912</v>
      </c>
      <c r="AV39">
        <v>0.60096320423684912</v>
      </c>
      <c r="AW39">
        <v>0.60096320423684912</v>
      </c>
      <c r="AX39">
        <v>0.60096320423684912</v>
      </c>
      <c r="AY39">
        <v>0.60096320423684912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</row>
    <row r="40" spans="1:71" x14ac:dyDescent="0.25">
      <c r="A40" t="s">
        <v>123</v>
      </c>
      <c r="B40" t="s">
        <v>67</v>
      </c>
      <c r="C40" t="s">
        <v>79</v>
      </c>
      <c r="D40" t="s">
        <v>94</v>
      </c>
      <c r="F40" s="7">
        <v>35.364764250703736</v>
      </c>
      <c r="G40" s="9">
        <v>11</v>
      </c>
      <c r="H40" s="8">
        <v>1</v>
      </c>
      <c r="I40" s="8">
        <v>1</v>
      </c>
      <c r="J40" s="8">
        <v>1.21</v>
      </c>
      <c r="K40" s="8">
        <v>1.21</v>
      </c>
      <c r="L40">
        <v>3.2790043412278421E-7</v>
      </c>
      <c r="M40">
        <v>3.2790043412278421E-7</v>
      </c>
      <c r="N40">
        <v>3.2790043412278421E-7</v>
      </c>
      <c r="O40">
        <v>3.2790043412278421E-7</v>
      </c>
      <c r="P40">
        <v>3.2790043412278421E-7</v>
      </c>
      <c r="Q40">
        <v>3.2790043412278421E-7</v>
      </c>
      <c r="R40">
        <v>3.2790043412278421E-7</v>
      </c>
      <c r="S40">
        <v>3.2790043412278421E-7</v>
      </c>
      <c r="T40">
        <v>3.2790043412278421E-7</v>
      </c>
      <c r="U40">
        <v>3.2790043412278421E-7</v>
      </c>
      <c r="V40">
        <v>3.2790043412278421E-7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2.7022746835426483</v>
      </c>
      <c r="AQ40">
        <v>2.7022746835426483</v>
      </c>
      <c r="AR40">
        <v>2.7022746835426483</v>
      </c>
      <c r="AS40">
        <v>2.7022746835426483</v>
      </c>
      <c r="AT40">
        <v>2.7022746835426483</v>
      </c>
      <c r="AU40">
        <v>2.7022746835426483</v>
      </c>
      <c r="AV40">
        <v>2.7022746835426483</v>
      </c>
      <c r="AW40">
        <v>2.7022746835426483</v>
      </c>
      <c r="AX40">
        <v>2.7022746835426483</v>
      </c>
      <c r="AY40">
        <v>2.7022746835426483</v>
      </c>
      <c r="AZ40">
        <v>2.7022746835426483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</row>
    <row r="41" spans="1:71" x14ac:dyDescent="0.25">
      <c r="A41" t="s">
        <v>123</v>
      </c>
      <c r="B41" t="s">
        <v>67</v>
      </c>
      <c r="C41" t="s">
        <v>79</v>
      </c>
      <c r="D41" t="s">
        <v>95</v>
      </c>
      <c r="F41" s="7">
        <v>1.271678166549278</v>
      </c>
      <c r="G41" s="9">
        <v>11</v>
      </c>
      <c r="H41" s="8">
        <v>1</v>
      </c>
      <c r="I41" s="8">
        <v>1</v>
      </c>
      <c r="J41" s="8">
        <v>1.21</v>
      </c>
      <c r="K41" s="8">
        <v>1.21</v>
      </c>
      <c r="L41">
        <v>1.1790940268113812E-8</v>
      </c>
      <c r="M41">
        <v>1.1790940268113812E-8</v>
      </c>
      <c r="N41">
        <v>1.1790940268113812E-8</v>
      </c>
      <c r="O41">
        <v>1.1790940268113812E-8</v>
      </c>
      <c r="P41">
        <v>1.1790940268113812E-8</v>
      </c>
      <c r="Q41">
        <v>1.1790940268113812E-8</v>
      </c>
      <c r="R41">
        <v>1.1790940268113812E-8</v>
      </c>
      <c r="S41">
        <v>1.1790940268113812E-8</v>
      </c>
      <c r="T41">
        <v>1.1790940268113812E-8</v>
      </c>
      <c r="U41">
        <v>1.1790940268113812E-8</v>
      </c>
      <c r="V41">
        <v>1.1790940268113812E-8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9.7170836223280141E-2</v>
      </c>
      <c r="AQ41">
        <v>9.7170836223280141E-2</v>
      </c>
      <c r="AR41">
        <v>9.7170836223280141E-2</v>
      </c>
      <c r="AS41">
        <v>9.7170836223280141E-2</v>
      </c>
      <c r="AT41">
        <v>9.7170836223280141E-2</v>
      </c>
      <c r="AU41">
        <v>9.7170836223280141E-2</v>
      </c>
      <c r="AV41">
        <v>9.7170836223280141E-2</v>
      </c>
      <c r="AW41">
        <v>9.7170836223280141E-2</v>
      </c>
      <c r="AX41">
        <v>9.7170836223280141E-2</v>
      </c>
      <c r="AY41">
        <v>9.7170836223280141E-2</v>
      </c>
      <c r="AZ41">
        <v>9.7170836223280141E-2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</row>
    <row r="42" spans="1:71" x14ac:dyDescent="0.25">
      <c r="A42" t="s">
        <v>123</v>
      </c>
      <c r="B42" t="s">
        <v>67</v>
      </c>
      <c r="C42" t="s">
        <v>79</v>
      </c>
      <c r="D42" t="s">
        <v>96</v>
      </c>
      <c r="F42" s="7">
        <v>112.1758556846564</v>
      </c>
      <c r="G42" s="9">
        <v>13</v>
      </c>
      <c r="H42" s="8">
        <v>1</v>
      </c>
      <c r="I42" s="8">
        <v>1</v>
      </c>
      <c r="J42" s="8">
        <v>0.95</v>
      </c>
      <c r="K42" s="8">
        <v>0.95</v>
      </c>
      <c r="L42">
        <v>3.4136321190735385E-5</v>
      </c>
      <c r="M42">
        <v>3.4136321190735385E-5</v>
      </c>
      <c r="N42">
        <v>3.4136321190735385E-5</v>
      </c>
      <c r="O42">
        <v>3.4136321190735385E-5</v>
      </c>
      <c r="P42">
        <v>3.4136321190735385E-5</v>
      </c>
      <c r="Q42">
        <v>3.4136321190735385E-5</v>
      </c>
      <c r="R42">
        <v>3.4136321190735385E-5</v>
      </c>
      <c r="S42">
        <v>3.4136321190735385E-5</v>
      </c>
      <c r="T42">
        <v>3.4136321190735385E-5</v>
      </c>
      <c r="U42">
        <v>3.4136321190735385E-5</v>
      </c>
      <c r="V42">
        <v>3.4136321190735385E-5</v>
      </c>
      <c r="W42">
        <v>3.4136321190735385E-5</v>
      </c>
      <c r="X42">
        <v>3.4136321190735385E-5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3.133203046427012</v>
      </c>
      <c r="AQ42">
        <v>3.133203046427012</v>
      </c>
      <c r="AR42">
        <v>3.133203046427012</v>
      </c>
      <c r="AS42">
        <v>3.133203046427012</v>
      </c>
      <c r="AT42">
        <v>3.133203046427012</v>
      </c>
      <c r="AU42">
        <v>3.133203046427012</v>
      </c>
      <c r="AV42">
        <v>3.133203046427012</v>
      </c>
      <c r="AW42">
        <v>3.133203046427012</v>
      </c>
      <c r="AX42">
        <v>3.133203046427012</v>
      </c>
      <c r="AY42">
        <v>3.133203046427012</v>
      </c>
      <c r="AZ42">
        <v>3.133203046427012</v>
      </c>
      <c r="BA42">
        <v>3.133203046427012</v>
      </c>
      <c r="BB42">
        <v>3.133203046427012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</row>
    <row r="43" spans="1:71" x14ac:dyDescent="0.25">
      <c r="A43" t="s">
        <v>123</v>
      </c>
      <c r="B43" t="s">
        <v>67</v>
      </c>
      <c r="C43" t="s">
        <v>79</v>
      </c>
      <c r="D43" t="s">
        <v>97</v>
      </c>
      <c r="F43" s="7">
        <v>131.08666161715109</v>
      </c>
      <c r="G43" s="9">
        <v>13</v>
      </c>
      <c r="H43" s="8">
        <v>1</v>
      </c>
      <c r="I43" s="8">
        <v>1</v>
      </c>
      <c r="J43" s="8">
        <v>0.92999999999999994</v>
      </c>
      <c r="K43" s="8">
        <v>0.92999999999999994</v>
      </c>
      <c r="L43">
        <v>2.4494159482311098E-5</v>
      </c>
      <c r="M43">
        <v>2.4494159482311098E-5</v>
      </c>
      <c r="N43">
        <v>2.4494159482311098E-5</v>
      </c>
      <c r="O43">
        <v>2.4494159482311098E-5</v>
      </c>
      <c r="P43">
        <v>2.4494159482311098E-5</v>
      </c>
      <c r="Q43">
        <v>2.4494159482311098E-5</v>
      </c>
      <c r="R43">
        <v>2.4494159482311098E-5</v>
      </c>
      <c r="S43">
        <v>2.4494159482311098E-5</v>
      </c>
      <c r="T43">
        <v>2.4494159482311098E-5</v>
      </c>
      <c r="U43">
        <v>2.4494159482311098E-5</v>
      </c>
      <c r="V43">
        <v>2.4494159482311098E-5</v>
      </c>
      <c r="W43">
        <v>2.4494159482311098E-5</v>
      </c>
      <c r="X43">
        <v>2.4494159482311098E-5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2.2481970063743981</v>
      </c>
      <c r="AQ43">
        <v>2.2481970063743981</v>
      </c>
      <c r="AR43">
        <v>2.2481970063743981</v>
      </c>
      <c r="AS43">
        <v>2.2481970063743981</v>
      </c>
      <c r="AT43">
        <v>2.2481970063743981</v>
      </c>
      <c r="AU43">
        <v>2.2481970063743981</v>
      </c>
      <c r="AV43">
        <v>2.2481970063743981</v>
      </c>
      <c r="AW43">
        <v>2.2481970063743981</v>
      </c>
      <c r="AX43">
        <v>2.2481970063743981</v>
      </c>
      <c r="AY43">
        <v>2.2481970063743981</v>
      </c>
      <c r="AZ43">
        <v>2.2481970063743981</v>
      </c>
      <c r="BA43">
        <v>2.2481970063743981</v>
      </c>
      <c r="BB43">
        <v>2.2481970063743981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</row>
    <row r="44" spans="1:71" x14ac:dyDescent="0.25">
      <c r="A44" t="s">
        <v>123</v>
      </c>
      <c r="B44" t="s">
        <v>67</v>
      </c>
      <c r="C44" t="s">
        <v>98</v>
      </c>
      <c r="D44" t="s">
        <v>80</v>
      </c>
      <c r="F44" s="7">
        <v>40.994629302615166</v>
      </c>
      <c r="G44" s="9">
        <v>15</v>
      </c>
      <c r="H44" s="8">
        <v>1</v>
      </c>
      <c r="I44" s="8">
        <v>1</v>
      </c>
      <c r="J44" s="8">
        <v>1.33</v>
      </c>
      <c r="K44" s="8">
        <v>1.33</v>
      </c>
      <c r="L44">
        <v>3.135091965297113E-5</v>
      </c>
      <c r="M44">
        <v>3.135091965297113E-5</v>
      </c>
      <c r="N44">
        <v>3.135091965297113E-5</v>
      </c>
      <c r="O44">
        <v>3.135091965297113E-5</v>
      </c>
      <c r="P44">
        <v>3.135091965297113E-5</v>
      </c>
      <c r="Q44">
        <v>3.135091965297113E-5</v>
      </c>
      <c r="R44">
        <v>3.135091965297113E-5</v>
      </c>
      <c r="S44">
        <v>3.135091965297113E-5</v>
      </c>
      <c r="T44">
        <v>3.135091965297113E-5</v>
      </c>
      <c r="U44">
        <v>3.135091965297113E-5</v>
      </c>
      <c r="V44">
        <v>3.135091965297113E-5</v>
      </c>
      <c r="W44">
        <v>3.135091965297113E-5</v>
      </c>
      <c r="X44">
        <v>3.135091965297113E-5</v>
      </c>
      <c r="Y44">
        <v>3.135091965297113E-5</v>
      </c>
      <c r="Z44">
        <v>3.135091965297113E-5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0.36856756978067196</v>
      </c>
      <c r="AQ44">
        <v>0.36856756978067196</v>
      </c>
      <c r="AR44">
        <v>0.36856756978067196</v>
      </c>
      <c r="AS44">
        <v>0.36856756978067196</v>
      </c>
      <c r="AT44">
        <v>0.36856756978067196</v>
      </c>
      <c r="AU44">
        <v>0.36856756978067196</v>
      </c>
      <c r="AV44">
        <v>0.36856756978067196</v>
      </c>
      <c r="AW44">
        <v>0.36856756978067196</v>
      </c>
      <c r="AX44">
        <v>0.36856756978067196</v>
      </c>
      <c r="AY44">
        <v>0.36856756978067196</v>
      </c>
      <c r="AZ44">
        <v>0.36856756978067196</v>
      </c>
      <c r="BA44">
        <v>0.36856756978067196</v>
      </c>
      <c r="BB44">
        <v>0.36856756978067196</v>
      </c>
      <c r="BC44">
        <v>0.36856756978067196</v>
      </c>
      <c r="BD44">
        <v>0.36856756978067196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</row>
    <row r="45" spans="1:71" x14ac:dyDescent="0.25">
      <c r="A45" t="s">
        <v>123</v>
      </c>
      <c r="B45" t="s">
        <v>67</v>
      </c>
      <c r="C45" t="s">
        <v>98</v>
      </c>
      <c r="D45" t="s">
        <v>81</v>
      </c>
      <c r="F45" s="7">
        <v>11.611118660110531</v>
      </c>
      <c r="G45" s="9">
        <v>10</v>
      </c>
      <c r="H45" s="8">
        <v>1</v>
      </c>
      <c r="I45" s="8">
        <v>1</v>
      </c>
      <c r="J45" s="8">
        <v>1.1600000000000001</v>
      </c>
      <c r="K45" s="8">
        <v>1.1600000000000001</v>
      </c>
      <c r="L45">
        <v>3.2167969772656214E-5</v>
      </c>
      <c r="M45">
        <v>3.2167969772656214E-5</v>
      </c>
      <c r="N45">
        <v>3.2167969772656214E-5</v>
      </c>
      <c r="O45">
        <v>3.2167969772656214E-5</v>
      </c>
      <c r="P45">
        <v>3.2167969772656214E-5</v>
      </c>
      <c r="Q45">
        <v>3.2167969772656214E-5</v>
      </c>
      <c r="R45">
        <v>3.2167969772656214E-5</v>
      </c>
      <c r="S45">
        <v>3.2167969772656214E-5</v>
      </c>
      <c r="T45">
        <v>3.2167969772656214E-5</v>
      </c>
      <c r="U45">
        <v>3.2167969772656214E-5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0.69472829919281243</v>
      </c>
      <c r="AQ45">
        <v>0.69472829919281243</v>
      </c>
      <c r="AR45">
        <v>0.69472829919281243</v>
      </c>
      <c r="AS45">
        <v>0.69472829919281243</v>
      </c>
      <c r="AT45">
        <v>0.69472829919281243</v>
      </c>
      <c r="AU45">
        <v>0.69472829919281243</v>
      </c>
      <c r="AV45">
        <v>0.69472829919281243</v>
      </c>
      <c r="AW45">
        <v>0.69472829919281243</v>
      </c>
      <c r="AX45">
        <v>0.69472829919281243</v>
      </c>
      <c r="AY45">
        <v>0.69472829919281243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</row>
    <row r="46" spans="1:71" x14ac:dyDescent="0.25">
      <c r="A46" t="s">
        <v>123</v>
      </c>
      <c r="B46" t="s">
        <v>67</v>
      </c>
      <c r="C46" t="s">
        <v>98</v>
      </c>
      <c r="D46" t="s">
        <v>82</v>
      </c>
      <c r="F46" s="7">
        <v>35.81440564114645</v>
      </c>
      <c r="G46" s="9">
        <v>16</v>
      </c>
      <c r="H46" s="8">
        <v>1</v>
      </c>
      <c r="I46" s="8">
        <v>1</v>
      </c>
      <c r="J46" s="8">
        <v>1.02</v>
      </c>
      <c r="K46" s="8">
        <v>1.02</v>
      </c>
      <c r="L46">
        <v>1.1866762616180976E-4</v>
      </c>
      <c r="M46">
        <v>1.1866762616180976E-4</v>
      </c>
      <c r="N46">
        <v>1.1866762616180976E-4</v>
      </c>
      <c r="O46">
        <v>1.1866762616180976E-4</v>
      </c>
      <c r="P46">
        <v>1.1866762616180976E-4</v>
      </c>
      <c r="Q46">
        <v>1.1866762616180976E-4</v>
      </c>
      <c r="R46">
        <v>1.1866762616180976E-4</v>
      </c>
      <c r="S46">
        <v>1.1866762616180976E-4</v>
      </c>
      <c r="T46">
        <v>1.1866762616180976E-4</v>
      </c>
      <c r="U46">
        <v>1.1866762616180976E-4</v>
      </c>
      <c r="V46">
        <v>1.1866762616180976E-4</v>
      </c>
      <c r="W46">
        <v>1.1866762616180976E-4</v>
      </c>
      <c r="X46">
        <v>1.1866762616180976E-4</v>
      </c>
      <c r="Y46">
        <v>1.1866762616180976E-4</v>
      </c>
      <c r="Z46">
        <v>1.1866762616180976E-4</v>
      </c>
      <c r="AA46">
        <v>1.1866762616180976E-4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2.5628523862491526</v>
      </c>
      <c r="AQ46">
        <v>2.5628523862491526</v>
      </c>
      <c r="AR46">
        <v>2.5628523862491526</v>
      </c>
      <c r="AS46">
        <v>2.5628523862491526</v>
      </c>
      <c r="AT46">
        <v>2.5628523862491526</v>
      </c>
      <c r="AU46">
        <v>2.5628523862491526</v>
      </c>
      <c r="AV46">
        <v>2.5628523862491526</v>
      </c>
      <c r="AW46">
        <v>2.5628523862491526</v>
      </c>
      <c r="AX46">
        <v>2.5628523862491526</v>
      </c>
      <c r="AY46">
        <v>2.5628523862491526</v>
      </c>
      <c r="AZ46">
        <v>2.5628523862491526</v>
      </c>
      <c r="BA46">
        <v>2.5628523862491526</v>
      </c>
      <c r="BB46">
        <v>2.5628523862491526</v>
      </c>
      <c r="BC46">
        <v>2.5628523862491526</v>
      </c>
      <c r="BD46">
        <v>2.5628523862491526</v>
      </c>
      <c r="BE46">
        <v>2.5628523862491526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</row>
    <row r="47" spans="1:71" x14ac:dyDescent="0.25">
      <c r="A47" t="s">
        <v>123</v>
      </c>
      <c r="B47" t="s">
        <v>67</v>
      </c>
      <c r="C47" t="s">
        <v>98</v>
      </c>
      <c r="D47" t="s">
        <v>83</v>
      </c>
      <c r="F47" s="7">
        <v>140.90169611679892</v>
      </c>
      <c r="G47" s="9">
        <v>16</v>
      </c>
      <c r="H47" s="8">
        <v>1</v>
      </c>
      <c r="I47" s="8">
        <v>1</v>
      </c>
      <c r="J47" s="8">
        <v>1.02</v>
      </c>
      <c r="K47" s="8">
        <v>1.02</v>
      </c>
      <c r="L47">
        <v>4.6686436647557834E-4</v>
      </c>
      <c r="M47">
        <v>4.6686436647557834E-4</v>
      </c>
      <c r="N47">
        <v>4.6686436647557834E-4</v>
      </c>
      <c r="O47">
        <v>4.6686436647557834E-4</v>
      </c>
      <c r="P47">
        <v>4.6686436647557834E-4</v>
      </c>
      <c r="Q47">
        <v>4.6686436647557834E-4</v>
      </c>
      <c r="R47">
        <v>4.6686436647557834E-4</v>
      </c>
      <c r="S47">
        <v>4.6686436647557834E-4</v>
      </c>
      <c r="T47">
        <v>4.6686436647557834E-4</v>
      </c>
      <c r="U47">
        <v>4.6686436647557834E-4</v>
      </c>
      <c r="V47">
        <v>4.6686436647557834E-4</v>
      </c>
      <c r="W47">
        <v>4.6686436647557834E-4</v>
      </c>
      <c r="X47">
        <v>4.6686436647557834E-4</v>
      </c>
      <c r="Y47">
        <v>4.6686436647557834E-4</v>
      </c>
      <c r="Z47">
        <v>4.6686436647557834E-4</v>
      </c>
      <c r="AA47">
        <v>4.6686436647557834E-4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10.082821190382083</v>
      </c>
      <c r="AQ47">
        <v>10.082821190382083</v>
      </c>
      <c r="AR47">
        <v>10.082821190382083</v>
      </c>
      <c r="AS47">
        <v>10.082821190382083</v>
      </c>
      <c r="AT47">
        <v>10.082821190382083</v>
      </c>
      <c r="AU47">
        <v>10.082821190382083</v>
      </c>
      <c r="AV47">
        <v>10.082821190382083</v>
      </c>
      <c r="AW47">
        <v>10.082821190382083</v>
      </c>
      <c r="AX47">
        <v>10.082821190382083</v>
      </c>
      <c r="AY47">
        <v>10.082821190382083</v>
      </c>
      <c r="AZ47">
        <v>10.082821190382083</v>
      </c>
      <c r="BA47">
        <v>10.082821190382083</v>
      </c>
      <c r="BB47">
        <v>10.082821190382083</v>
      </c>
      <c r="BC47">
        <v>10.082821190382083</v>
      </c>
      <c r="BD47">
        <v>10.082821190382083</v>
      </c>
      <c r="BE47">
        <v>10.082821190382083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</row>
    <row r="48" spans="1:71" x14ac:dyDescent="0.25">
      <c r="A48" t="s">
        <v>123</v>
      </c>
      <c r="B48" t="s">
        <v>67</v>
      </c>
      <c r="C48" t="s">
        <v>98</v>
      </c>
      <c r="D48" t="s">
        <v>84</v>
      </c>
      <c r="F48" s="7">
        <v>222.47758243088293</v>
      </c>
      <c r="G48" s="9">
        <v>6</v>
      </c>
      <c r="H48" s="8">
        <v>1</v>
      </c>
      <c r="I48" s="8">
        <v>1</v>
      </c>
      <c r="J48" s="8">
        <v>1.01</v>
      </c>
      <c r="K48" s="8">
        <v>1.01</v>
      </c>
      <c r="L48">
        <v>2.9915503301818633E-4</v>
      </c>
      <c r="M48">
        <v>2.9915503301818633E-4</v>
      </c>
      <c r="N48">
        <v>2.9915503301818633E-4</v>
      </c>
      <c r="O48">
        <v>2.9915503301818633E-4</v>
      </c>
      <c r="P48">
        <v>2.9915503301818633E-4</v>
      </c>
      <c r="Q48">
        <v>2.9915503301818633E-4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6.460820149749007</v>
      </c>
      <c r="AQ48">
        <v>6.460820149749007</v>
      </c>
      <c r="AR48">
        <v>6.460820149749007</v>
      </c>
      <c r="AS48">
        <v>6.460820149749007</v>
      </c>
      <c r="AT48">
        <v>6.460820149749007</v>
      </c>
      <c r="AU48">
        <v>6.460820149749007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</row>
    <row r="49" spans="1:71" x14ac:dyDescent="0.25">
      <c r="A49" t="s">
        <v>123</v>
      </c>
      <c r="B49" t="s">
        <v>67</v>
      </c>
      <c r="C49" t="s">
        <v>98</v>
      </c>
      <c r="D49" t="s">
        <v>85</v>
      </c>
      <c r="F49" s="7">
        <v>1097.3903935557228</v>
      </c>
      <c r="G49" s="9">
        <v>6</v>
      </c>
      <c r="H49" s="8">
        <v>1</v>
      </c>
      <c r="I49" s="8">
        <v>1</v>
      </c>
      <c r="J49" s="8">
        <v>1.01</v>
      </c>
      <c r="K49" s="8">
        <v>1.01</v>
      </c>
      <c r="L49">
        <v>1.4756087145094384E-3</v>
      </c>
      <c r="M49">
        <v>1.4756087145094384E-3</v>
      </c>
      <c r="N49">
        <v>1.4756087145094384E-3</v>
      </c>
      <c r="O49">
        <v>1.4756087145094384E-3</v>
      </c>
      <c r="P49">
        <v>1.4756087145094384E-3</v>
      </c>
      <c r="Q49">
        <v>1.4756087145094384E-3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31.868568011918544</v>
      </c>
      <c r="AQ49">
        <v>31.868568011918544</v>
      </c>
      <c r="AR49">
        <v>31.868568011918544</v>
      </c>
      <c r="AS49">
        <v>31.868568011918544</v>
      </c>
      <c r="AT49">
        <v>31.868568011918544</v>
      </c>
      <c r="AU49">
        <v>31.868568011918544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</row>
    <row r="50" spans="1:71" x14ac:dyDescent="0.25">
      <c r="A50" t="s">
        <v>123</v>
      </c>
      <c r="B50" t="s">
        <v>67</v>
      </c>
      <c r="C50" t="s">
        <v>98</v>
      </c>
      <c r="D50" t="s">
        <v>86</v>
      </c>
      <c r="F50" s="7">
        <v>404.32366823078053</v>
      </c>
      <c r="G50" s="9">
        <v>9</v>
      </c>
      <c r="H50" s="8">
        <v>1</v>
      </c>
      <c r="I50" s="8">
        <v>1</v>
      </c>
      <c r="J50" s="8">
        <v>1.08</v>
      </c>
      <c r="K50" s="8">
        <v>1.08</v>
      </c>
      <c r="L50">
        <v>5.4920433525600641E-4</v>
      </c>
      <c r="M50">
        <v>5.4920433525600641E-4</v>
      </c>
      <c r="N50">
        <v>5.4920433525600641E-4</v>
      </c>
      <c r="O50">
        <v>5.4920433525600641E-4</v>
      </c>
      <c r="P50">
        <v>4.6175581039466744E-4</v>
      </c>
      <c r="Q50">
        <v>3.6622198057321113E-4</v>
      </c>
      <c r="R50">
        <v>3.6622198057321113E-4</v>
      </c>
      <c r="S50">
        <v>3.6622198057321113E-4</v>
      </c>
      <c r="T50">
        <v>5.4920433525600641E-4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11.8611089365687</v>
      </c>
      <c r="AQ50">
        <v>11.8611089365687</v>
      </c>
      <c r="AR50">
        <v>11.8611089365687</v>
      </c>
      <c r="AS50">
        <v>11.8611089365687</v>
      </c>
      <c r="AT50">
        <v>9.9724922357571906</v>
      </c>
      <c r="AU50">
        <v>7.9092580442213434</v>
      </c>
      <c r="AV50">
        <v>7.9092580442213434</v>
      </c>
      <c r="AW50">
        <v>7.9092580442213434</v>
      </c>
      <c r="AX50">
        <v>11.8611089365687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</row>
    <row r="51" spans="1:71" x14ac:dyDescent="0.25">
      <c r="A51" t="s">
        <v>123</v>
      </c>
      <c r="B51" t="s">
        <v>67</v>
      </c>
      <c r="C51" t="s">
        <v>98</v>
      </c>
      <c r="D51" t="s">
        <v>87</v>
      </c>
      <c r="F51" s="7">
        <v>2866.0587363490604</v>
      </c>
      <c r="G51" s="9">
        <v>9</v>
      </c>
      <c r="H51" s="8">
        <v>1</v>
      </c>
      <c r="I51" s="8">
        <v>1</v>
      </c>
      <c r="J51" s="8">
        <v>1.08</v>
      </c>
      <c r="K51" s="8">
        <v>1.08</v>
      </c>
      <c r="L51">
        <v>3.8930490762237925E-3</v>
      </c>
      <c r="M51">
        <v>3.8930490762237925E-3</v>
      </c>
      <c r="N51">
        <v>3.8930490762237925E-3</v>
      </c>
      <c r="O51">
        <v>3.8930490762237925E-3</v>
      </c>
      <c r="P51">
        <v>3.2731679553475793E-3</v>
      </c>
      <c r="Q51">
        <v>2.5959739420097646E-3</v>
      </c>
      <c r="R51">
        <v>2.5959739420097646E-3</v>
      </c>
      <c r="S51">
        <v>2.5959739420097646E-3</v>
      </c>
      <c r="T51">
        <v>3.8930490762237925E-3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84.077776201409819</v>
      </c>
      <c r="AQ51">
        <v>84.077776201409819</v>
      </c>
      <c r="AR51">
        <v>84.077776201409819</v>
      </c>
      <c r="AS51">
        <v>84.077776201409819</v>
      </c>
      <c r="AT51">
        <v>70.690268072931943</v>
      </c>
      <c r="AU51">
        <v>56.064979363861916</v>
      </c>
      <c r="AV51">
        <v>56.064979363861916</v>
      </c>
      <c r="AW51">
        <v>56.064979363861916</v>
      </c>
      <c r="AX51">
        <v>84.077776201409819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</row>
    <row r="52" spans="1:71" x14ac:dyDescent="0.25">
      <c r="A52" t="s">
        <v>123</v>
      </c>
      <c r="B52" t="s">
        <v>67</v>
      </c>
      <c r="C52" t="s">
        <v>98</v>
      </c>
      <c r="D52" t="s">
        <v>88</v>
      </c>
      <c r="F52" s="7">
        <v>45.591743409808245</v>
      </c>
      <c r="G52" s="9">
        <v>10</v>
      </c>
      <c r="H52" s="8">
        <v>1</v>
      </c>
      <c r="I52" s="8">
        <v>1</v>
      </c>
      <c r="J52" s="8">
        <v>1.27</v>
      </c>
      <c r="K52" s="8">
        <v>1.27</v>
      </c>
      <c r="L52">
        <v>2.111411720195194E-3</v>
      </c>
      <c r="M52">
        <v>2.111411720195194E-3</v>
      </c>
      <c r="N52">
        <v>2.111411720195194E-3</v>
      </c>
      <c r="O52">
        <v>2.111411720195194E-3</v>
      </c>
      <c r="P52">
        <v>2.111411720195194E-3</v>
      </c>
      <c r="Q52">
        <v>2.111411720195194E-3</v>
      </c>
      <c r="R52">
        <v>2.111411720195194E-3</v>
      </c>
      <c r="S52">
        <v>2.111411720195194E-3</v>
      </c>
      <c r="T52">
        <v>2.111411720195194E-3</v>
      </c>
      <c r="U52">
        <v>2.111411720195194E-3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26.291627678489807</v>
      </c>
      <c r="AQ52">
        <v>26.291627678489807</v>
      </c>
      <c r="AR52">
        <v>26.291627678489807</v>
      </c>
      <c r="AS52">
        <v>26.291627678489807</v>
      </c>
      <c r="AT52">
        <v>26.291627678489807</v>
      </c>
      <c r="AU52">
        <v>26.291627678489807</v>
      </c>
      <c r="AV52">
        <v>26.291627678489807</v>
      </c>
      <c r="AW52">
        <v>26.291627678489807</v>
      </c>
      <c r="AX52">
        <v>26.291627678489807</v>
      </c>
      <c r="AY52">
        <v>26.291627678489807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</row>
    <row r="53" spans="1:71" x14ac:dyDescent="0.25">
      <c r="A53" t="s">
        <v>123</v>
      </c>
      <c r="B53" t="s">
        <v>67</v>
      </c>
      <c r="C53" t="s">
        <v>98</v>
      </c>
      <c r="D53" t="s">
        <v>89</v>
      </c>
      <c r="F53" s="7">
        <v>59.776912857544652</v>
      </c>
      <c r="G53" s="9">
        <v>10</v>
      </c>
      <c r="H53" s="8">
        <v>1</v>
      </c>
      <c r="I53" s="8">
        <v>1</v>
      </c>
      <c r="J53" s="8">
        <v>1.45</v>
      </c>
      <c r="K53" s="8">
        <v>1.45</v>
      </c>
      <c r="L53">
        <v>1.0427884379026812E-4</v>
      </c>
      <c r="M53">
        <v>1.0427884379026812E-4</v>
      </c>
      <c r="N53">
        <v>1.0427884379026812E-4</v>
      </c>
      <c r="O53">
        <v>1.0427884379026812E-4</v>
      </c>
      <c r="P53">
        <v>1.0427884379026812E-4</v>
      </c>
      <c r="Q53">
        <v>1.0427884379026812E-4</v>
      </c>
      <c r="R53">
        <v>1.0427884379026812E-4</v>
      </c>
      <c r="S53">
        <v>1.0427884379026812E-4</v>
      </c>
      <c r="T53">
        <v>1.0427884379026812E-4</v>
      </c>
      <c r="U53">
        <v>1.0427884379026812E-4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2.252099349141607</v>
      </c>
      <c r="AQ53">
        <v>2.252099349141607</v>
      </c>
      <c r="AR53">
        <v>2.252099349141607</v>
      </c>
      <c r="AS53">
        <v>2.252099349141607</v>
      </c>
      <c r="AT53">
        <v>2.252099349141607</v>
      </c>
      <c r="AU53">
        <v>2.252099349141607</v>
      </c>
      <c r="AV53">
        <v>2.252099349141607</v>
      </c>
      <c r="AW53">
        <v>2.252099349141607</v>
      </c>
      <c r="AX53">
        <v>2.252099349141607</v>
      </c>
      <c r="AY53">
        <v>2.252099349141607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</row>
    <row r="54" spans="1:71" x14ac:dyDescent="0.25">
      <c r="A54" t="s">
        <v>123</v>
      </c>
      <c r="B54" t="s">
        <v>67</v>
      </c>
      <c r="C54" t="s">
        <v>98</v>
      </c>
      <c r="D54" t="s">
        <v>90</v>
      </c>
      <c r="F54" s="7">
        <v>117.21890609667859</v>
      </c>
      <c r="G54" s="9">
        <v>10</v>
      </c>
      <c r="H54" s="8">
        <v>1</v>
      </c>
      <c r="I54" s="8">
        <v>1</v>
      </c>
      <c r="J54" s="8">
        <v>1.45</v>
      </c>
      <c r="K54" s="8">
        <v>1.45</v>
      </c>
      <c r="L54">
        <v>2.0448449767306595E-4</v>
      </c>
      <c r="M54">
        <v>2.0448449767306595E-4</v>
      </c>
      <c r="N54">
        <v>2.0448449767306595E-4</v>
      </c>
      <c r="O54">
        <v>2.0448449767306595E-4</v>
      </c>
      <c r="P54">
        <v>2.0448449767306595E-4</v>
      </c>
      <c r="Q54">
        <v>2.0448449767306595E-4</v>
      </c>
      <c r="R54">
        <v>2.0448449767306595E-4</v>
      </c>
      <c r="S54">
        <v>2.0448449767306595E-4</v>
      </c>
      <c r="T54">
        <v>2.0448449767306595E-4</v>
      </c>
      <c r="U54">
        <v>2.0448449767306595E-4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4.416230439275723</v>
      </c>
      <c r="AQ54">
        <v>4.416230439275723</v>
      </c>
      <c r="AR54">
        <v>4.416230439275723</v>
      </c>
      <c r="AS54">
        <v>4.416230439275723</v>
      </c>
      <c r="AT54">
        <v>4.416230439275723</v>
      </c>
      <c r="AU54">
        <v>4.416230439275723</v>
      </c>
      <c r="AV54">
        <v>4.416230439275723</v>
      </c>
      <c r="AW54">
        <v>4.416230439275723</v>
      </c>
      <c r="AX54">
        <v>4.416230439275723</v>
      </c>
      <c r="AY54">
        <v>4.416230439275723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</row>
    <row r="55" spans="1:71" x14ac:dyDescent="0.25">
      <c r="A55" t="s">
        <v>123</v>
      </c>
      <c r="B55" t="s">
        <v>67</v>
      </c>
      <c r="C55" t="s">
        <v>98</v>
      </c>
      <c r="D55" t="s">
        <v>91</v>
      </c>
      <c r="F55" s="7">
        <v>8.4535504234405536</v>
      </c>
      <c r="G55" s="9">
        <v>7</v>
      </c>
      <c r="H55" s="8">
        <v>1</v>
      </c>
      <c r="I55" s="8">
        <v>1</v>
      </c>
      <c r="J55" s="8">
        <v>1.3900000000000001</v>
      </c>
      <c r="K55" s="8">
        <v>1.3900000000000001</v>
      </c>
      <c r="L55">
        <v>1.0150778160968289E-4</v>
      </c>
      <c r="M55">
        <v>1.0150778160968289E-4</v>
      </c>
      <c r="N55">
        <v>1.0150778160968289E-4</v>
      </c>
      <c r="O55">
        <v>1.0150778160968289E-4</v>
      </c>
      <c r="P55">
        <v>1.0150778160968289E-4</v>
      </c>
      <c r="Q55">
        <v>1.0150778160968289E-4</v>
      </c>
      <c r="R55">
        <v>1.0150778160968289E-4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0.88920816690082527</v>
      </c>
      <c r="AQ55">
        <v>0.88920816690082527</v>
      </c>
      <c r="AR55">
        <v>0.88920816690082527</v>
      </c>
      <c r="AS55">
        <v>0.88920816690082527</v>
      </c>
      <c r="AT55">
        <v>0.88920816690082527</v>
      </c>
      <c r="AU55">
        <v>0.88920816690082527</v>
      </c>
      <c r="AV55">
        <v>0.88920816690082527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</row>
    <row r="56" spans="1:71" x14ac:dyDescent="0.25">
      <c r="A56" t="s">
        <v>123</v>
      </c>
      <c r="B56" t="s">
        <v>67</v>
      </c>
      <c r="C56" t="s">
        <v>98</v>
      </c>
      <c r="D56" t="s">
        <v>92</v>
      </c>
      <c r="F56" s="7">
        <v>22.101125113883036</v>
      </c>
      <c r="G56" s="9">
        <v>10</v>
      </c>
      <c r="H56" s="8">
        <v>1</v>
      </c>
      <c r="I56" s="8">
        <v>1</v>
      </c>
      <c r="J56" s="8">
        <v>1.19</v>
      </c>
      <c r="K56" s="8">
        <v>1.19</v>
      </c>
      <c r="L56">
        <v>2.1090918124956133E-3</v>
      </c>
      <c r="M56">
        <v>2.1090918124956133E-3</v>
      </c>
      <c r="N56">
        <v>2.1090918124956133E-3</v>
      </c>
      <c r="O56">
        <v>2.1090918124956133E-3</v>
      </c>
      <c r="P56">
        <v>2.1090918124956133E-3</v>
      </c>
      <c r="Q56">
        <v>2.1090918124956133E-3</v>
      </c>
      <c r="R56">
        <v>2.1090918124956133E-3</v>
      </c>
      <c r="S56">
        <v>2.1090918124956133E-3</v>
      </c>
      <c r="T56">
        <v>2.1090918124956133E-3</v>
      </c>
      <c r="U56">
        <v>2.1090918124956133E-3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2.328437360995157</v>
      </c>
      <c r="AQ56">
        <v>2.328437360995157</v>
      </c>
      <c r="AR56">
        <v>2.328437360995157</v>
      </c>
      <c r="AS56">
        <v>2.328437360995157</v>
      </c>
      <c r="AT56">
        <v>2.328437360995157</v>
      </c>
      <c r="AU56">
        <v>2.328437360995157</v>
      </c>
      <c r="AV56">
        <v>2.328437360995157</v>
      </c>
      <c r="AW56">
        <v>2.328437360995157</v>
      </c>
      <c r="AX56">
        <v>2.328437360995157</v>
      </c>
      <c r="AY56">
        <v>2.328437360995157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</row>
    <row r="57" spans="1:71" x14ac:dyDescent="0.25">
      <c r="A57" t="s">
        <v>123</v>
      </c>
      <c r="B57" t="s">
        <v>67</v>
      </c>
      <c r="C57" t="s">
        <v>98</v>
      </c>
      <c r="D57" t="s">
        <v>93</v>
      </c>
      <c r="F57" s="7">
        <v>18.090621699194948</v>
      </c>
      <c r="G57" s="9">
        <v>10</v>
      </c>
      <c r="H57" s="8">
        <v>1</v>
      </c>
      <c r="I57" s="8">
        <v>1</v>
      </c>
      <c r="J57" s="8">
        <v>1.3399999999999999</v>
      </c>
      <c r="K57" s="8">
        <v>1.3399999999999999</v>
      </c>
      <c r="L57">
        <v>2.443572001448929E-5</v>
      </c>
      <c r="M57">
        <v>2.443572001448929E-5</v>
      </c>
      <c r="N57">
        <v>2.443572001448929E-5</v>
      </c>
      <c r="O57">
        <v>2.443572001448929E-5</v>
      </c>
      <c r="P57">
        <v>2.443572001448929E-5</v>
      </c>
      <c r="Q57">
        <v>2.443572001448929E-5</v>
      </c>
      <c r="R57">
        <v>2.443572001448929E-5</v>
      </c>
      <c r="S57">
        <v>2.443572001448929E-5</v>
      </c>
      <c r="T57">
        <v>2.443572001448929E-5</v>
      </c>
      <c r="U57">
        <v>2.443572001448929E-5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0.41056144577964976</v>
      </c>
      <c r="AQ57">
        <v>0.41056144577964976</v>
      </c>
      <c r="AR57">
        <v>0.41056144577964976</v>
      </c>
      <c r="AS57">
        <v>0.41056144577964976</v>
      </c>
      <c r="AT57">
        <v>0.41056144577964976</v>
      </c>
      <c r="AU57">
        <v>0.41056144577964976</v>
      </c>
      <c r="AV57">
        <v>0.41056144577964976</v>
      </c>
      <c r="AW57">
        <v>0.41056144577964976</v>
      </c>
      <c r="AX57">
        <v>0.41056144577964976</v>
      </c>
      <c r="AY57">
        <v>0.41056144577964976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</row>
    <row r="58" spans="1:71" x14ac:dyDescent="0.25">
      <c r="A58" t="s">
        <v>123</v>
      </c>
      <c r="B58" t="s">
        <v>67</v>
      </c>
      <c r="C58" t="s">
        <v>98</v>
      </c>
      <c r="D58" t="s">
        <v>94</v>
      </c>
      <c r="F58" s="7">
        <v>40.172388579124373</v>
      </c>
      <c r="G58" s="9">
        <v>11</v>
      </c>
      <c r="H58" s="8">
        <v>1</v>
      </c>
      <c r="I58" s="8">
        <v>1</v>
      </c>
      <c r="J58" s="8">
        <v>1.21</v>
      </c>
      <c r="K58" s="8">
        <v>1.21</v>
      </c>
      <c r="L58">
        <v>3.724765012276855E-7</v>
      </c>
      <c r="M58">
        <v>3.724765012276855E-7</v>
      </c>
      <c r="N58">
        <v>3.724765012276855E-7</v>
      </c>
      <c r="O58">
        <v>3.724765012276855E-7</v>
      </c>
      <c r="P58">
        <v>3.724765012276855E-7</v>
      </c>
      <c r="Q58">
        <v>3.724765012276855E-7</v>
      </c>
      <c r="R58">
        <v>3.724765012276855E-7</v>
      </c>
      <c r="S58">
        <v>3.724765012276855E-7</v>
      </c>
      <c r="T58">
        <v>3.724765012276855E-7</v>
      </c>
      <c r="U58">
        <v>3.724765012276855E-7</v>
      </c>
      <c r="V58">
        <v>3.724765012276855E-7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3.069632469913762</v>
      </c>
      <c r="AQ58">
        <v>3.069632469913762</v>
      </c>
      <c r="AR58">
        <v>3.069632469913762</v>
      </c>
      <c r="AS58">
        <v>3.069632469913762</v>
      </c>
      <c r="AT58">
        <v>3.069632469913762</v>
      </c>
      <c r="AU58">
        <v>3.069632469913762</v>
      </c>
      <c r="AV58">
        <v>3.069632469913762</v>
      </c>
      <c r="AW58">
        <v>3.069632469913762</v>
      </c>
      <c r="AX58">
        <v>3.069632469913762</v>
      </c>
      <c r="AY58">
        <v>3.069632469913762</v>
      </c>
      <c r="AZ58">
        <v>3.069632469913762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</row>
    <row r="59" spans="1:71" x14ac:dyDescent="0.25">
      <c r="A59" t="s">
        <v>123</v>
      </c>
      <c r="B59" t="s">
        <v>67</v>
      </c>
      <c r="C59" t="s">
        <v>98</v>
      </c>
      <c r="D59" t="s">
        <v>95</v>
      </c>
      <c r="F59" s="7">
        <v>12.042013658752349</v>
      </c>
      <c r="G59" s="9">
        <v>11</v>
      </c>
      <c r="H59" s="8">
        <v>1</v>
      </c>
      <c r="I59" s="8">
        <v>1</v>
      </c>
      <c r="J59" s="8">
        <v>1.21</v>
      </c>
      <c r="K59" s="8">
        <v>1.21</v>
      </c>
      <c r="L59">
        <v>1.1165298539601656E-7</v>
      </c>
      <c r="M59">
        <v>1.1165298539601656E-7</v>
      </c>
      <c r="N59">
        <v>1.1165298539601656E-7</v>
      </c>
      <c r="O59">
        <v>1.1165298539601656E-7</v>
      </c>
      <c r="P59">
        <v>1.1165298539601656E-7</v>
      </c>
      <c r="Q59">
        <v>1.1165298539601656E-7</v>
      </c>
      <c r="R59">
        <v>1.1165298539601656E-7</v>
      </c>
      <c r="S59">
        <v>1.1165298539601656E-7</v>
      </c>
      <c r="T59">
        <v>1.1165298539601656E-7</v>
      </c>
      <c r="U59">
        <v>1.1165298539601656E-7</v>
      </c>
      <c r="V59">
        <v>1.1165298539601656E-7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0.92014832668575519</v>
      </c>
      <c r="AQ59">
        <v>0.92014832668575519</v>
      </c>
      <c r="AR59">
        <v>0.92014832668575519</v>
      </c>
      <c r="AS59">
        <v>0.92014832668575519</v>
      </c>
      <c r="AT59">
        <v>0.92014832668575519</v>
      </c>
      <c r="AU59">
        <v>0.92014832668575519</v>
      </c>
      <c r="AV59">
        <v>0.92014832668575519</v>
      </c>
      <c r="AW59">
        <v>0.92014832668575519</v>
      </c>
      <c r="AX59">
        <v>0.92014832668575519</v>
      </c>
      <c r="AY59">
        <v>0.92014832668575519</v>
      </c>
      <c r="AZ59">
        <v>0.92014832668575519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</row>
    <row r="60" spans="1:71" x14ac:dyDescent="0.25">
      <c r="A60" t="s">
        <v>123</v>
      </c>
      <c r="B60" t="s">
        <v>67</v>
      </c>
      <c r="C60" t="s">
        <v>98</v>
      </c>
      <c r="D60" t="s">
        <v>96</v>
      </c>
      <c r="F60" s="7">
        <v>56.485264614889047</v>
      </c>
      <c r="G60" s="9">
        <v>13</v>
      </c>
      <c r="H60" s="8">
        <v>1</v>
      </c>
      <c r="I60" s="8">
        <v>1</v>
      </c>
      <c r="J60" s="8">
        <v>0.95</v>
      </c>
      <c r="K60" s="8">
        <v>0.95</v>
      </c>
      <c r="L60">
        <v>1.7189074455183983E-5</v>
      </c>
      <c r="M60">
        <v>1.7189074455183983E-5</v>
      </c>
      <c r="N60">
        <v>1.7189074455183983E-5</v>
      </c>
      <c r="O60">
        <v>1.7189074455183983E-5</v>
      </c>
      <c r="P60">
        <v>1.7189074455183983E-5</v>
      </c>
      <c r="Q60">
        <v>1.7189074455183983E-5</v>
      </c>
      <c r="R60">
        <v>1.7189074455183983E-5</v>
      </c>
      <c r="S60">
        <v>1.7189074455183983E-5</v>
      </c>
      <c r="T60">
        <v>1.7189074455183983E-5</v>
      </c>
      <c r="U60">
        <v>1.7189074455183983E-5</v>
      </c>
      <c r="V60">
        <v>1.7189074455183983E-5</v>
      </c>
      <c r="W60">
        <v>1.7189074455183983E-5</v>
      </c>
      <c r="X60">
        <v>1.7189074455183983E-5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1.5776996046914387</v>
      </c>
      <c r="AQ60">
        <v>1.5776996046914387</v>
      </c>
      <c r="AR60">
        <v>1.5776996046914387</v>
      </c>
      <c r="AS60">
        <v>1.5776996046914387</v>
      </c>
      <c r="AT60">
        <v>1.5776996046914387</v>
      </c>
      <c r="AU60">
        <v>1.5776996046914387</v>
      </c>
      <c r="AV60">
        <v>1.5776996046914387</v>
      </c>
      <c r="AW60">
        <v>1.5776996046914387</v>
      </c>
      <c r="AX60">
        <v>1.5776996046914387</v>
      </c>
      <c r="AY60">
        <v>1.5776996046914387</v>
      </c>
      <c r="AZ60">
        <v>1.5776996046914387</v>
      </c>
      <c r="BA60">
        <v>1.5776996046914387</v>
      </c>
      <c r="BB60">
        <v>1.5776996046914387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</row>
    <row r="61" spans="1:71" x14ac:dyDescent="0.25">
      <c r="A61" t="s">
        <v>123</v>
      </c>
      <c r="B61" t="s">
        <v>67</v>
      </c>
      <c r="C61" t="s">
        <v>98</v>
      </c>
      <c r="D61" t="s">
        <v>97</v>
      </c>
      <c r="F61" s="7">
        <v>67.148084558903065</v>
      </c>
      <c r="G61" s="9">
        <v>13</v>
      </c>
      <c r="H61" s="8">
        <v>1</v>
      </c>
      <c r="I61" s="8">
        <v>1</v>
      </c>
      <c r="J61" s="8">
        <v>0.92999999999999994</v>
      </c>
      <c r="K61" s="8">
        <v>0.92999999999999994</v>
      </c>
      <c r="L61">
        <v>1.2546935529726613E-5</v>
      </c>
      <c r="M61">
        <v>1.2546935529726613E-5</v>
      </c>
      <c r="N61">
        <v>1.2546935529726613E-5</v>
      </c>
      <c r="O61">
        <v>1.2546935529726613E-5</v>
      </c>
      <c r="P61">
        <v>1.2546935529726613E-5</v>
      </c>
      <c r="Q61">
        <v>1.2546935529726613E-5</v>
      </c>
      <c r="R61">
        <v>1.2546935529726613E-5</v>
      </c>
      <c r="S61">
        <v>1.2546935529726613E-5</v>
      </c>
      <c r="T61">
        <v>1.2546935529726613E-5</v>
      </c>
      <c r="U61">
        <v>1.2546935529726613E-5</v>
      </c>
      <c r="V61">
        <v>1.2546935529726613E-5</v>
      </c>
      <c r="W61">
        <v>1.2546935529726613E-5</v>
      </c>
      <c r="X61">
        <v>1.2546935529726613E-5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1.1516207738205855</v>
      </c>
      <c r="AQ61">
        <v>1.1516207738205855</v>
      </c>
      <c r="AR61">
        <v>1.1516207738205855</v>
      </c>
      <c r="AS61">
        <v>1.1516207738205855</v>
      </c>
      <c r="AT61">
        <v>1.1516207738205855</v>
      </c>
      <c r="AU61">
        <v>1.1516207738205855</v>
      </c>
      <c r="AV61">
        <v>1.1516207738205855</v>
      </c>
      <c r="AW61">
        <v>1.1516207738205855</v>
      </c>
      <c r="AX61">
        <v>1.1516207738205855</v>
      </c>
      <c r="AY61">
        <v>1.1516207738205855</v>
      </c>
      <c r="AZ61">
        <v>1.1516207738205855</v>
      </c>
      <c r="BA61">
        <v>1.1516207738205855</v>
      </c>
      <c r="BB61">
        <v>1.1516207738205855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</row>
    <row r="62" spans="1:71" x14ac:dyDescent="0.25">
      <c r="A62" t="s">
        <v>123</v>
      </c>
      <c r="B62" t="s">
        <v>67</v>
      </c>
      <c r="C62" t="s">
        <v>111</v>
      </c>
      <c r="D62" t="s">
        <v>112</v>
      </c>
      <c r="F62" s="7">
        <v>688.12316869652909</v>
      </c>
      <c r="G62" s="9">
        <v>19</v>
      </c>
      <c r="H62" s="8">
        <v>1</v>
      </c>
      <c r="I62" s="8">
        <v>1</v>
      </c>
      <c r="J62" s="8">
        <v>0.59400000000000008</v>
      </c>
      <c r="K62" s="8">
        <v>0.59400000000000008</v>
      </c>
      <c r="L62">
        <v>0.2544113849114914</v>
      </c>
      <c r="M62">
        <v>0.2544113849114914</v>
      </c>
      <c r="N62">
        <v>0.2544113849114914</v>
      </c>
      <c r="O62">
        <v>0.2544113849114914</v>
      </c>
      <c r="P62">
        <v>0.2544113849114914</v>
      </c>
      <c r="Q62">
        <v>0.2544113849114914</v>
      </c>
      <c r="R62">
        <v>0.2544113849114914</v>
      </c>
      <c r="S62">
        <v>0.2544113849114914</v>
      </c>
      <c r="T62">
        <v>0.2544113849114914</v>
      </c>
      <c r="U62">
        <v>0.2544113849114914</v>
      </c>
      <c r="V62">
        <v>0.2544113849114914</v>
      </c>
      <c r="W62">
        <v>0.2544113849114914</v>
      </c>
      <c r="X62">
        <v>0.2544113849114914</v>
      </c>
      <c r="Y62">
        <v>0.2544113849114914</v>
      </c>
      <c r="Z62">
        <v>0.2544113849114914</v>
      </c>
      <c r="AA62">
        <v>0.2544113849114914</v>
      </c>
      <c r="AB62">
        <v>0.2544113849114914</v>
      </c>
      <c r="AC62">
        <v>0.2544113849114914</v>
      </c>
      <c r="AD62">
        <v>0.2544113849114914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522.78506246113943</v>
      </c>
      <c r="AQ62">
        <v>522.78506246113943</v>
      </c>
      <c r="AR62">
        <v>522.78506246113943</v>
      </c>
      <c r="AS62">
        <v>522.78506246113943</v>
      </c>
      <c r="AT62">
        <v>522.78506246113943</v>
      </c>
      <c r="AU62">
        <v>522.78506246113943</v>
      </c>
      <c r="AV62">
        <v>522.78506246113943</v>
      </c>
      <c r="AW62">
        <v>522.78506246113943</v>
      </c>
      <c r="AX62">
        <v>522.78506246113943</v>
      </c>
      <c r="AY62">
        <v>522.78506246113943</v>
      </c>
      <c r="AZ62">
        <v>522.78506246113943</v>
      </c>
      <c r="BA62">
        <v>522.78506246113943</v>
      </c>
      <c r="BB62">
        <v>522.78506246113943</v>
      </c>
      <c r="BC62">
        <v>522.78506246113943</v>
      </c>
      <c r="BD62">
        <v>522.78506246113943</v>
      </c>
      <c r="BE62">
        <v>522.78506246113943</v>
      </c>
      <c r="BF62">
        <v>522.78506246113943</v>
      </c>
      <c r="BG62">
        <v>522.78506246113943</v>
      </c>
      <c r="BH62">
        <v>522.78506246113943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</row>
    <row r="63" spans="1:71" x14ac:dyDescent="0.25">
      <c r="A63" t="s">
        <v>123</v>
      </c>
      <c r="B63" t="s">
        <v>67</v>
      </c>
      <c r="C63" t="s">
        <v>111</v>
      </c>
      <c r="D63" t="s">
        <v>113</v>
      </c>
      <c r="F63" s="7">
        <v>100.16786770397383</v>
      </c>
      <c r="G63" s="9">
        <v>18</v>
      </c>
      <c r="H63" s="8">
        <v>1</v>
      </c>
      <c r="I63" s="8">
        <v>1</v>
      </c>
      <c r="J63" s="8">
        <v>0.53400000000000003</v>
      </c>
      <c r="K63" s="8">
        <v>0.53400000000000003</v>
      </c>
      <c r="L63">
        <v>8.8105392866694131E-3</v>
      </c>
      <c r="M63">
        <v>8.8105392866694131E-3</v>
      </c>
      <c r="N63">
        <v>8.8105392866694131E-3</v>
      </c>
      <c r="O63">
        <v>8.8105392866694131E-3</v>
      </c>
      <c r="P63">
        <v>8.8105392866694131E-3</v>
      </c>
      <c r="Q63">
        <v>8.8105392866694131E-3</v>
      </c>
      <c r="R63">
        <v>8.8105392866694131E-3</v>
      </c>
      <c r="S63">
        <v>8.8105392866694131E-3</v>
      </c>
      <c r="T63">
        <v>8.8105392866694131E-3</v>
      </c>
      <c r="U63">
        <v>8.8105392866694131E-3</v>
      </c>
      <c r="V63">
        <v>8.8105392866694131E-3</v>
      </c>
      <c r="W63">
        <v>8.8105392866694131E-3</v>
      </c>
      <c r="X63">
        <v>8.8105392866694131E-3</v>
      </c>
      <c r="Y63">
        <v>8.8105392866694131E-3</v>
      </c>
      <c r="Z63">
        <v>8.8105392866694131E-3</v>
      </c>
      <c r="AA63">
        <v>8.8105392866694131E-3</v>
      </c>
      <c r="AB63">
        <v>8.8105392866694131E-3</v>
      </c>
      <c r="AC63">
        <v>8.8105392866694131E-3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7.8629772790265369</v>
      </c>
      <c r="AQ63">
        <v>7.8629772790265369</v>
      </c>
      <c r="AR63">
        <v>7.8629772790265369</v>
      </c>
      <c r="AS63">
        <v>7.8629772790265369</v>
      </c>
      <c r="AT63">
        <v>7.8629772790265369</v>
      </c>
      <c r="AU63">
        <v>7.8629772790265369</v>
      </c>
      <c r="AV63">
        <v>7.8629772790265369</v>
      </c>
      <c r="AW63">
        <v>7.8629772790265369</v>
      </c>
      <c r="AX63">
        <v>7.8629772790265369</v>
      </c>
      <c r="AY63">
        <v>7.8629772790265369</v>
      </c>
      <c r="AZ63">
        <v>7.8629772790265369</v>
      </c>
      <c r="BA63">
        <v>7.8629772790265369</v>
      </c>
      <c r="BB63">
        <v>7.8629772790265369</v>
      </c>
      <c r="BC63">
        <v>7.8629772790265369</v>
      </c>
      <c r="BD63">
        <v>7.8629772790265369</v>
      </c>
      <c r="BE63">
        <v>7.8629772790265369</v>
      </c>
      <c r="BF63">
        <v>7.8629772790265369</v>
      </c>
      <c r="BG63">
        <v>7.8629772790265369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</row>
    <row r="64" spans="1:71" x14ac:dyDescent="0.25">
      <c r="A64" t="s">
        <v>123</v>
      </c>
      <c r="B64" t="s">
        <v>67</v>
      </c>
      <c r="C64" t="s">
        <v>111</v>
      </c>
      <c r="D64" t="s">
        <v>114</v>
      </c>
      <c r="F64" s="7">
        <v>352.90669295211262</v>
      </c>
      <c r="G64" s="9">
        <v>18</v>
      </c>
      <c r="H64" s="8">
        <v>1</v>
      </c>
      <c r="I64" s="8">
        <v>1</v>
      </c>
      <c r="J64" s="8">
        <v>0.67399999999999993</v>
      </c>
      <c r="K64" s="8">
        <v>0.67399999999999993</v>
      </c>
      <c r="L64">
        <v>5.5563932870776579E-2</v>
      </c>
      <c r="M64">
        <v>5.5563932870776579E-2</v>
      </c>
      <c r="N64">
        <v>5.5563932870776579E-2</v>
      </c>
      <c r="O64">
        <v>5.5563932870776579E-2</v>
      </c>
      <c r="P64">
        <v>5.5563932870776579E-2</v>
      </c>
      <c r="Q64">
        <v>5.5563932870776579E-2</v>
      </c>
      <c r="R64">
        <v>5.5563932870776579E-2</v>
      </c>
      <c r="S64">
        <v>5.5563932870776579E-2</v>
      </c>
      <c r="T64">
        <v>5.5563932870776579E-2</v>
      </c>
      <c r="U64">
        <v>5.5563932870776579E-2</v>
      </c>
      <c r="V64">
        <v>5.5563932870776579E-2</v>
      </c>
      <c r="W64">
        <v>5.5563932870776579E-2</v>
      </c>
      <c r="X64">
        <v>5.5563932870776579E-2</v>
      </c>
      <c r="Y64">
        <v>5.5563932870776579E-2</v>
      </c>
      <c r="Z64">
        <v>5.5563932870776579E-2</v>
      </c>
      <c r="AA64">
        <v>5.5563932870776579E-2</v>
      </c>
      <c r="AB64">
        <v>5.5563932870776579E-2</v>
      </c>
      <c r="AC64">
        <v>5.5563932870776579E-2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49.712554209392287</v>
      </c>
      <c r="AQ64">
        <v>49.712554209392287</v>
      </c>
      <c r="AR64">
        <v>49.712554209392287</v>
      </c>
      <c r="AS64">
        <v>49.712554209392287</v>
      </c>
      <c r="AT64">
        <v>49.712554209392287</v>
      </c>
      <c r="AU64">
        <v>49.712554209392287</v>
      </c>
      <c r="AV64">
        <v>49.712554209392287</v>
      </c>
      <c r="AW64">
        <v>49.712554209392287</v>
      </c>
      <c r="AX64">
        <v>49.712554209392287</v>
      </c>
      <c r="AY64">
        <v>49.712554209392287</v>
      </c>
      <c r="AZ64">
        <v>49.712554209392287</v>
      </c>
      <c r="BA64">
        <v>49.712554209392287</v>
      </c>
      <c r="BB64">
        <v>49.712554209392287</v>
      </c>
      <c r="BC64">
        <v>49.712554209392287</v>
      </c>
      <c r="BD64">
        <v>49.712554209392287</v>
      </c>
      <c r="BE64">
        <v>49.712554209392287</v>
      </c>
      <c r="BF64">
        <v>49.712554209392287</v>
      </c>
      <c r="BG64">
        <v>49.712554209392287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</row>
    <row r="65" spans="1:71" x14ac:dyDescent="0.25">
      <c r="A65" t="s">
        <v>123</v>
      </c>
      <c r="B65" t="s">
        <v>67</v>
      </c>
      <c r="C65" t="s">
        <v>115</v>
      </c>
      <c r="D65" t="s">
        <v>116</v>
      </c>
      <c r="F65" s="7">
        <v>0</v>
      </c>
      <c r="G65" s="9">
        <v>6</v>
      </c>
      <c r="H65" s="8">
        <v>1</v>
      </c>
      <c r="I65" s="8">
        <v>1</v>
      </c>
      <c r="J65" s="8">
        <v>0.66999999999999993</v>
      </c>
      <c r="K65" s="8">
        <v>0.66999999999999993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</row>
    <row r="66" spans="1:71" x14ac:dyDescent="0.25">
      <c r="A66" t="s">
        <v>123</v>
      </c>
      <c r="B66" t="s">
        <v>67</v>
      </c>
      <c r="C66" t="s">
        <v>115</v>
      </c>
      <c r="D66" t="s">
        <v>86</v>
      </c>
      <c r="F66" s="7">
        <v>0</v>
      </c>
      <c r="G66" s="9">
        <v>9</v>
      </c>
      <c r="H66" s="8">
        <v>1</v>
      </c>
      <c r="I66" s="8">
        <v>1</v>
      </c>
      <c r="J66" s="8">
        <v>0.67999999999999994</v>
      </c>
      <c r="K66" s="8">
        <v>0.67999999999999994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</row>
    <row r="67" spans="1:71" x14ac:dyDescent="0.25">
      <c r="A67" t="s">
        <v>123</v>
      </c>
      <c r="B67" s="85" t="s">
        <v>67</v>
      </c>
      <c r="C67" t="s">
        <v>115</v>
      </c>
      <c r="D67" t="s">
        <v>93</v>
      </c>
      <c r="F67" s="7">
        <v>0</v>
      </c>
      <c r="G67" s="9">
        <v>10</v>
      </c>
      <c r="H67" s="8">
        <v>1</v>
      </c>
      <c r="I67" s="8">
        <v>1</v>
      </c>
      <c r="J67" s="8">
        <v>0.69</v>
      </c>
      <c r="K67" s="8">
        <v>0.69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</row>
    <row r="68" spans="1:71" x14ac:dyDescent="0.25">
      <c r="G68" s="9"/>
    </row>
    <row r="69" spans="1:71" x14ac:dyDescent="0.25">
      <c r="AR69" t="e">
        <f>(#REF!-#REF!)/#REF!</f>
        <v>#REF!</v>
      </c>
      <c r="AS69" t="e">
        <f>(#REF!-#REF!)/#REF!</f>
        <v>#REF!</v>
      </c>
      <c r="AT69" t="e">
        <f>(#REF!-#REF!)/#REF!</f>
        <v>#REF!</v>
      </c>
      <c r="AU69" t="e">
        <f>(#REF!-#REF!)/#REF!</f>
        <v>#REF!</v>
      </c>
    </row>
  </sheetData>
  <autoFilter ref="B3:BS67"/>
  <sortState ref="A4:BS67">
    <sortCondition ref="A4:A6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LRAM Calculation</vt:lpstr>
      <vt:lpstr>LRAM Calc by program</vt:lpstr>
      <vt:lpstr>pivot</vt:lpstr>
      <vt:lpstr>OPA Data</vt:lpstr>
      <vt:lpstr>'LRAM Calc by program'!Print_Area</vt:lpstr>
      <vt:lpstr>'LRAM Calculation'!Print_Area</vt:lpstr>
    </vt:vector>
  </TitlesOfParts>
  <Company>OPA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Jodi.Amy</dc:creator>
  <cp:lastModifiedBy>Cindy Perrin</cp:lastModifiedBy>
  <cp:lastPrinted>2016-06-16T18:35:46Z</cp:lastPrinted>
  <dcterms:created xsi:type="dcterms:W3CDTF">2012-10-11T13:40:56Z</dcterms:created>
  <dcterms:modified xsi:type="dcterms:W3CDTF">2016-08-14T19:36:12Z</dcterms:modified>
</cp:coreProperties>
</file>