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240" yWindow="375" windowWidth="28515" windowHeight="12300"/>
  </bookViews>
  <sheets>
    <sheet name="LRAM Calculation" sheetId="7" r:id="rId1"/>
    <sheet name="LRAM Calc by program" sheetId="6" r:id="rId2"/>
    <sheet name="Pivot" sheetId="5" r:id="rId3"/>
    <sheet name="OPA Data" sheetId="4" r:id="rId4"/>
  </sheets>
  <definedNames>
    <definedName name="_xlnm._FilterDatabase" localSheetId="3" hidden="1">'OPA Data'!$A$1:$BU$1</definedName>
    <definedName name="_xlnm.Print_Area" localSheetId="1">'LRAM Calc by program'!$A$122:$I$122</definedName>
  </definedNames>
  <calcPr calcId="145621"/>
  <pivotCaches>
    <pivotCache cacheId="30" r:id="rId5"/>
  </pivotCaches>
</workbook>
</file>

<file path=xl/calcChain.xml><?xml version="1.0" encoding="utf-8"?>
<calcChain xmlns="http://schemas.openxmlformats.org/spreadsheetml/2006/main">
  <c r="L42" i="6" l="1"/>
  <c r="L34" i="6" l="1"/>
  <c r="L43" i="6"/>
  <c r="C70" i="6"/>
  <c r="C45" i="6"/>
  <c r="C117" i="6"/>
  <c r="C21" i="6"/>
  <c r="C94" i="6"/>
  <c r="F44" i="7" l="1"/>
  <c r="E44" i="7"/>
  <c r="F43" i="7"/>
  <c r="E43" i="7"/>
  <c r="F42" i="7"/>
  <c r="E42" i="7"/>
  <c r="F35" i="7"/>
  <c r="E35" i="7"/>
  <c r="F34" i="7"/>
  <c r="E34" i="7"/>
  <c r="F33" i="7"/>
  <c r="E33" i="7"/>
  <c r="F26" i="7"/>
  <c r="E26" i="7"/>
  <c r="F25" i="7"/>
  <c r="E25" i="7"/>
  <c r="F24" i="7"/>
  <c r="E24" i="7"/>
  <c r="F17" i="7"/>
  <c r="E17" i="7"/>
  <c r="F16" i="7"/>
  <c r="E16" i="7"/>
  <c r="F15" i="7"/>
  <c r="E15" i="7"/>
  <c r="F8" i="7"/>
  <c r="E8" i="7"/>
  <c r="F7" i="7"/>
  <c r="E7" i="7"/>
  <c r="F6" i="7"/>
  <c r="E6" i="7"/>
  <c r="D44" i="7"/>
  <c r="D43" i="7"/>
  <c r="D42" i="7"/>
  <c r="D35" i="7"/>
  <c r="D34" i="7"/>
  <c r="D26" i="7"/>
  <c r="D25" i="7"/>
  <c r="D24" i="7"/>
  <c r="D17" i="7"/>
  <c r="D16" i="7"/>
  <c r="D15" i="7"/>
  <c r="D8" i="7"/>
  <c r="D7" i="7"/>
  <c r="D6" i="7" l="1"/>
  <c r="G6" i="7" s="1"/>
  <c r="G44" i="7"/>
  <c r="G43" i="7"/>
  <c r="G42" i="7"/>
  <c r="G35" i="7"/>
  <c r="G34" i="7"/>
  <c r="G26" i="7"/>
  <c r="G25" i="7"/>
  <c r="G24" i="7"/>
  <c r="G17" i="7"/>
  <c r="G16" i="7"/>
  <c r="G8" i="7"/>
  <c r="C92" i="6"/>
  <c r="C6" i="6"/>
  <c r="C60" i="6"/>
  <c r="C44" i="6"/>
  <c r="C34" i="6"/>
  <c r="C115" i="6"/>
  <c r="C84" i="6"/>
  <c r="C68" i="6"/>
  <c r="C30" i="6"/>
  <c r="C8" i="6"/>
  <c r="C93" i="6"/>
  <c r="C58" i="6"/>
  <c r="C104" i="6"/>
  <c r="C33" i="6"/>
  <c r="C114" i="6"/>
  <c r="C116" i="6"/>
  <c r="C106" i="6"/>
  <c r="C88" i="6"/>
  <c r="C80" i="6"/>
  <c r="C64" i="6"/>
  <c r="C55" i="6"/>
  <c r="C56" i="6"/>
  <c r="C39" i="6"/>
  <c r="C31" i="6"/>
  <c r="C20" i="6"/>
  <c r="C11" i="6"/>
  <c r="C7" i="6"/>
  <c r="C105" i="6"/>
  <c r="C107" i="6"/>
  <c r="C102" i="6"/>
  <c r="C81" i="6"/>
  <c r="C57" i="6"/>
  <c r="C69" i="6"/>
  <c r="C59" i="6"/>
  <c r="C32" i="6"/>
  <c r="C43" i="6"/>
  <c r="C19" i="6"/>
  <c r="C10" i="6"/>
  <c r="C111" i="6"/>
  <c r="C103" i="6"/>
  <c r="C91" i="6"/>
  <c r="C83" i="6"/>
  <c r="C67" i="6"/>
  <c r="C42" i="6"/>
  <c r="C18" i="6"/>
  <c r="C9" i="6"/>
  <c r="C82" i="6"/>
  <c r="C79" i="6"/>
  <c r="C35" i="6"/>
  <c r="C15" i="6"/>
  <c r="C7" i="7" l="1"/>
  <c r="L35" i="6"/>
  <c r="C43" i="7"/>
  <c r="I43" i="7" s="1"/>
  <c r="C16" i="7"/>
  <c r="C25" i="7"/>
  <c r="I25" i="7" s="1"/>
  <c r="C34" i="7"/>
  <c r="I34" i="7" s="1"/>
  <c r="L30" i="6"/>
  <c r="G7" i="7"/>
  <c r="G15" i="7"/>
  <c r="C108" i="6"/>
  <c r="C42" i="7" s="1"/>
  <c r="I42" i="7" s="1"/>
  <c r="C118" i="6"/>
  <c r="C44" i="7" s="1"/>
  <c r="I44" i="7" s="1"/>
  <c r="C85" i="6"/>
  <c r="C33" i="7" s="1"/>
  <c r="C95" i="6"/>
  <c r="C35" i="7" s="1"/>
  <c r="I35" i="7" s="1"/>
  <c r="C61" i="6"/>
  <c r="C24" i="7" s="1"/>
  <c r="I24" i="7" s="1"/>
  <c r="C71" i="6"/>
  <c r="C26" i="7" s="1"/>
  <c r="C36" i="6"/>
  <c r="C15" i="7" s="1"/>
  <c r="C46" i="6"/>
  <c r="I16" i="7"/>
  <c r="I26" i="7"/>
  <c r="L33" i="6" l="1"/>
  <c r="L31" i="6"/>
  <c r="I7" i="7"/>
  <c r="L32" i="6"/>
  <c r="I46" i="7"/>
  <c r="L44" i="6"/>
  <c r="L45" i="6"/>
  <c r="C17" i="7"/>
  <c r="I28" i="7"/>
  <c r="D115" i="6"/>
  <c r="G115" i="6" s="1"/>
  <c r="G114" i="6"/>
  <c r="I114" i="6" s="1"/>
  <c r="G111" i="6"/>
  <c r="D103" i="6"/>
  <c r="G103" i="6" s="1"/>
  <c r="G102" i="6"/>
  <c r="L36" i="6" l="1"/>
  <c r="H15" i="7" s="1"/>
  <c r="I15" i="7" s="1"/>
  <c r="L46" i="6"/>
  <c r="H17" i="7" s="1"/>
  <c r="I17" i="7" s="1"/>
  <c r="I19" i="7" s="1"/>
  <c r="I103" i="6"/>
  <c r="I115" i="6"/>
  <c r="I102" i="6"/>
  <c r="I111" i="6"/>
  <c r="D104" i="6"/>
  <c r="D116" i="6"/>
  <c r="D92" i="6"/>
  <c r="G92" i="6" s="1"/>
  <c r="G91" i="6"/>
  <c r="G88" i="6"/>
  <c r="D80" i="6"/>
  <c r="G80" i="6" s="1"/>
  <c r="G79" i="6"/>
  <c r="G116" i="6" l="1"/>
  <c r="I116" i="6" s="1"/>
  <c r="D117" i="6"/>
  <c r="G117" i="6" s="1"/>
  <c r="I117" i="6" s="1"/>
  <c r="G104" i="6"/>
  <c r="I104" i="6" s="1"/>
  <c r="D105" i="6"/>
  <c r="D93" i="6"/>
  <c r="I79" i="6"/>
  <c r="I92" i="6"/>
  <c r="I88" i="6"/>
  <c r="I91" i="6"/>
  <c r="I80" i="6"/>
  <c r="D81" i="6"/>
  <c r="G105" i="6" l="1"/>
  <c r="I105" i="6" s="1"/>
  <c r="D107" i="6"/>
  <c r="G107" i="6" s="1"/>
  <c r="I107" i="6" s="1"/>
  <c r="D106" i="6"/>
  <c r="G106" i="6" s="1"/>
  <c r="I106" i="6" s="1"/>
  <c r="I118" i="6"/>
  <c r="D94" i="6"/>
  <c r="G94" i="6" s="1"/>
  <c r="I94" i="6" s="1"/>
  <c r="G93" i="6"/>
  <c r="I93" i="6" s="1"/>
  <c r="G81" i="6"/>
  <c r="I81" i="6" s="1"/>
  <c r="D82" i="6"/>
  <c r="G70" i="6"/>
  <c r="G69" i="6"/>
  <c r="G68" i="6"/>
  <c r="G67" i="6"/>
  <c r="G64" i="6"/>
  <c r="D56" i="6"/>
  <c r="G56" i="6" s="1"/>
  <c r="G55" i="6"/>
  <c r="G45" i="6"/>
  <c r="G44" i="6"/>
  <c r="G43" i="6"/>
  <c r="G42" i="6"/>
  <c r="G39" i="6"/>
  <c r="G35" i="6"/>
  <c r="G34" i="6"/>
  <c r="G33" i="6"/>
  <c r="G32" i="6"/>
  <c r="G31" i="6"/>
  <c r="G30" i="6"/>
  <c r="G21" i="6"/>
  <c r="G20" i="6"/>
  <c r="G19" i="6"/>
  <c r="G18" i="6"/>
  <c r="G15" i="6"/>
  <c r="G11" i="6"/>
  <c r="G10" i="6"/>
  <c r="G9" i="6"/>
  <c r="G8" i="6"/>
  <c r="G7" i="6"/>
  <c r="G6" i="6"/>
  <c r="I95" i="6" l="1"/>
  <c r="I108" i="6"/>
  <c r="I120" i="6" s="1"/>
  <c r="I8" i="6"/>
  <c r="I15" i="6"/>
  <c r="I21" i="6"/>
  <c r="I33" i="6"/>
  <c r="I55" i="6"/>
  <c r="I68" i="6"/>
  <c r="G82" i="6"/>
  <c r="I82" i="6" s="1"/>
  <c r="D84" i="6"/>
  <c r="D83" i="6"/>
  <c r="G83" i="6" s="1"/>
  <c r="I83" i="6" s="1"/>
  <c r="I34" i="6"/>
  <c r="I43" i="6"/>
  <c r="I69" i="6"/>
  <c r="I6" i="6"/>
  <c r="I10" i="6"/>
  <c r="I19" i="6"/>
  <c r="I44" i="6"/>
  <c r="I70" i="6"/>
  <c r="I7" i="6"/>
  <c r="I11" i="6"/>
  <c r="I32" i="6"/>
  <c r="I39" i="6"/>
  <c r="I45" i="6"/>
  <c r="I9" i="6"/>
  <c r="I35" i="6"/>
  <c r="I64" i="6"/>
  <c r="I56" i="6"/>
  <c r="I42" i="6"/>
  <c r="I31" i="6"/>
  <c r="C22" i="6"/>
  <c r="C8" i="7" s="1"/>
  <c r="I8" i="7" s="1"/>
  <c r="I10" i="7" s="1"/>
  <c r="I20" i="6"/>
  <c r="C12" i="6"/>
  <c r="C6" i="7" s="1"/>
  <c r="I6" i="7" s="1"/>
  <c r="I30" i="6"/>
  <c r="D57" i="6"/>
  <c r="I18" i="6"/>
  <c r="I67" i="6"/>
  <c r="G84" i="6" l="1"/>
  <c r="I84" i="6" s="1"/>
  <c r="D33" i="7"/>
  <c r="G33" i="7" s="1"/>
  <c r="I33" i="7" s="1"/>
  <c r="I37" i="7" s="1"/>
  <c r="I85" i="6"/>
  <c r="I46" i="6"/>
  <c r="I12" i="6"/>
  <c r="I71" i="6"/>
  <c r="I36" i="6"/>
  <c r="I22" i="6"/>
  <c r="G57" i="6"/>
  <c r="I57" i="6" s="1"/>
  <c r="D58" i="6"/>
  <c r="I97" i="6" l="1"/>
  <c r="I24" i="6"/>
  <c r="I48" i="6"/>
  <c r="G58" i="6"/>
  <c r="I58" i="6" s="1"/>
  <c r="D60" i="6"/>
  <c r="G60" i="6" s="1"/>
  <c r="I60" i="6" s="1"/>
  <c r="D59" i="6"/>
  <c r="G59" i="6" s="1"/>
  <c r="I59" i="6" s="1"/>
  <c r="I61" i="6" l="1"/>
  <c r="I73" i="6" s="1"/>
</calcChain>
</file>

<file path=xl/sharedStrings.xml><?xml version="1.0" encoding="utf-8"?>
<sst xmlns="http://schemas.openxmlformats.org/spreadsheetml/2006/main" count="519" uniqueCount="147">
  <si>
    <t>Portfolio</t>
  </si>
  <si>
    <t>Program</t>
  </si>
  <si>
    <t>Initiative</t>
  </si>
  <si>
    <t>LDC</t>
  </si>
  <si>
    <t>Sector</t>
  </si>
  <si>
    <t xml:space="preserve">Conservation Resource Type </t>
  </si>
  <si>
    <t>(Implementation) Year</t>
  </si>
  <si>
    <t>Status</t>
  </si>
  <si>
    <t>Activity Unit Name</t>
  </si>
  <si>
    <t>Activity/ Participation
(i.e. # of appliances)</t>
  </si>
  <si>
    <t>Gross Summer Peak Demand Savings (MW)</t>
  </si>
  <si>
    <t>Gross Energy Savings (MWh)</t>
  </si>
  <si>
    <t>Tier 1</t>
  </si>
  <si>
    <t>Business</t>
  </si>
  <si>
    <t>Direct Install Lighting</t>
  </si>
  <si>
    <t>Whitby Hydro Electric Corporation</t>
  </si>
  <si>
    <t>C&amp;I</t>
  </si>
  <si>
    <t>EE</t>
  </si>
  <si>
    <t>Final; Released August 31, 2013</t>
  </si>
  <si>
    <t>Projects</t>
  </si>
  <si>
    <t>Retrofit</t>
  </si>
  <si>
    <t>Consumer</t>
  </si>
  <si>
    <t>Appliance Exchange</t>
  </si>
  <si>
    <t>Residential</t>
  </si>
  <si>
    <t>Appliances</t>
  </si>
  <si>
    <t>Appliance Retirement</t>
  </si>
  <si>
    <t>Bi-Annual Retailer Event</t>
  </si>
  <si>
    <t>Products</t>
  </si>
  <si>
    <t>Conservation Instant Coupon Booklet</t>
  </si>
  <si>
    <t>HVAC Incentives</t>
  </si>
  <si>
    <t>Installations</t>
  </si>
  <si>
    <t>Residential Demand Response</t>
  </si>
  <si>
    <t>DR</t>
  </si>
  <si>
    <t>Devices</t>
  </si>
  <si>
    <t>Industrial</t>
  </si>
  <si>
    <t>Demand Response 3</t>
  </si>
  <si>
    <t>Facilities</t>
  </si>
  <si>
    <t>Pre-2011 Programs Completed in 2011</t>
  </si>
  <si>
    <t>High Performance New Construction</t>
  </si>
  <si>
    <t>Demand Response 3 (part of the Industrial program schedule)</t>
  </si>
  <si>
    <t>Tier 1 - 2011 Adjustment</t>
  </si>
  <si>
    <t>Buildings</t>
  </si>
  <si>
    <t xml:space="preserve"> </t>
  </si>
  <si>
    <t>Customer Class</t>
  </si>
  <si>
    <t>GS&lt;50 kW</t>
  </si>
  <si>
    <t>GS&gt;50 kw</t>
  </si>
  <si>
    <t>GS&gt;50 kW</t>
  </si>
  <si>
    <t>2011 mwh</t>
  </si>
  <si>
    <t>2012 mwh</t>
  </si>
  <si>
    <t>2011 mw</t>
  </si>
  <si>
    <t>2012 mw</t>
  </si>
  <si>
    <t>2013 mw</t>
  </si>
  <si>
    <t>2014 mw</t>
  </si>
  <si>
    <t>2015 mw</t>
  </si>
  <si>
    <t>2016 mw</t>
  </si>
  <si>
    <t>2017 mw</t>
  </si>
  <si>
    <t>2018 mw</t>
  </si>
  <si>
    <t>2019 mw</t>
  </si>
  <si>
    <t>2020 mw</t>
  </si>
  <si>
    <t>2021 mw</t>
  </si>
  <si>
    <t>2022 mw</t>
  </si>
  <si>
    <t>2023 mw</t>
  </si>
  <si>
    <t>2024 mw</t>
  </si>
  <si>
    <t>2025 mw</t>
  </si>
  <si>
    <t>2026 mw</t>
  </si>
  <si>
    <t>2027 mw</t>
  </si>
  <si>
    <t>2028 mw</t>
  </si>
  <si>
    <t>2029 mw</t>
  </si>
  <si>
    <t>2030 mw</t>
  </si>
  <si>
    <t>2031 mw</t>
  </si>
  <si>
    <t>2032 mw</t>
  </si>
  <si>
    <t>2033 mw</t>
  </si>
  <si>
    <t>2034 mw</t>
  </si>
  <si>
    <t>2035 mw</t>
  </si>
  <si>
    <t>2036 mw</t>
  </si>
  <si>
    <t>2037 mw</t>
  </si>
  <si>
    <t>2038 mw</t>
  </si>
  <si>
    <t>2039 mw</t>
  </si>
  <si>
    <t>2040 mw</t>
  </si>
  <si>
    <t>2013 mwh</t>
  </si>
  <si>
    <t>2014 mwh</t>
  </si>
  <si>
    <t>2015 mwh</t>
  </si>
  <si>
    <t>2016 mwh</t>
  </si>
  <si>
    <t>2017 mwh</t>
  </si>
  <si>
    <t>2018 mwh</t>
  </si>
  <si>
    <t>2019 mwh</t>
  </si>
  <si>
    <t>2020 mwh</t>
  </si>
  <si>
    <t>2021 mwh</t>
  </si>
  <si>
    <t>2022 mwh</t>
  </si>
  <si>
    <t>2023 mwh</t>
  </si>
  <si>
    <t>2024 mwh</t>
  </si>
  <si>
    <t>2025 mwh</t>
  </si>
  <si>
    <t>2026 mwh</t>
  </si>
  <si>
    <t>2027 mwh</t>
  </si>
  <si>
    <t>2028 mwh</t>
  </si>
  <si>
    <t>2029 mwh</t>
  </si>
  <si>
    <t>2030 mwh</t>
  </si>
  <si>
    <t>2031 mwh</t>
  </si>
  <si>
    <t>2032 mwh</t>
  </si>
  <si>
    <t>2033 mwh</t>
  </si>
  <si>
    <t>2034 mwh</t>
  </si>
  <si>
    <t>2035 mwh</t>
  </si>
  <si>
    <t>2036 mwh</t>
  </si>
  <si>
    <t>2037 mwh</t>
  </si>
  <si>
    <t>2038 mwh</t>
  </si>
  <si>
    <t>2039 mwh</t>
  </si>
  <si>
    <t>2040 mwh</t>
  </si>
  <si>
    <t>Row Labels</t>
  </si>
  <si>
    <t>Grand Total</t>
  </si>
  <si>
    <t>Sum of 2011 mw</t>
  </si>
  <si>
    <t>Sum of 2012 mw</t>
  </si>
  <si>
    <t>Sum of 2013 mw</t>
  </si>
  <si>
    <t>Sum of 2011 mwh</t>
  </si>
  <si>
    <t>Sum of 2012 mwh</t>
  </si>
  <si>
    <t>Sum of 2013 mwh</t>
  </si>
  <si>
    <t>OPA  Program Results: 2012</t>
  </si>
  <si>
    <t>2011 Lost Revenue Impact</t>
  </si>
  <si>
    <t>Lost Revenue $</t>
  </si>
  <si>
    <t>Distribution</t>
  </si>
  <si>
    <t>LRAM</t>
  </si>
  <si>
    <t>Tax Adj</t>
  </si>
  <si>
    <t>Total</t>
  </si>
  <si>
    <t>kWh</t>
  </si>
  <si>
    <t>GS&lt;50kW</t>
  </si>
  <si>
    <t>GS&gt;50kW</t>
  </si>
  <si>
    <t xml:space="preserve">kW </t>
  </si>
  <si>
    <t>Total Lost Revenue for 2011 True Up</t>
  </si>
  <si>
    <t>2012 Lost Revenue Impact</t>
  </si>
  <si>
    <t>Total Lost Revenue for 2012 OPA CDM Programs</t>
  </si>
  <si>
    <t>2013 Lost Revenue Impact</t>
  </si>
  <si>
    <t>Sum of 2014 mw</t>
  </si>
  <si>
    <t>Sum of 2014 mwh</t>
  </si>
  <si>
    <t>2014 Lost Revenue Impact</t>
  </si>
  <si>
    <t>Sum of 2015 mw</t>
  </si>
  <si>
    <t>Sum of 2015 mwh</t>
  </si>
  <si>
    <t>2015 Lost Revenue Impact</t>
  </si>
  <si>
    <t>Total LRAM VA for 2012</t>
  </si>
  <si>
    <t>Total LRAM VA for 2013</t>
  </si>
  <si>
    <t>Total LRAM VA for 2014</t>
  </si>
  <si>
    <t>Total LRAM VA for 2015</t>
  </si>
  <si>
    <t xml:space="preserve">Billing Factor </t>
  </si>
  <si>
    <t xml:space="preserve">OEB Approved Rates </t>
  </si>
  <si>
    <t>OEB Approved Rates</t>
  </si>
  <si>
    <t>Billing Adjustment Factor for Summary</t>
  </si>
  <si>
    <t>Savings                    (kW or kWh)</t>
  </si>
  <si>
    <t xml:space="preserve">Savings                    (kW or kWh) </t>
  </si>
  <si>
    <t>Total Lost Revenue for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</si>
</sst>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#,##0.000"/>
    <numFmt numFmtId="166" formatCode="0.0000"/>
    <numFmt numFmtId="167" formatCode="#,##0.0000_);[Red]\(#,##0.0000\)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/>
    <xf numFmtId="1" fontId="5" fillId="3" borderId="3" xfId="0" applyNumberFormat="1" applyFont="1" applyFill="1" applyBorder="1"/>
    <xf numFmtId="164" fontId="5" fillId="3" borderId="3" xfId="0" applyNumberFormat="1" applyFont="1" applyFill="1" applyBorder="1"/>
    <xf numFmtId="165" fontId="5" fillId="3" borderId="3" xfId="0" applyNumberFormat="1" applyFont="1" applyFill="1" applyBorder="1"/>
    <xf numFmtId="0" fontId="0" fillId="0" borderId="0" xfId="0" applyFill="1"/>
    <xf numFmtId="165" fontId="5" fillId="0" borderId="3" xfId="0" applyNumberFormat="1" applyFont="1" applyFill="1" applyBorder="1"/>
    <xf numFmtId="0" fontId="5" fillId="3" borderId="3" xfId="0" applyNumberFormat="1" applyFont="1" applyFill="1" applyBorder="1"/>
    <xf numFmtId="0" fontId="5" fillId="3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4" fontId="0" fillId="0" borderId="0" xfId="0" applyNumberFormat="1" applyAlignment="1">
      <alignment horizontal="right"/>
    </xf>
    <xf numFmtId="40" fontId="0" fillId="0" borderId="0" xfId="0" applyNumberFormat="1" applyFill="1"/>
    <xf numFmtId="0" fontId="0" fillId="0" borderId="3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 applyAlignment="1">
      <alignment horizontal="right"/>
    </xf>
    <xf numFmtId="40" fontId="0" fillId="0" borderId="1" xfId="0" applyNumberFormat="1" applyBorder="1"/>
    <xf numFmtId="0" fontId="0" fillId="0" borderId="5" xfId="0" applyBorder="1" applyAlignment="1">
      <alignment horizontal="left" indent="2"/>
    </xf>
    <xf numFmtId="0" fontId="0" fillId="0" borderId="6" xfId="0" applyBorder="1"/>
    <xf numFmtId="4" fontId="0" fillId="0" borderId="6" xfId="0" applyNumberFormat="1" applyBorder="1" applyAlignment="1">
      <alignment horizontal="right"/>
    </xf>
    <xf numFmtId="40" fontId="0" fillId="0" borderId="6" xfId="0" applyNumberFormat="1" applyBorder="1"/>
    <xf numFmtId="0" fontId="0" fillId="0" borderId="7" xfId="0" applyBorder="1" applyAlignment="1">
      <alignment horizontal="left" indent="2"/>
    </xf>
    <xf numFmtId="0" fontId="0" fillId="0" borderId="8" xfId="0" applyBorder="1"/>
    <xf numFmtId="40" fontId="0" fillId="0" borderId="8" xfId="0" applyNumberFormat="1" applyBorder="1"/>
    <xf numFmtId="0" fontId="0" fillId="0" borderId="9" xfId="0" applyBorder="1"/>
    <xf numFmtId="0" fontId="0" fillId="0" borderId="3" xfId="0" applyBorder="1"/>
    <xf numFmtId="4" fontId="0" fillId="0" borderId="10" xfId="0" applyNumberFormat="1" applyBorder="1" applyAlignment="1">
      <alignment horizontal="right"/>
    </xf>
    <xf numFmtId="40" fontId="0" fillId="0" borderId="11" xfId="0" applyNumberFormat="1" applyBorder="1"/>
    <xf numFmtId="0" fontId="0" fillId="0" borderId="12" xfId="0" applyBorder="1"/>
    <xf numFmtId="0" fontId="0" fillId="0" borderId="4" xfId="0" applyBorder="1"/>
    <xf numFmtId="4" fontId="0" fillId="0" borderId="4" xfId="0" applyNumberFormat="1" applyBorder="1" applyAlignment="1">
      <alignment horizontal="right"/>
    </xf>
    <xf numFmtId="40" fontId="0" fillId="0" borderId="4" xfId="0" applyNumberFormat="1" applyBorder="1"/>
    <xf numFmtId="0" fontId="0" fillId="0" borderId="13" xfId="0" applyBorder="1" applyAlignment="1">
      <alignment horizontal="left" indent="2"/>
    </xf>
    <xf numFmtId="40" fontId="0" fillId="0" borderId="3" xfId="0" applyNumberFormat="1" applyBorder="1"/>
    <xf numFmtId="4" fontId="0" fillId="0" borderId="12" xfId="0" applyNumberFormat="1" applyBorder="1" applyAlignment="1">
      <alignment horizontal="right"/>
    </xf>
    <xf numFmtId="40" fontId="0" fillId="0" borderId="12" xfId="0" applyNumberFormat="1" applyBorder="1"/>
    <xf numFmtId="0" fontId="0" fillId="0" borderId="0" xfId="0" applyBorder="1"/>
    <xf numFmtId="0" fontId="0" fillId="0" borderId="14" xfId="0" applyBorder="1" applyAlignment="1">
      <alignment horizontal="left" indent="2"/>
    </xf>
    <xf numFmtId="40" fontId="0" fillId="0" borderId="9" xfId="0" applyNumberFormat="1" applyBorder="1"/>
    <xf numFmtId="0" fontId="0" fillId="0" borderId="10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" fontId="0" fillId="0" borderId="17" xfId="0" applyNumberFormat="1" applyBorder="1" applyAlignment="1">
      <alignment horizontal="right"/>
    </xf>
    <xf numFmtId="40" fontId="0" fillId="0" borderId="0" xfId="0" applyNumberFormat="1" applyBorder="1"/>
    <xf numFmtId="4" fontId="0" fillId="0" borderId="15" xfId="0" applyNumberFormat="1" applyBorder="1" applyAlignment="1">
      <alignment horizontal="right"/>
    </xf>
    <xf numFmtId="4" fontId="0" fillId="0" borderId="0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166" fontId="0" fillId="0" borderId="6" xfId="0" applyNumberFormat="1" applyBorder="1"/>
    <xf numFmtId="166" fontId="0" fillId="0" borderId="8" xfId="0" applyNumberFormat="1" applyBorder="1"/>
    <xf numFmtId="166" fontId="0" fillId="0" borderId="9" xfId="0" applyNumberFormat="1" applyBorder="1"/>
    <xf numFmtId="4" fontId="0" fillId="0" borderId="3" xfId="0" applyNumberFormat="1" applyBorder="1" applyAlignment="1">
      <alignment horizontal="right"/>
    </xf>
    <xf numFmtId="40" fontId="0" fillId="0" borderId="0" xfId="0" applyNumberFormat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0" xfId="0" applyNumberFormat="1" applyFill="1"/>
    <xf numFmtId="0" fontId="7" fillId="3" borderId="0" xfId="0" applyFont="1" applyFill="1"/>
    <xf numFmtId="0" fontId="0" fillId="3" borderId="0" xfId="0" applyFill="1"/>
    <xf numFmtId="4" fontId="0" fillId="3" borderId="0" xfId="0" applyNumberFormat="1" applyFill="1" applyAlignment="1">
      <alignment horizontal="right"/>
    </xf>
    <xf numFmtId="40" fontId="0" fillId="3" borderId="0" xfId="0" applyNumberFormat="1" applyFill="1"/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4" fontId="0" fillId="3" borderId="3" xfId="0" applyNumberFormat="1" applyFill="1" applyBorder="1" applyAlignment="1">
      <alignment horizontal="right"/>
    </xf>
    <xf numFmtId="40" fontId="0" fillId="3" borderId="3" xfId="0" applyNumberFormat="1" applyFill="1" applyBorder="1"/>
    <xf numFmtId="0" fontId="0" fillId="3" borderId="10" xfId="0" applyFill="1" applyBorder="1"/>
    <xf numFmtId="0" fontId="0" fillId="3" borderId="15" xfId="0" applyFill="1" applyBorder="1"/>
    <xf numFmtId="4" fontId="0" fillId="3" borderId="15" xfId="0" applyNumberFormat="1" applyFill="1" applyBorder="1" applyAlignment="1">
      <alignment horizontal="right"/>
    </xf>
    <xf numFmtId="0" fontId="0" fillId="3" borderId="18" xfId="0" applyFill="1" applyBorder="1"/>
    <xf numFmtId="0" fontId="0" fillId="3" borderId="19" xfId="0" applyFill="1" applyBorder="1"/>
    <xf numFmtId="4" fontId="0" fillId="3" borderId="19" xfId="0" applyNumberFormat="1" applyFill="1" applyBorder="1" applyAlignment="1">
      <alignment horizontal="right"/>
    </xf>
    <xf numFmtId="40" fontId="0" fillId="3" borderId="20" xfId="0" applyNumberFormat="1" applyFill="1" applyBorder="1"/>
    <xf numFmtId="0" fontId="0" fillId="3" borderId="0" xfId="0" applyFill="1" applyBorder="1"/>
    <xf numFmtId="4" fontId="0" fillId="3" borderId="0" xfId="0" applyNumberFormat="1" applyFill="1" applyBorder="1" applyAlignment="1">
      <alignment horizontal="right"/>
    </xf>
    <xf numFmtId="40" fontId="0" fillId="3" borderId="0" xfId="0" applyNumberFormat="1" applyFill="1" applyBorder="1"/>
    <xf numFmtId="167" fontId="0" fillId="0" borderId="0" xfId="0" applyNumberFormat="1"/>
    <xf numFmtId="0" fontId="8" fillId="0" borderId="0" xfId="0" applyFont="1"/>
    <xf numFmtId="40" fontId="0" fillId="3" borderId="1" xfId="0" applyNumberFormat="1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left" wrapText="1"/>
    </xf>
    <xf numFmtId="0" fontId="0" fillId="3" borderId="4" xfId="0" applyFill="1" applyBorder="1" applyAlignment="1">
      <alignment horizontal="left" wrapText="1"/>
    </xf>
    <xf numFmtId="4" fontId="0" fillId="3" borderId="1" xfId="0" applyNumberFormat="1" applyFill="1" applyBorder="1" applyAlignment="1">
      <alignment horizontal="center" wrapText="1"/>
    </xf>
    <xf numFmtId="0" fontId="0" fillId="3" borderId="4" xfId="0" applyFill="1" applyBorder="1" applyAlignment="1">
      <alignment wrapText="1"/>
    </xf>
    <xf numFmtId="0" fontId="0" fillId="3" borderId="3" xfId="0" applyFill="1" applyBorder="1" applyAlignment="1">
      <alignment horizontal="center"/>
    </xf>
    <xf numFmtId="0" fontId="0" fillId="3" borderId="3" xfId="0" applyFill="1" applyBorder="1" applyAlignment="1"/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40" fontId="0" fillId="0" borderId="1" xfId="0" applyNumberForma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4" fontId="0" fillId="0" borderId="1" xfId="0" applyNumberForma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3" xfId="0" applyBorder="1" applyAlignment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0" fontId="0" fillId="0" borderId="17" xfId="0" applyNumberFormat="1" applyBorder="1"/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y Perrin" refreshedDate="42594.616664583336" createdVersion="4" refreshedVersion="4" minRefreshableVersion="3" recordCount="16">
  <cacheSource type="worksheet">
    <worksheetSource ref="A1:BU17" sheet="OPA Data"/>
  </cacheSource>
  <cacheFields count="73">
    <cacheField name="Portfolio" numFmtId="0">
      <sharedItems/>
    </cacheField>
    <cacheField name="Program" numFmtId="0">
      <sharedItems count="4">
        <s v="Business"/>
        <s v="Consumer"/>
        <s v="Industrial"/>
        <s v="Pre-2011 Programs Completed in 2011"/>
      </sharedItems>
    </cacheField>
    <cacheField name="Customer Class" numFmtId="0">
      <sharedItems count="3">
        <s v="GS&lt;50 kW"/>
        <s v="GS&gt;50 kW"/>
        <s v="Residential"/>
      </sharedItems>
    </cacheField>
    <cacheField name="Initiative" numFmtId="0">
      <sharedItems count="11">
        <s v="Direct Install Lighting"/>
        <s v="Retrofit"/>
        <s v="Appliance Exchange"/>
        <s v="Appliance Retirement"/>
        <s v="Bi-Annual Retailer Event"/>
        <s v="Conservation Instant Coupon Booklet"/>
        <s v="HVAC Incentives"/>
        <s v="Residential Demand Response"/>
        <s v="Demand Response 3"/>
        <s v="High Performance New Construction"/>
        <s v="Demand Response 3 (part of the Industrial program schedule)"/>
      </sharedItems>
    </cacheField>
    <cacheField name="LDC" numFmtId="0">
      <sharedItems/>
    </cacheField>
    <cacheField name="Sector" numFmtId="0">
      <sharedItems/>
    </cacheField>
    <cacheField name="Conservation Resource Type " numFmtId="0">
      <sharedItems/>
    </cacheField>
    <cacheField name="(Implementation) Year" numFmtId="0">
      <sharedItems containsSemiMixedTypes="0" containsString="0" containsNumber="1" containsInteger="1" minValue="2011" maxValue="2012"/>
    </cacheField>
    <cacheField name="Status" numFmtId="0">
      <sharedItems/>
    </cacheField>
    <cacheField name="Activity Unit Name" numFmtId="0">
      <sharedItems/>
    </cacheField>
    <cacheField name="Activity/ Participation_x000a_(i.e. # of appliances)" numFmtId="0">
      <sharedItems containsSemiMixedTypes="0" containsString="0" containsNumber="1" minValue="-147.88939120835005" maxValue="9177.7165318592943"/>
    </cacheField>
    <cacheField name="Gross Summer Peak Demand Savings (MW)" numFmtId="0">
      <sharedItems containsSemiMixedTypes="0" containsString="0" containsNumber="1" minValue="-9.6197033153970574E-2" maxValue="0.59820327700000009"/>
    </cacheField>
    <cacheField name="Gross Energy Savings (MWh)" numFmtId="0">
      <sharedItems containsSemiMixedTypes="0" containsString="0" containsNumber="1" minValue="-173.40264021958032" maxValue="1936.7897208990896"/>
    </cacheField>
    <cacheField name="2011 mw" numFmtId="165">
      <sharedItems containsSemiMixedTypes="0" containsString="0" containsNumber="1" minValue="-4.0070588338908877E-2" maxValue="1.9359553425514035E-3"/>
    </cacheField>
    <cacheField name="2012 mw" numFmtId="165">
      <sharedItems containsSemiMixedTypes="0" containsString="0" containsNumber="1" minValue="-4.0070588338908877E-2" maxValue="0.44977690000000004"/>
    </cacheField>
    <cacheField name="2013 mw" numFmtId="165">
      <sharedItems containsSemiMixedTypes="0" containsString="0" containsNumber="1" minValue="-4.0070588338908877E-2" maxValue="0.2445694151305435"/>
    </cacheField>
    <cacheField name="2014 mw" numFmtId="165">
      <sharedItems containsSemiMixedTypes="0" containsString="0" containsNumber="1" minValue="-4.0070588338908877E-2" maxValue="0.2445694151305435"/>
    </cacheField>
    <cacheField name="2015 mw" numFmtId="165">
      <sharedItems containsSemiMixedTypes="0" containsString="0" containsNumber="1" minValue="-4.0070588338908877E-2" maxValue="0.24058630595899802"/>
    </cacheField>
    <cacheField name="2016 mw" numFmtId="165">
      <sharedItems containsSemiMixedTypes="0" containsString="0" containsNumber="1" minValue="-4.0070588338908877E-2" maxValue="0.24058630595899802"/>
    </cacheField>
    <cacheField name="2017 mw" numFmtId="165">
      <sharedItems containsSemiMixedTypes="0" containsString="0" containsNumber="1" minValue="-4.0070588338908877E-2" maxValue="0.23846704616845579"/>
    </cacheField>
    <cacheField name="2018 mw" numFmtId="165">
      <sharedItems containsSemiMixedTypes="0" containsString="0" containsNumber="1" minValue="-4.0070588338908877E-2" maxValue="0.23526782404067179"/>
    </cacheField>
    <cacheField name="2019 mw" numFmtId="165">
      <sharedItems containsSemiMixedTypes="0" containsString="0" containsNumber="1" minValue="-4.0070588338908877E-2" maxValue="0.23526782404067179"/>
    </cacheField>
    <cacheField name="2020 mw" numFmtId="165">
      <sharedItems containsSemiMixedTypes="0" containsString="0" containsNumber="1" minValue="-4.0070588338908877E-2" maxValue="0.23485653016397715"/>
    </cacheField>
    <cacheField name="2021 mw" numFmtId="165">
      <sharedItems containsSemiMixedTypes="0" containsString="0" containsNumber="1" minValue="-4.0070588338908877E-2" maxValue="0.2253442248430915"/>
    </cacheField>
    <cacheField name="2022 mw" numFmtId="165">
      <sharedItems containsSemiMixedTypes="0" containsString="0" containsNumber="1" minValue="-4.0070588338908877E-2" maxValue="0.2253442248430915"/>
    </cacheField>
    <cacheField name="2023 mw" numFmtId="165">
      <sharedItems containsSemiMixedTypes="0" containsString="0" containsNumber="1" minValue="-4.0070588338908877E-2" maxValue="0.2253442248430915"/>
    </cacheField>
    <cacheField name="2024 mw" numFmtId="165">
      <sharedItems containsSemiMixedTypes="0" containsString="0" containsNumber="1" minValue="-4.0070588338908877E-2" maxValue="0.2253442248430915"/>
    </cacheField>
    <cacheField name="2025 mw" numFmtId="165">
      <sharedItems containsSemiMixedTypes="0" containsString="0" containsNumber="1" minValue="-4.0070588338908877E-2" maxValue="0.2253442248430915"/>
    </cacheField>
    <cacheField name="2026 mw" numFmtId="165">
      <sharedItems containsSemiMixedTypes="0" containsString="0" containsNumber="1" minValue="-4.0070588338908877E-2" maxValue="0.2253442248430915"/>
    </cacheField>
    <cacheField name="2027 mw" numFmtId="165">
      <sharedItems containsSemiMixedTypes="0" containsString="0" containsNumber="1" minValue="-4.0070588338908877E-2" maxValue="0.2253442248430915"/>
    </cacheField>
    <cacheField name="2028 mw" numFmtId="165">
      <sharedItems containsSemiMixedTypes="0" containsString="0" containsNumber="1" minValue="-4.0070588338908877E-2" maxValue="0.2253442248430915"/>
    </cacheField>
    <cacheField name="2029 mw" numFmtId="165">
      <sharedItems containsSemiMixedTypes="0" containsString="0" containsNumber="1" minValue="-3.1333854049437268E-2" maxValue="0.2253442248430915"/>
    </cacheField>
    <cacheField name="2030 mw" numFmtId="165">
      <sharedItems containsSemiMixedTypes="0" containsString="0" containsNumber="1" minValue="0" maxValue="0.17132370652434203"/>
    </cacheField>
    <cacheField name="2031 mw" numFmtId="165">
      <sharedItems containsSemiMixedTypes="0" containsString="0" containsNumber="1" minValue="0" maxValue="2.1580617921301268E-2"/>
    </cacheField>
    <cacheField name="2032 mw" numFmtId="165">
      <sharedItems containsSemiMixedTypes="0" containsString="0" containsNumber="1" containsInteger="1" minValue="0" maxValue="0"/>
    </cacheField>
    <cacheField name="2033 mw" numFmtId="165">
      <sharedItems containsSemiMixedTypes="0" containsString="0" containsNumber="1" containsInteger="1" minValue="0" maxValue="0"/>
    </cacheField>
    <cacheField name="2034 mw" numFmtId="165">
      <sharedItems containsSemiMixedTypes="0" containsString="0" containsNumber="1" containsInteger="1" minValue="0" maxValue="0"/>
    </cacheField>
    <cacheField name="2035 mw" numFmtId="165">
      <sharedItems containsSemiMixedTypes="0" containsString="0" containsNumber="1" containsInteger="1" minValue="0" maxValue="0"/>
    </cacheField>
    <cacheField name="2036 mw" numFmtId="165">
      <sharedItems containsSemiMixedTypes="0" containsString="0" containsNumber="1" containsInteger="1" minValue="0" maxValue="0"/>
    </cacheField>
    <cacheField name="2037 mw" numFmtId="165">
      <sharedItems containsSemiMixedTypes="0" containsString="0" containsNumber="1" containsInteger="1" minValue="0" maxValue="0"/>
    </cacheField>
    <cacheField name="2038 mw" numFmtId="165">
      <sharedItems containsSemiMixedTypes="0" containsString="0" containsNumber="1" containsInteger="1" minValue="0" maxValue="0"/>
    </cacheField>
    <cacheField name="2039 mw" numFmtId="165">
      <sharedItems containsSemiMixedTypes="0" containsString="0" containsNumber="1" containsInteger="1" minValue="0" maxValue="0"/>
    </cacheField>
    <cacheField name="2040 mw" numFmtId="165">
      <sharedItems containsSemiMixedTypes="0" containsString="0" containsNumber="1" containsInteger="1" minValue="0" maxValue="0"/>
    </cacheField>
    <cacheField name="2011 mwh" numFmtId="165">
      <sharedItems containsSemiMixedTypes="0" containsString="0" containsNumber="1" minValue="-72.230354568184836" maxValue="18.888233854759171"/>
    </cacheField>
    <cacheField name="2012 mwh" numFmtId="165">
      <sharedItems containsSemiMixedTypes="0" containsString="0" containsNumber="1" minValue="-72.230354568184836" maxValue="1456.2328728564582"/>
    </cacheField>
    <cacheField name="2013 mwh" numFmtId="0">
      <sharedItems containsSemiMixedTypes="0" containsString="0" containsNumber="1" minValue="-72.230354568184836" maxValue="1456.2328728564582"/>
    </cacheField>
    <cacheField name="2014 mwh" numFmtId="0">
      <sharedItems containsSemiMixedTypes="0" containsString="0" containsNumber="1" minValue="-72.230354568184836" maxValue="1456.2328728564582"/>
    </cacheField>
    <cacheField name="2015 mwh" numFmtId="165">
      <sharedItems containsSemiMixedTypes="0" containsString="0" containsNumber="1" minValue="-72.230354568184836" maxValue="1443.0574308217804"/>
    </cacheField>
    <cacheField name="2016 mwh" numFmtId="165">
      <sharedItems containsSemiMixedTypes="0" containsString="0" containsNumber="1" minValue="-72.230354568184836" maxValue="1443.0574308217804"/>
    </cacheField>
    <cacheField name="2017 mwh" numFmtId="165">
      <sharedItems containsSemiMixedTypes="0" containsString="0" containsNumber="1" minValue="-72.230354568184836" maxValue="1436.0472828885568"/>
    </cacheField>
    <cacheField name="2018 mwh" numFmtId="165">
      <sharedItems containsSemiMixedTypes="0" containsString="0" containsNumber="1" minValue="-72.230354568184836" maxValue="1412.7364545250912"/>
    </cacheField>
    <cacheField name="2019 mwh" numFmtId="165">
      <sharedItems containsSemiMixedTypes="0" containsString="0" containsNumber="1" minValue="-72.230354568184836" maxValue="1412.7364545250912"/>
    </cacheField>
    <cacheField name="2020 mwh" numFmtId="165">
      <sharedItems containsSemiMixedTypes="0" containsString="0" containsNumber="1" minValue="-72.230354568184836" maxValue="1409.6662339217228"/>
    </cacheField>
    <cacheField name="2021 mwh" numFmtId="165">
      <sharedItems containsSemiMixedTypes="0" containsString="0" containsNumber="1" minValue="-72.230354568184836" maxValue="1095.3225633903107"/>
    </cacheField>
    <cacheField name="2022 mwh" numFmtId="165">
      <sharedItems containsSemiMixedTypes="0" containsString="0" containsNumber="1" minValue="-72.230354568184836" maxValue="1065.7981836507331"/>
    </cacheField>
    <cacheField name="2023 mwh" numFmtId="165">
      <sharedItems containsSemiMixedTypes="0" containsString="0" containsNumber="1" minValue="-72.230354568184836" maxValue="1065.7981836507331"/>
    </cacheField>
    <cacheField name="2024 mwh" numFmtId="165">
      <sharedItems containsSemiMixedTypes="0" containsString="0" containsNumber="1" minValue="-72.230354568184836" maxValue="379.03833946903831"/>
    </cacheField>
    <cacheField name="2025 mwh" numFmtId="165">
      <sharedItems containsSemiMixedTypes="0" containsString="0" containsNumber="1" minValue="-72.230354568184836" maxValue="379.03833946903831"/>
    </cacheField>
    <cacheField name="2026 mwh" numFmtId="165">
      <sharedItems containsSemiMixedTypes="0" containsString="0" containsNumber="1" minValue="-72.230354568184836" maxValue="379.03833946903831"/>
    </cacheField>
    <cacheField name="2027 mwh" numFmtId="165">
      <sharedItems containsSemiMixedTypes="0" containsString="0" containsNumber="1" minValue="-72.230354568184836" maxValue="379.03833946903831"/>
    </cacheField>
    <cacheField name="2028 mwh" numFmtId="165">
      <sharedItems containsSemiMixedTypes="0" containsString="0" containsNumber="1" minValue="-72.230354568184836" maxValue="379.03833946903831"/>
    </cacheField>
    <cacheField name="2029 mwh" numFmtId="165">
      <sharedItems containsSemiMixedTypes="0" containsString="0" containsNumber="1" minValue="-64.430867088794614" maxValue="379.03833946903831"/>
    </cacheField>
    <cacheField name="2030 mwh" numFmtId="165">
      <sharedItems containsSemiMixedTypes="0" containsString="0" containsNumber="1" minValue="0" maxValue="330.73025217451908"/>
    </cacheField>
    <cacheField name="2031 mwh" numFmtId="165">
      <sharedItems containsSemiMixedTypes="0" containsString="0" containsNumber="1" minValue="0" maxValue="49.271109004073132"/>
    </cacheField>
    <cacheField name="2032 mwh" numFmtId="165">
      <sharedItems containsSemiMixedTypes="0" containsString="0" containsNumber="1" containsInteger="1" minValue="0" maxValue="0"/>
    </cacheField>
    <cacheField name="2033 mwh" numFmtId="165">
      <sharedItems containsSemiMixedTypes="0" containsString="0" containsNumber="1" containsInteger="1" minValue="0" maxValue="0"/>
    </cacheField>
    <cacheField name="2034 mwh" numFmtId="165">
      <sharedItems containsSemiMixedTypes="0" containsString="0" containsNumber="1" containsInteger="1" minValue="0" maxValue="0"/>
    </cacheField>
    <cacheField name="2035 mwh" numFmtId="165">
      <sharedItems containsSemiMixedTypes="0" containsString="0" containsNumber="1" containsInteger="1" minValue="0" maxValue="0"/>
    </cacheField>
    <cacheField name="2036 mwh" numFmtId="165">
      <sharedItems containsSemiMixedTypes="0" containsString="0" containsNumber="1" containsInteger="1" minValue="0" maxValue="0"/>
    </cacheField>
    <cacheField name="2037 mwh" numFmtId="165">
      <sharedItems containsSemiMixedTypes="0" containsString="0" containsNumber="1" containsInteger="1" minValue="0" maxValue="0"/>
    </cacheField>
    <cacheField name="2038 mwh" numFmtId="165">
      <sharedItems containsSemiMixedTypes="0" containsString="0" containsNumber="1" containsInteger="1" minValue="0" maxValue="0"/>
    </cacheField>
    <cacheField name="2039 mwh" numFmtId="165">
      <sharedItems containsSemiMixedTypes="0" containsString="0" containsNumber="1" containsInteger="1" minValue="0" maxValue="0"/>
    </cacheField>
    <cacheField name="2040 mwh" numFmtId="165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s v="Tier 1"/>
    <x v="0"/>
    <x v="0"/>
    <x v="0"/>
    <s v="Whitby Hydro Electric Corporation"/>
    <s v="C&amp;I"/>
    <s v="EE"/>
    <n v="2012"/>
    <s v="Final; Released August 31, 2013"/>
    <s v="Projects"/>
    <n v="10"/>
    <n v="4.8358954817671898E-2"/>
    <n v="85.177737428220127"/>
    <n v="0"/>
    <n v="1.1645960284073966E-2"/>
    <n v="1.1645960284073966E-2"/>
    <n v="1.1514110791283822E-2"/>
    <n v="8.8868047965333496E-3"/>
    <n v="8.8868047965333496E-3"/>
    <n v="5.8252997992152234E-3"/>
    <n v="5.8252997992152234E-3"/>
    <n v="5.8252997992152234E-3"/>
    <n v="5.8252997992152234E-3"/>
    <n v="5.8252997992152234E-3"/>
    <n v="5.6643987232679301E-3"/>
    <n v="5.6643987232679301E-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6.9622514415042"/>
    <n v="46.962251441504208"/>
    <n v="46.414245595325646"/>
    <n v="34.1541560657435"/>
    <n v="34.1541560657435"/>
    <n v="22.190704966213477"/>
    <n v="22.190704966213477"/>
    <n v="22.190704966213477"/>
    <n v="22.190704966213477"/>
    <n v="22.190704966213477"/>
    <n v="20.616322978039424"/>
    <n v="20.616322978039424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ier 1"/>
    <x v="0"/>
    <x v="1"/>
    <x v="1"/>
    <s v="Whitby Hydro Electric Corporation"/>
    <s v="C&amp;I"/>
    <s v="EE"/>
    <n v="2012"/>
    <s v="Final; Released August 31, 2013"/>
    <s v="Projects"/>
    <n v="25"/>
    <n v="0.32527732212362287"/>
    <n v="1936.7897208990896"/>
    <n v="0"/>
    <n v="0.2445694151305435"/>
    <n v="0.2445694151305435"/>
    <n v="0.2445694151305435"/>
    <n v="0.24058630595899802"/>
    <n v="0.24058630595899802"/>
    <n v="0.23846704616845579"/>
    <n v="0.23526782404067179"/>
    <n v="0.23526782404067179"/>
    <n v="0.23485653016397715"/>
    <n v="0.19171541090332259"/>
    <n v="0.18893418630512998"/>
    <n v="0.18893418630512998"/>
    <n v="3.1435371474349189E-2"/>
    <n v="3.1435371474349189E-2"/>
    <n v="3.1435371474349189E-2"/>
    <n v="2.1580617921301268E-2"/>
    <n v="2.1580617921301268E-2"/>
    <n v="2.1580617921301268E-2"/>
    <n v="2.1580617921301268E-2"/>
    <n v="2.1580617921301268E-2"/>
    <n v="0"/>
    <n v="0"/>
    <n v="0"/>
    <n v="0"/>
    <n v="0"/>
    <n v="0"/>
    <n v="0"/>
    <n v="0"/>
    <n v="0"/>
    <n v="0"/>
    <n v="1456.2328728564582"/>
    <n v="1456.2328728564582"/>
    <n v="1456.2328728564582"/>
    <n v="1443.0574308217804"/>
    <n v="1443.0574308217804"/>
    <n v="1436.0472828885568"/>
    <n v="1412.7364545250912"/>
    <n v="1412.7364545250912"/>
    <n v="1409.6662339217228"/>
    <n v="1095.3225633903107"/>
    <n v="1065.7981836507331"/>
    <n v="1065.7981836507331"/>
    <n v="118.01545038621838"/>
    <n v="118.01545038621838"/>
    <n v="118.01545038621838"/>
    <n v="49.271109004073132"/>
    <n v="49.271109004073132"/>
    <n v="49.271109004073132"/>
    <n v="49.271109004073132"/>
    <n v="49.271109004073132"/>
    <n v="0"/>
    <n v="0"/>
    <n v="0"/>
    <n v="0"/>
    <n v="0"/>
    <n v="0"/>
    <n v="0"/>
    <n v="0"/>
    <n v="0"/>
  </r>
  <r>
    <s v="Tier 1"/>
    <x v="1"/>
    <x v="2"/>
    <x v="2"/>
    <s v="Whitby Hydro Electric Corporation"/>
    <s v="Residential"/>
    <s v="EE"/>
    <n v="2012"/>
    <s v="Final; Released August 31, 2013"/>
    <s v="Appliances"/>
    <n v="19.32193480241444"/>
    <n v="3.7988729918103994E-3"/>
    <n v="9.8505022756891361"/>
    <n v="0"/>
    <n v="2.85629548256421E-3"/>
    <n v="2.85629548256421E-3"/>
    <n v="2.85629548256421E-3"/>
    <n v="2.8379046091823032E-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.0766053489195295"/>
    <n v="5.0766053489195295"/>
    <n v="5.0766053489195295"/>
    <n v="5.060159229104210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ier 1"/>
    <x v="1"/>
    <x v="2"/>
    <x v="3"/>
    <s v="Whitby Hydro Electric Corporation"/>
    <s v="Residential"/>
    <s v="EE"/>
    <n v="2012"/>
    <s v="Final; Released August 31, 2013"/>
    <s v="Appliances"/>
    <n v="231.86343859270619"/>
    <n v="1.7406940806460339E-2"/>
    <n v="196.98453777554738"/>
    <n v="0"/>
    <n v="1.3087925418391232E-2"/>
    <n v="1.3087925418391232E-2"/>
    <n v="1.3087925418391232E-2"/>
    <n v="1.2858717594149655E-2"/>
    <n v="7.3885016105443352E-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2.074331163822393"/>
    <n v="92.074331163822393"/>
    <n v="92.074331163822393"/>
    <n v="91.869361053822388"/>
    <n v="56.1949890249954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ier 1"/>
    <x v="1"/>
    <x v="2"/>
    <x v="4"/>
    <s v="Whitby Hydro Electric Corporation"/>
    <s v="Residential"/>
    <s v="EE"/>
    <n v="2012"/>
    <s v="Final; Released August 31, 2013"/>
    <s v="Products"/>
    <n v="9177.7165318592943"/>
    <n v="1.7028184937745074E-2"/>
    <n v="252.79640480658867"/>
    <n v="0"/>
    <n v="1.2803146569733137E-2"/>
    <n v="1.2803146569733137E-2"/>
    <n v="1.2803146569733137E-2"/>
    <n v="1.2803146569733137E-2"/>
    <n v="1.1718967303993572E-2"/>
    <n v="9.9170079831478776E-3"/>
    <n v="7.4241984885496902E-3"/>
    <n v="7.3967873311776011E-3"/>
    <n v="7.3967873311776011E-3"/>
    <n v="4.770269733778784E-3"/>
    <n v="1.8663165529934768E-3"/>
    <n v="1.8661526869894803E-3"/>
    <n v="1.8661526869894803E-3"/>
    <n v="1.8341281284679012E-3"/>
    <n v="1.8341281284679012E-3"/>
    <n v="1.7885580322941521E-3"/>
    <n v="5.0183488486532028E-4"/>
    <n v="5.0183488486532028E-4"/>
    <n v="5.0183488486532028E-4"/>
    <n v="5.0183488486532028E-4"/>
    <n v="0"/>
    <n v="0"/>
    <n v="0"/>
    <n v="0"/>
    <n v="0"/>
    <n v="0"/>
    <n v="0"/>
    <n v="0"/>
    <n v="0"/>
    <n v="0"/>
    <n v="231.68483305517074"/>
    <n v="231.68483305517074"/>
    <n v="231.68483305517074"/>
    <n v="231.68483305517074"/>
    <n v="208.26992615770121"/>
    <n v="169.35319802617036"/>
    <n v="115.51625050870548"/>
    <n v="115.27612877012598"/>
    <n v="115.27612877012598"/>
    <n v="58.551501255960012"/>
    <n v="43.452851087628027"/>
    <n v="42.102407757848894"/>
    <n v="42.102407757848894"/>
    <n v="39.16303289786768"/>
    <n v="39.16303289786768"/>
    <n v="38.627301895799974"/>
    <n v="10.838075840722125"/>
    <n v="10.838075840722125"/>
    <n v="10.838075840722125"/>
    <n v="10.838075840722125"/>
    <n v="0"/>
    <n v="0"/>
    <n v="0"/>
    <n v="0"/>
    <n v="0"/>
    <n v="0"/>
    <n v="0"/>
    <n v="0"/>
    <n v="0"/>
  </r>
  <r>
    <s v="Tier 1"/>
    <x v="1"/>
    <x v="2"/>
    <x v="5"/>
    <s v="Whitby Hydro Electric Corporation"/>
    <s v="Residential"/>
    <s v="EE"/>
    <n v="2012"/>
    <s v="Final; Released August 31, 2013"/>
    <s v="Products"/>
    <n v="267.23290991884545"/>
    <n v="2.651083068158781E-3"/>
    <n v="12.095665110353419"/>
    <n v="0"/>
    <n v="1.9932955399690083E-3"/>
    <n v="1.9932955399690083E-3"/>
    <n v="1.9932955399690083E-3"/>
    <n v="1.9932955399690083E-3"/>
    <n v="1.9848814096906395E-3"/>
    <n v="1.9848814096906395E-3"/>
    <n v="1.6930010708335738E-3"/>
    <n v="1.6894664742250678E-3"/>
    <n v="1.6894664742250678E-3"/>
    <n v="1.6894664742250678E-3"/>
    <n v="3.1077209367741691E-5"/>
    <n v="3.1055806949124139E-5"/>
    <n v="3.1055806949124139E-5"/>
    <n v="2.9937515122189419E-5"/>
    <n v="2.9937515122189419E-5"/>
    <n v="2.7964007020176668E-5"/>
    <n v="0"/>
    <n v="0"/>
    <n v="0"/>
    <n v="0"/>
    <n v="0"/>
    <n v="0"/>
    <n v="0"/>
    <n v="0"/>
    <n v="0"/>
    <n v="0"/>
    <n v="0"/>
    <n v="0"/>
    <n v="0"/>
    <n v="0"/>
    <n v="12.095665110353419"/>
    <n v="12.095665110353419"/>
    <n v="12.095665110353419"/>
    <n v="12.095665110353419"/>
    <n v="11.913946013413497"/>
    <n v="11.913946013413497"/>
    <n v="5.6102366772290742"/>
    <n v="5.5792736109385599"/>
    <n v="5.5792736109385599"/>
    <n v="5.5792736109385599"/>
    <n v="0.90615955630195688"/>
    <n v="0.72977914329176685"/>
    <n v="0.72977914329176685"/>
    <n v="0.627136701554453"/>
    <n v="0.627136701554453"/>
    <n v="0.60393575264600929"/>
    <n v="0"/>
    <n v="0"/>
    <n v="0"/>
    <n v="0"/>
    <n v="0"/>
    <n v="0"/>
    <n v="0"/>
    <n v="0"/>
    <n v="0"/>
    <n v="0"/>
    <n v="0"/>
    <n v="0"/>
    <n v="0"/>
  </r>
  <r>
    <s v="Tier 1"/>
    <x v="1"/>
    <x v="2"/>
    <x v="6"/>
    <s v="Whitby Hydro Electric Corporation"/>
    <s v="Residential"/>
    <s v="EE"/>
    <n v="2012"/>
    <s v="Final; Released August 31, 2013"/>
    <s v="Installations"/>
    <n v="1040.8636425400905"/>
    <n v="0.29970781904131172"/>
    <n v="909.9532904318196"/>
    <n v="0"/>
    <n v="0.2253442248430915"/>
    <n v="0.2253442248430915"/>
    <n v="0.2253442248430915"/>
    <n v="0.2253442248430915"/>
    <n v="0.2253442248430915"/>
    <n v="0.2253442248430915"/>
    <n v="0.2253442248430915"/>
    <n v="0.2253442248430915"/>
    <n v="0.2253442248430915"/>
    <n v="0.2253442248430915"/>
    <n v="0.2253442248430915"/>
    <n v="0.2253442248430915"/>
    <n v="0.2253442248430915"/>
    <n v="0.2253442248430915"/>
    <n v="0.2253442248430915"/>
    <n v="0.2253442248430915"/>
    <n v="0.2253442248430915"/>
    <n v="0.2253442248430915"/>
    <n v="0.17132370652434203"/>
    <n v="0"/>
    <n v="0"/>
    <n v="0"/>
    <n v="0"/>
    <n v="0"/>
    <n v="0"/>
    <n v="0"/>
    <n v="0"/>
    <n v="0"/>
    <n v="0"/>
    <n v="0"/>
    <n v="379.03833946903831"/>
    <n v="379.03833946903831"/>
    <n v="379.03833946903831"/>
    <n v="379.03833946903831"/>
    <n v="379.03833946903831"/>
    <n v="379.03833946903831"/>
    <n v="379.03833946903831"/>
    <n v="379.03833946903831"/>
    <n v="379.03833946903831"/>
    <n v="379.03833946903831"/>
    <n v="379.03833946903831"/>
    <n v="379.03833946903831"/>
    <n v="379.03833946903831"/>
    <n v="379.03833946903831"/>
    <n v="379.03833946903831"/>
    <n v="379.03833946903831"/>
    <n v="379.03833946903831"/>
    <n v="379.03833946903831"/>
    <n v="330.73025217451908"/>
    <n v="0"/>
    <n v="0"/>
    <n v="0"/>
    <n v="0"/>
    <n v="0"/>
    <n v="0"/>
    <n v="0"/>
    <n v="0"/>
    <n v="0"/>
    <n v="0"/>
  </r>
  <r>
    <s v="Tier 1"/>
    <x v="1"/>
    <x v="2"/>
    <x v="7"/>
    <s v="Whitby Hydro Electric Corporation"/>
    <s v="Residential"/>
    <s v="DR"/>
    <n v="2012"/>
    <s v="Final; Released August 31, 2013"/>
    <s v="Devices"/>
    <n v="869"/>
    <n v="0.59820327700000009"/>
    <n v="3.2632800000000004"/>
    <n v="0"/>
    <n v="0.449776900000000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.26328000000000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ier 1"/>
    <x v="2"/>
    <x v="1"/>
    <x v="8"/>
    <s v="Whitby Hydro Electric Corporation"/>
    <s v="Industrial"/>
    <s v="DR"/>
    <n v="2012"/>
    <s v="Final; Released August 31, 2013"/>
    <s v="Facilities"/>
    <n v="2"/>
    <n v="0.58519666648800017"/>
    <n v="10.60375"/>
    <n v="0"/>
    <n v="0.439997493600000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.603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ier 1"/>
    <x v="3"/>
    <x v="1"/>
    <x v="9"/>
    <s v="Whitby Hydro Electric Corporation"/>
    <s v="C&amp;I"/>
    <s v="EE"/>
    <n v="2012"/>
    <s v="Final; Released August 31, 2013"/>
    <s v="Projects"/>
    <n v="8.6508718812876063E-3"/>
    <n v="1.3001395350387146E-3"/>
    <n v="1.8941689545110905"/>
    <n v="0"/>
    <n v="9.7754852258549957E-4"/>
    <n v="9.7754852258549957E-4"/>
    <n v="9.7754852258549957E-4"/>
    <n v="9.7754852258549957E-4"/>
    <n v="9.7754852258549957E-4"/>
    <n v="9.7754852258549957E-4"/>
    <n v="9.7754852258549957E-4"/>
    <n v="9.7754852258549957E-4"/>
    <n v="9.7754852258549957E-4"/>
    <n v="9.7754852258549957E-4"/>
    <n v="9.7754852258549957E-4"/>
    <n v="9.7754852258549957E-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94708447725554523"/>
    <n v="0.94708447725554523"/>
    <n v="0.94708447725554523"/>
    <n v="0.94708447725554523"/>
    <n v="0.94708447725554523"/>
    <n v="0.94708447725554523"/>
    <n v="0.94708447725554523"/>
    <n v="0.94708447725554523"/>
    <n v="0.94708447725554523"/>
    <n v="0.94708447725554523"/>
    <n v="0.94708447725554523"/>
    <n v="0.94708447725554523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ier 1"/>
    <x v="0"/>
    <x v="1"/>
    <x v="10"/>
    <s v="Whitby Hydro Electric Corporation"/>
    <s v="C&amp;I"/>
    <s v="DR"/>
    <n v="2012"/>
    <s v="Final; Released August 31, 2013"/>
    <s v="Facilities"/>
    <n v="1"/>
    <n v="0.14467857904500001"/>
    <n v="1.5811649999999999"/>
    <n v="0"/>
    <n v="0.108780886500000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.58116499999999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ier 1 - 2011 Adjustment"/>
    <x v="0"/>
    <x v="1"/>
    <x v="1"/>
    <s v="Whitby Hydro Electric Corporation"/>
    <s v="C&amp;I"/>
    <s v="EE"/>
    <n v="2011"/>
    <s v="Final; Released August 31, 2013"/>
    <s v="Projects"/>
    <n v="1"/>
    <n v="1.0240641428930319E-3"/>
    <n v="5.8569255161684133"/>
    <n v="7.6997303976919691E-4"/>
    <n v="7.6997303976919691E-4"/>
    <n v="7.6997303976919691E-4"/>
    <n v="7.6997303976919691E-4"/>
    <n v="7.6997303976919691E-4"/>
    <n v="7.6997303976919691E-4"/>
    <n v="7.1681601259111728E-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.6475103910139399"/>
    <n v="4.6475103910139399"/>
    <n v="4.6475103910139399"/>
    <n v="4.6475103910139399"/>
    <n v="4.6475103910139399"/>
    <n v="4.6475103910139399"/>
    <n v="4.326657811241030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ier 1 - 2011 Adjustment"/>
    <x v="3"/>
    <x v="1"/>
    <x v="9"/>
    <s v="Whitby Hydro Electric Corporation"/>
    <s v="C&amp;I"/>
    <s v="EE"/>
    <n v="2011"/>
    <s v="Final; Released August 31, 2013"/>
    <s v="Buildings"/>
    <n v="0.99376907964712413"/>
    <n v="2.775961483284422E-3"/>
    <n v="19.886133278688021"/>
    <n v="1.9359553425514035E-3"/>
    <n v="1.9359553425514035E-3"/>
    <n v="1.9359553425514035E-3"/>
    <n v="1.9359553425514035E-3"/>
    <n v="1.9359553425514001E-3"/>
    <n v="1.9359553425514001E-3"/>
    <n v="1.9359553425514001E-3"/>
    <n v="1.9359553425514001E-3"/>
    <n v="1.9359553425514001E-3"/>
    <n v="1.9359553425514001E-3"/>
    <n v="1.9359553425514001E-3"/>
    <n v="1.9359553425514001E-3"/>
    <n v="1.9359553425514001E-3"/>
    <n v="1.9359553425514001E-3"/>
    <n v="1.9359553425514001E-3"/>
    <n v="0"/>
    <n v="0"/>
    <n v="0"/>
    <n v="0"/>
    <n v="0"/>
    <n v="0"/>
    <n v="0"/>
    <n v="0"/>
    <n v="0"/>
    <n v="0"/>
    <n v="0"/>
    <n v="0"/>
    <n v="0"/>
    <n v="0"/>
    <n v="0"/>
    <n v="9.9430666393440106"/>
    <n v="9.9430666393440106"/>
    <n v="9.9430666393440106"/>
    <n v="9.9430666393440106"/>
    <n v="9.9430666393440106"/>
    <n v="9.9430666393440106"/>
    <n v="9.9430666393440106"/>
    <n v="9.9430666393440106"/>
    <n v="9.9430666393440106"/>
    <n v="9.9430666393440106"/>
    <n v="9.9430666393440106"/>
    <n v="9.9430666393440106"/>
    <n v="9.9430666393440106"/>
    <n v="9.9430666393440106"/>
    <n v="9.9430666393440106"/>
    <n v="0"/>
    <n v="0"/>
    <n v="0"/>
    <n v="0"/>
    <n v="0"/>
    <n v="0"/>
    <n v="0"/>
    <n v="0"/>
    <n v="0"/>
    <n v="0"/>
    <n v="0"/>
    <n v="0"/>
    <n v="0"/>
    <n v="0"/>
    <n v="0"/>
  </r>
  <r>
    <s v="Tier 1 - 2011 Adjustment"/>
    <x v="1"/>
    <x v="2"/>
    <x v="6"/>
    <s v="Whitby Hydro Electric Corporation"/>
    <s v="Residential"/>
    <s v="EE"/>
    <n v="2011"/>
    <s v="Final; Released August 31, 2013"/>
    <s v="Installations"/>
    <n v="-147.88939120835005"/>
    <n v="-9.6197033153970574E-2"/>
    <n v="-173.40264021958032"/>
    <n v="-4.0070588338908877E-2"/>
    <n v="-4.0070588338908877E-2"/>
    <n v="-4.0070588338908877E-2"/>
    <n v="-4.0070588338908877E-2"/>
    <n v="-4.0070588338908877E-2"/>
    <n v="-4.0070588338908877E-2"/>
    <n v="-4.0070588338908877E-2"/>
    <n v="-4.0070588338908877E-2"/>
    <n v="-4.0070588338908877E-2"/>
    <n v="-4.0070588338908877E-2"/>
    <n v="-4.0070588338908877E-2"/>
    <n v="-4.0070588338908877E-2"/>
    <n v="-4.0070588338908877E-2"/>
    <n v="-4.0070588338908877E-2"/>
    <n v="-4.0070588338908877E-2"/>
    <n v="-4.0070588338908877E-2"/>
    <n v="-4.0070588338908877E-2"/>
    <n v="-4.0070588338908877E-2"/>
    <n v="-3.1333854049437268E-2"/>
    <n v="0"/>
    <n v="0"/>
    <n v="0"/>
    <n v="0"/>
    <n v="0"/>
    <n v="0"/>
    <n v="0"/>
    <n v="0"/>
    <n v="0"/>
    <n v="0"/>
    <n v="0"/>
    <n v="-72.230354568184836"/>
    <n v="-72.230354568184836"/>
    <n v="-72.230354568184836"/>
    <n v="-72.230354568184836"/>
    <n v="-72.230354568184836"/>
    <n v="-72.230354568184836"/>
    <n v="-72.230354568184836"/>
    <n v="-72.230354568184836"/>
    <n v="-72.230354568184836"/>
    <n v="-72.230354568184836"/>
    <n v="-72.230354568184836"/>
    <n v="-72.230354568184836"/>
    <n v="-72.230354568184836"/>
    <n v="-72.230354568184836"/>
    <n v="-72.230354568184836"/>
    <n v="-72.230354568184836"/>
    <n v="-72.230354568184836"/>
    <n v="-72.230354568184836"/>
    <n v="-64.430867088794614"/>
    <n v="0"/>
    <n v="0"/>
    <n v="0"/>
    <n v="0"/>
    <n v="0"/>
    <n v="0"/>
    <n v="0"/>
    <n v="0"/>
    <n v="0"/>
    <n v="0"/>
    <n v="0"/>
  </r>
  <r>
    <s v="Tier 1 - 2011 Adjustment"/>
    <x v="1"/>
    <x v="2"/>
    <x v="4"/>
    <s v="Whitby Hydro Electric Corporation"/>
    <s v="Residential"/>
    <s v="EE"/>
    <n v="2011"/>
    <s v="Final; Released August 31, 2013"/>
    <s v="Products"/>
    <n v="707.78838471130564"/>
    <n v="1.0087727362025727E-3"/>
    <n v="20.533851998941582"/>
    <n v="9.3311826197070634E-4"/>
    <n v="9.3311826197070634E-4"/>
    <n v="9.3311826197070634E-4"/>
    <n v="9.3311826197070634E-4"/>
    <n v="9.3311826197070634E-4"/>
    <n v="8.5328070915693314E-4"/>
    <n v="4.8761065358164614E-4"/>
    <n v="4.8739514602454299E-4"/>
    <n v="4.8739514602454299E-4"/>
    <n v="1.5304683355226914E-4"/>
    <n v="6.358906238568679E-5"/>
    <n v="6.3572040160203038E-5"/>
    <n v="6.3572040160203038E-5"/>
    <n v="6.064901689678842E-5"/>
    <n v="6.064901689678842E-5"/>
    <n v="6.0515175453814732E-5"/>
    <n v="0"/>
    <n v="0"/>
    <n v="0"/>
    <n v="0"/>
    <n v="0"/>
    <n v="0"/>
    <n v="0"/>
    <n v="0"/>
    <n v="0"/>
    <n v="0"/>
    <n v="0"/>
    <n v="0"/>
    <n v="0"/>
    <n v="0"/>
    <n v="18.888233854759171"/>
    <n v="18.888233854759171"/>
    <n v="18.888233854759171"/>
    <n v="18.888233854759171"/>
    <n v="18.888233854759171"/>
    <n v="17.163990526068396"/>
    <n v="9.2666523486524408"/>
    <n v="9.2647645024522181"/>
    <n v="9.2647645024522181"/>
    <n v="2.0438787548133925"/>
    <n v="1.7170857898258358"/>
    <n v="1.5768031790225525"/>
    <n v="1.5768031790225525"/>
    <n v="1.3085134197794472"/>
    <n v="1.3085134197794472"/>
    <n v="1.3069399534850359"/>
    <n v="0"/>
    <n v="0"/>
    <n v="0"/>
    <n v="0"/>
    <n v="0"/>
    <n v="0"/>
    <n v="0"/>
    <n v="0"/>
    <n v="0"/>
    <n v="0"/>
    <n v="0"/>
    <n v="0"/>
    <n v="0"/>
    <n v="0"/>
  </r>
  <r>
    <s v="Tier 1 - 2011 Adjustment"/>
    <x v="1"/>
    <x v="2"/>
    <x v="5"/>
    <s v="Whitby Hydro Electric Corporation"/>
    <s v="Residential"/>
    <s v="EE"/>
    <n v="2011"/>
    <s v="Final; Released August 31, 2013"/>
    <s v="Products"/>
    <n v="71.075563376659204"/>
    <n v="1.3927031489425408E-4"/>
    <n v="2.2144107806172593"/>
    <n v="1.3927031489425408E-4"/>
    <n v="1.3927031489425408E-4"/>
    <n v="1.3927031489425408E-4"/>
    <n v="1.3927031489425408E-4"/>
    <n v="1.3927031489425408E-4"/>
    <n v="1.2973923425446023E-4"/>
    <n v="9.0746083205959783E-5"/>
    <n v="9.0538328885071337E-5"/>
    <n v="9.0538328885071337E-5"/>
    <n v="5.0623519179099553E-5"/>
    <n v="6.6917422402870871E-6"/>
    <n v="6.6846837182218211E-6"/>
    <n v="6.6846837182218211E-6"/>
    <n v="6.5111211814536368E-6"/>
    <n v="6.5111211814536368E-6"/>
    <n v="6.3920365528069357E-6"/>
    <n v="0"/>
    <n v="0"/>
    <n v="0"/>
    <n v="0"/>
    <n v="0"/>
    <n v="0"/>
    <n v="0"/>
    <n v="0"/>
    <n v="0"/>
    <n v="0"/>
    <n v="0"/>
    <n v="0"/>
    <n v="0"/>
    <n v="0"/>
    <n v="2.3846572671527952"/>
    <n v="2.3846572671527952"/>
    <n v="2.3846572671527952"/>
    <n v="2.3846572671527952"/>
    <n v="2.3846572671527952"/>
    <n v="2.1788155093685657"/>
    <n v="1.3366844796658399"/>
    <n v="1.334864551814857"/>
    <n v="1.334864551814857"/>
    <n v="0.47282855589677214"/>
    <n v="0.21354886928961947"/>
    <n v="0.1553785727750048"/>
    <n v="0.1553785727750048"/>
    <n v="0.13944813124004338"/>
    <n v="0.13944813124004338"/>
    <n v="0.13804814895357834"/>
    <n v="0"/>
    <n v="0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K23" firstHeaderRow="0" firstDataRow="1" firstDataCol="1"/>
  <pivotFields count="73">
    <pivotField showAll="0"/>
    <pivotField axis="axisRow" showAll="0">
      <items count="5">
        <item x="0"/>
        <item x="1"/>
        <item x="2"/>
        <item x="3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Row" showAll="0">
      <items count="12">
        <item x="2"/>
        <item x="3"/>
        <item x="4"/>
        <item x="5"/>
        <item x="8"/>
        <item x="10"/>
        <item x="0"/>
        <item x="9"/>
        <item x="6"/>
        <item x="7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dataField="1" numFmtId="165" showAll="0"/>
    <pivotField dataField="1" numFmtId="165" showAll="0"/>
    <pivotField dataField="1" showAll="0"/>
    <pivotField dataField="1" showAll="0"/>
    <pivotField dataField="1"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</pivotFields>
  <rowFields count="3">
    <field x="2"/>
    <field x="1"/>
    <field x="3"/>
  </rowFields>
  <rowItems count="20">
    <i>
      <x/>
    </i>
    <i r="1">
      <x/>
    </i>
    <i r="2">
      <x v="6"/>
    </i>
    <i>
      <x v="1"/>
    </i>
    <i r="1">
      <x/>
    </i>
    <i r="2">
      <x v="5"/>
    </i>
    <i r="2">
      <x v="10"/>
    </i>
    <i r="1">
      <x v="2"/>
    </i>
    <i r="2">
      <x v="4"/>
    </i>
    <i r="1">
      <x v="3"/>
    </i>
    <i r="2">
      <x v="7"/>
    </i>
    <i>
      <x v="2"/>
    </i>
    <i r="1">
      <x v="1"/>
    </i>
    <i r="2">
      <x/>
    </i>
    <i r="2">
      <x v="1"/>
    </i>
    <i r="2">
      <x v="2"/>
    </i>
    <i r="2">
      <x v="3"/>
    </i>
    <i r="2">
      <x v="8"/>
    </i>
    <i r="2">
      <x v="9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Sum of 2011 mw" fld="13" baseField="0" baseItem="0"/>
    <dataField name="Sum of 2012 mw" fld="14" baseField="0" baseItem="0"/>
    <dataField name="Sum of 2013 mw" fld="15" baseField="0" baseItem="0"/>
    <dataField name="Sum of 2014 mw" fld="16" baseField="0" baseItem="0"/>
    <dataField name="Sum of 2015 mw" fld="17" baseField="0" baseItem="0"/>
    <dataField name="Sum of 2011 mwh" fld="43" baseField="0" baseItem="0"/>
    <dataField name="Sum of 2012 mwh" fld="44" baseField="0" baseItem="0"/>
    <dataField name="Sum of 2013 mwh" fld="45" baseField="0" baseItem="0"/>
    <dataField name="Sum of 2014 mwh" fld="46" baseField="0" baseItem="0"/>
    <dataField name="Sum of 2015 mwh" fld="47" baseField="0" baseItem="0"/>
  </dataFields>
  <formats count="3">
    <format dxfId="2">
      <pivotArea collapsedLevelsAreSubtotals="1" fieldPosition="0">
        <references count="2">
          <reference field="4294967294" count="5" selected="0">
            <x v="0"/>
            <x v="1"/>
            <x v="2"/>
            <x v="3"/>
            <x v="4"/>
          </reference>
          <reference field="2" count="1">
            <x v="1"/>
          </reference>
        </references>
      </pivotArea>
    </format>
    <format dxfId="1">
      <pivotArea collapsedLevelsAreSubtotals="1" fieldPosition="0">
        <references count="2">
          <reference field="4294967294" count="5" selected="0">
            <x v="5"/>
            <x v="6"/>
            <x v="7"/>
            <x v="8"/>
            <x v="9"/>
          </reference>
          <reference field="2" count="1">
            <x v="0"/>
          </reference>
        </references>
      </pivotArea>
    </format>
    <format dxfId="0">
      <pivotArea collapsedLevelsAreSubtotals="1" fieldPosition="0">
        <references count="2">
          <reference field="4294967294" count="5" selected="0">
            <x v="5"/>
            <x v="6"/>
            <x v="7"/>
            <x v="8"/>
            <x v="9"/>
          </reference>
          <reference field="2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7"/>
  <sheetViews>
    <sheetView tabSelected="1" topLeftCell="A19" workbookViewId="0">
      <selection activeCell="I58" sqref="I58"/>
    </sheetView>
  </sheetViews>
  <sheetFormatPr defaultRowHeight="15" x14ac:dyDescent="0.25"/>
  <cols>
    <col min="1" max="1" width="29.5703125" customWidth="1"/>
    <col min="3" max="3" width="14.140625" customWidth="1"/>
    <col min="4" max="4" width="11.5703125" bestFit="1" customWidth="1"/>
    <col min="9" max="9" width="14.42578125" bestFit="1" customWidth="1"/>
  </cols>
  <sheetData>
    <row r="2" spans="1:9" x14ac:dyDescent="0.25">
      <c r="A2" s="69" t="s">
        <v>115</v>
      </c>
      <c r="B2" s="70"/>
      <c r="C2" s="71"/>
      <c r="D2" s="70"/>
      <c r="E2" s="70"/>
      <c r="F2" s="70"/>
      <c r="G2" s="70"/>
      <c r="H2" s="70"/>
      <c r="I2" s="72"/>
    </row>
    <row r="3" spans="1:9" x14ac:dyDescent="0.25">
      <c r="A3" s="70"/>
      <c r="B3" s="70"/>
      <c r="C3" s="71"/>
      <c r="D3" s="70"/>
      <c r="E3" s="70"/>
      <c r="F3" s="70"/>
      <c r="G3" s="70"/>
      <c r="H3" s="70"/>
      <c r="I3" s="72"/>
    </row>
    <row r="4" spans="1:9" x14ac:dyDescent="0.25">
      <c r="A4" s="91" t="s">
        <v>116</v>
      </c>
      <c r="B4" s="93"/>
      <c r="C4" s="95" t="s">
        <v>144</v>
      </c>
      <c r="D4" s="97" t="s">
        <v>141</v>
      </c>
      <c r="E4" s="97"/>
      <c r="F4" s="97"/>
      <c r="G4" s="98"/>
      <c r="H4" s="99" t="s">
        <v>140</v>
      </c>
      <c r="I4" s="89" t="s">
        <v>117</v>
      </c>
    </row>
    <row r="5" spans="1:9" x14ac:dyDescent="0.25">
      <c r="A5" s="92"/>
      <c r="B5" s="94"/>
      <c r="C5" s="96"/>
      <c r="D5" s="73" t="s">
        <v>118</v>
      </c>
      <c r="E5" s="73" t="s">
        <v>119</v>
      </c>
      <c r="F5" s="73" t="s">
        <v>120</v>
      </c>
      <c r="G5" s="73" t="s">
        <v>121</v>
      </c>
      <c r="H5" s="100"/>
      <c r="I5" s="90"/>
    </row>
    <row r="6" spans="1:9" x14ac:dyDescent="0.25">
      <c r="A6" s="74" t="s">
        <v>23</v>
      </c>
      <c r="B6" s="74" t="s">
        <v>122</v>
      </c>
      <c r="C6" s="75">
        <f>+'LRAM Calc by program'!C12</f>
        <v>-50957.463446272872</v>
      </c>
      <c r="D6" s="74">
        <f>+'LRAM Calc by program'!D6</f>
        <v>1.41E-2</v>
      </c>
      <c r="E6" s="74">
        <f>+'LRAM Calc by program'!E6</f>
        <v>5.0000000000000001E-4</v>
      </c>
      <c r="F6" s="74">
        <f>+'LRAM Calc by program'!F6</f>
        <v>0</v>
      </c>
      <c r="G6" s="74">
        <f>SUM(D6:F6)</f>
        <v>1.46E-2</v>
      </c>
      <c r="H6" s="76">
        <v>1</v>
      </c>
      <c r="I6" s="76">
        <f>+C6*G6*H6</f>
        <v>-743.97896631558399</v>
      </c>
    </row>
    <row r="7" spans="1:9" x14ac:dyDescent="0.25">
      <c r="A7" s="74" t="s">
        <v>123</v>
      </c>
      <c r="B7" s="74" t="s">
        <v>122</v>
      </c>
      <c r="C7" s="75">
        <f>+'LRAM Calc by program'!C15</f>
        <v>0</v>
      </c>
      <c r="D7" s="74">
        <f>+'LRAM Calc by program'!D15</f>
        <v>1.9400000000000001E-2</v>
      </c>
      <c r="E7" s="74">
        <f>+'LRAM Calc by program'!E15</f>
        <v>0</v>
      </c>
      <c r="F7" s="74">
        <f>+'LRAM Calc by program'!F15</f>
        <v>0</v>
      </c>
      <c r="G7" s="74">
        <f>SUM(D7:F7)</f>
        <v>1.9400000000000001E-2</v>
      </c>
      <c r="H7" s="76">
        <v>1</v>
      </c>
      <c r="I7" s="76">
        <f>+C7*G7*H7</f>
        <v>0</v>
      </c>
    </row>
    <row r="8" spans="1:9" x14ac:dyDescent="0.25">
      <c r="A8" s="74" t="s">
        <v>124</v>
      </c>
      <c r="B8" s="74" t="s">
        <v>125</v>
      </c>
      <c r="C8" s="75">
        <f>+'LRAM Calc by program'!C22</f>
        <v>2.7059283823206006</v>
      </c>
      <c r="D8" s="74">
        <f>+'LRAM Calc by program'!D18</f>
        <v>3.9178000000000002</v>
      </c>
      <c r="E8" s="74">
        <f>+'LRAM Calc by program'!E18</f>
        <v>1.5299999999999999E-2</v>
      </c>
      <c r="F8" s="74">
        <f>+'LRAM Calc by program'!F18</f>
        <v>0</v>
      </c>
      <c r="G8" s="74">
        <f>SUM(D8:F8)</f>
        <v>3.9331</v>
      </c>
      <c r="H8" s="76">
        <v>12</v>
      </c>
      <c r="I8" s="76">
        <f>+C8*G8*H8</f>
        <v>127.71224304606184</v>
      </c>
    </row>
    <row r="9" spans="1:9" x14ac:dyDescent="0.25">
      <c r="A9" s="77"/>
      <c r="B9" s="78"/>
      <c r="C9" s="79"/>
      <c r="D9" s="78"/>
      <c r="E9" s="78"/>
      <c r="F9" s="78"/>
      <c r="G9" s="78"/>
      <c r="H9" s="78"/>
      <c r="I9" s="76"/>
    </row>
    <row r="10" spans="1:9" ht="15.75" thickBot="1" x14ac:dyDescent="0.3">
      <c r="A10" s="80" t="s">
        <v>146</v>
      </c>
      <c r="B10" s="81"/>
      <c r="C10" s="82"/>
      <c r="D10" s="81"/>
      <c r="E10" s="81"/>
      <c r="F10" s="81"/>
      <c r="G10" s="81"/>
      <c r="H10" s="81"/>
      <c r="I10" s="83">
        <f>SUM(I6:I8)</f>
        <v>-616.26672326952212</v>
      </c>
    </row>
    <row r="11" spans="1:9" ht="15.75" thickTop="1" x14ac:dyDescent="0.25">
      <c r="A11" s="84"/>
      <c r="B11" s="84"/>
      <c r="C11" s="85"/>
      <c r="D11" s="84"/>
      <c r="E11" s="84"/>
      <c r="F11" s="84"/>
      <c r="G11" s="84"/>
      <c r="H11" s="84"/>
      <c r="I11" s="86"/>
    </row>
    <row r="12" spans="1:9" x14ac:dyDescent="0.25">
      <c r="A12" s="70"/>
      <c r="B12" s="70"/>
      <c r="C12" s="71"/>
      <c r="D12" s="70"/>
      <c r="E12" s="70"/>
      <c r="F12" s="70"/>
      <c r="G12" s="70"/>
      <c r="H12" s="70"/>
      <c r="I12" s="72"/>
    </row>
    <row r="13" spans="1:9" x14ac:dyDescent="0.25">
      <c r="A13" s="91" t="s">
        <v>127</v>
      </c>
      <c r="B13" s="93"/>
      <c r="C13" s="95" t="s">
        <v>144</v>
      </c>
      <c r="D13" s="97" t="s">
        <v>141</v>
      </c>
      <c r="E13" s="97"/>
      <c r="F13" s="97"/>
      <c r="G13" s="98"/>
      <c r="H13" s="99" t="s">
        <v>140</v>
      </c>
      <c r="I13" s="89" t="s">
        <v>117</v>
      </c>
    </row>
    <row r="14" spans="1:9" x14ac:dyDescent="0.25">
      <c r="A14" s="92"/>
      <c r="B14" s="94"/>
      <c r="C14" s="96"/>
      <c r="D14" s="73" t="s">
        <v>118</v>
      </c>
      <c r="E14" s="73" t="s">
        <v>119</v>
      </c>
      <c r="F14" s="73" t="s">
        <v>120</v>
      </c>
      <c r="G14" s="73" t="s">
        <v>121</v>
      </c>
      <c r="H14" s="100"/>
      <c r="I14" s="90"/>
    </row>
    <row r="15" spans="1:9" x14ac:dyDescent="0.25">
      <c r="A15" s="74" t="s">
        <v>23</v>
      </c>
      <c r="B15" s="74" t="s">
        <v>122</v>
      </c>
      <c r="C15" s="75">
        <f>+'LRAM Calc by program'!C36</f>
        <v>672275.5907010315</v>
      </c>
      <c r="D15" s="74">
        <f>+'LRAM Calc by program'!D30</f>
        <v>1.4200000000000001E-2</v>
      </c>
      <c r="E15" s="74">
        <f>+'LRAM Calc by program'!E30</f>
        <v>8.9999999999999998E-4</v>
      </c>
      <c r="F15" s="74">
        <f>+'LRAM Calc by program'!F30</f>
        <v>-2.0000000000000001E-4</v>
      </c>
      <c r="G15" s="74">
        <f t="shared" ref="G15:G16" si="0">SUM(D15:F15)</f>
        <v>1.49E-2</v>
      </c>
      <c r="H15" s="76">
        <f>+'LRAM Calc by program'!L36</f>
        <v>0.9951459192552311</v>
      </c>
      <c r="I15" s="76">
        <f>C15*G15*H15</f>
        <v>9968.2834294453696</v>
      </c>
    </row>
    <row r="16" spans="1:9" x14ac:dyDescent="0.25">
      <c r="A16" s="74" t="s">
        <v>123</v>
      </c>
      <c r="B16" s="74" t="s">
        <v>122</v>
      </c>
      <c r="C16" s="75">
        <f>+'LRAM Calc by program'!C39</f>
        <v>46962.251441504202</v>
      </c>
      <c r="D16" s="74">
        <f>+'LRAM Calc by program'!D39</f>
        <v>1.95E-2</v>
      </c>
      <c r="E16" s="74">
        <f>+'LRAM Calc by program'!E39</f>
        <v>1.1000000000000001E-3</v>
      </c>
      <c r="F16" s="74">
        <f>+'LRAM Calc by program'!F39</f>
        <v>-1E-4</v>
      </c>
      <c r="G16" s="74">
        <f t="shared" si="0"/>
        <v>2.0500000000000001E-2</v>
      </c>
      <c r="H16" s="76">
        <v>1</v>
      </c>
      <c r="I16" s="76">
        <f>C16*G16*H16</f>
        <v>962.72615455083621</v>
      </c>
    </row>
    <row r="17" spans="1:9" x14ac:dyDescent="0.25">
      <c r="A17" s="74" t="s">
        <v>124</v>
      </c>
      <c r="B17" s="74" t="s">
        <v>125</v>
      </c>
      <c r="C17" s="75">
        <f>+'LRAM Calc by program'!C46</f>
        <v>797.03127213544974</v>
      </c>
      <c r="D17" s="74">
        <f>+'LRAM Calc by program'!D42</f>
        <v>3.9405000000000001</v>
      </c>
      <c r="E17" s="74">
        <f>+'LRAM Calc by program'!E42</f>
        <v>6.2700000000000006E-2</v>
      </c>
      <c r="F17" s="74">
        <f>+'LRAM Calc by program'!F42</f>
        <v>-2.1999999999999999E-2</v>
      </c>
      <c r="G17" s="74">
        <f>SUM(D17:F17)</f>
        <v>3.9812000000000007</v>
      </c>
      <c r="H17" s="76">
        <f>+'LRAM Calc by program'!L46</f>
        <v>3.737663512805216</v>
      </c>
      <c r="I17" s="76">
        <f>C17*G17*H17</f>
        <v>11860.132965258386</v>
      </c>
    </row>
    <row r="18" spans="1:9" x14ac:dyDescent="0.25">
      <c r="A18" s="70"/>
      <c r="B18" s="70"/>
      <c r="C18" s="71"/>
      <c r="D18" s="70"/>
      <c r="E18" s="70"/>
      <c r="F18" s="70"/>
      <c r="G18" s="70"/>
      <c r="H18" s="70"/>
      <c r="I18" s="72"/>
    </row>
    <row r="19" spans="1:9" ht="15.75" thickBot="1" x14ac:dyDescent="0.3">
      <c r="A19" s="80" t="s">
        <v>136</v>
      </c>
      <c r="B19" s="81"/>
      <c r="C19" s="82"/>
      <c r="D19" s="81"/>
      <c r="E19" s="81"/>
      <c r="F19" s="81"/>
      <c r="G19" s="81"/>
      <c r="H19" s="81"/>
      <c r="I19" s="83">
        <f>SUM(I15:I18)</f>
        <v>22791.14254925459</v>
      </c>
    </row>
    <row r="20" spans="1:9" ht="15.75" thickTop="1" x14ac:dyDescent="0.25">
      <c r="A20" s="70"/>
      <c r="B20" s="70"/>
      <c r="C20" s="71"/>
      <c r="D20" s="70"/>
      <c r="E20" s="70"/>
      <c r="F20" s="70"/>
      <c r="G20" s="70"/>
      <c r="H20" s="70"/>
      <c r="I20" s="72"/>
    </row>
    <row r="21" spans="1:9" x14ac:dyDescent="0.25">
      <c r="A21" s="70"/>
      <c r="B21" s="70"/>
      <c r="C21" s="71"/>
      <c r="D21" s="70"/>
      <c r="E21" s="70"/>
      <c r="F21" s="70"/>
      <c r="G21" s="70"/>
      <c r="H21" s="70"/>
      <c r="I21" s="72"/>
    </row>
    <row r="22" spans="1:9" x14ac:dyDescent="0.25">
      <c r="A22" s="91" t="s">
        <v>129</v>
      </c>
      <c r="B22" s="93"/>
      <c r="C22" s="95" t="s">
        <v>144</v>
      </c>
      <c r="D22" s="97" t="s">
        <v>141</v>
      </c>
      <c r="E22" s="97"/>
      <c r="F22" s="97"/>
      <c r="G22" s="98"/>
      <c r="H22" s="99" t="s">
        <v>140</v>
      </c>
      <c r="I22" s="89" t="s">
        <v>117</v>
      </c>
    </row>
    <row r="23" spans="1:9" x14ac:dyDescent="0.25">
      <c r="A23" s="92"/>
      <c r="B23" s="94"/>
      <c r="C23" s="96"/>
      <c r="D23" s="73" t="s">
        <v>118</v>
      </c>
      <c r="E23" s="73" t="s">
        <v>119</v>
      </c>
      <c r="F23" s="73" t="s">
        <v>120</v>
      </c>
      <c r="G23" s="73" t="s">
        <v>121</v>
      </c>
      <c r="H23" s="100"/>
      <c r="I23" s="90"/>
    </row>
    <row r="24" spans="1:9" x14ac:dyDescent="0.25">
      <c r="A24" s="74" t="s">
        <v>23</v>
      </c>
      <c r="B24" s="74" t="s">
        <v>122</v>
      </c>
      <c r="C24" s="75">
        <f>+'LRAM Calc by program'!C61</f>
        <v>669012.31070103147</v>
      </c>
      <c r="D24" s="74">
        <f>+'LRAM Calc by program'!D55</f>
        <v>1.44E-2</v>
      </c>
      <c r="E24" s="74">
        <f>+'LRAM Calc by program'!E55</f>
        <v>0</v>
      </c>
      <c r="F24" s="74">
        <f>+'LRAM Calc by program'!F55</f>
        <v>0</v>
      </c>
      <c r="G24" s="74">
        <f t="shared" ref="G24:G25" si="1">SUM(D24:F24)</f>
        <v>1.44E-2</v>
      </c>
      <c r="H24" s="76">
        <v>1</v>
      </c>
      <c r="I24" s="76">
        <f>C24*G24*H24</f>
        <v>9633.7772740948531</v>
      </c>
    </row>
    <row r="25" spans="1:9" x14ac:dyDescent="0.25">
      <c r="A25" s="74" t="s">
        <v>123</v>
      </c>
      <c r="B25" s="74" t="s">
        <v>122</v>
      </c>
      <c r="C25" s="75">
        <f>+'LRAM Calc by program'!C64</f>
        <v>46962.25144150421</v>
      </c>
      <c r="D25" s="74">
        <f>+'LRAM Calc by program'!D64</f>
        <v>1.9699999999999999E-2</v>
      </c>
      <c r="E25" s="74">
        <f>+'LRAM Calc by program'!E64</f>
        <v>0</v>
      </c>
      <c r="F25" s="74">
        <f>+'LRAM Calc by program'!F64</f>
        <v>0</v>
      </c>
      <c r="G25" s="74">
        <f t="shared" si="1"/>
        <v>1.9699999999999999E-2</v>
      </c>
      <c r="H25" s="76">
        <v>1</v>
      </c>
      <c r="I25" s="76">
        <f>C25*G25*H25</f>
        <v>925.15635339763287</v>
      </c>
    </row>
    <row r="26" spans="1:9" x14ac:dyDescent="0.25">
      <c r="A26" s="74" t="s">
        <v>124</v>
      </c>
      <c r="B26" s="74" t="s">
        <v>125</v>
      </c>
      <c r="C26" s="75">
        <f>+'LRAM Calc by program'!C71</f>
        <v>248.25289203544961</v>
      </c>
      <c r="D26" s="74">
        <f>+'LRAM Calc by program'!D67</f>
        <v>3.9830999999999999</v>
      </c>
      <c r="E26" s="74">
        <f>+'LRAM Calc by program'!E67</f>
        <v>0</v>
      </c>
      <c r="F26" s="74">
        <f>+'LRAM Calc by program'!F67</f>
        <v>0</v>
      </c>
      <c r="G26" s="74">
        <f>SUM(D26:F26)</f>
        <v>3.9830999999999999</v>
      </c>
      <c r="H26" s="76">
        <v>12</v>
      </c>
      <c r="I26" s="76">
        <f>C26*G26*H26</f>
        <v>11865.793131196791</v>
      </c>
    </row>
    <row r="27" spans="1:9" x14ac:dyDescent="0.25">
      <c r="A27" s="70"/>
      <c r="B27" s="70"/>
      <c r="C27" s="71"/>
      <c r="D27" s="70"/>
      <c r="E27" s="70"/>
      <c r="F27" s="70"/>
      <c r="G27" s="70"/>
      <c r="H27" s="70"/>
      <c r="I27" s="72"/>
    </row>
    <row r="28" spans="1:9" ht="15.75" thickBot="1" x14ac:dyDescent="0.3">
      <c r="A28" s="80" t="s">
        <v>137</v>
      </c>
      <c r="B28" s="81"/>
      <c r="C28" s="82"/>
      <c r="D28" s="81"/>
      <c r="E28" s="81"/>
      <c r="F28" s="81"/>
      <c r="G28" s="81"/>
      <c r="H28" s="81"/>
      <c r="I28" s="83">
        <f>SUM(I24:I27)</f>
        <v>22424.726758689278</v>
      </c>
    </row>
    <row r="29" spans="1:9" ht="15.75" thickTop="1" x14ac:dyDescent="0.25">
      <c r="A29" s="70"/>
      <c r="B29" s="70"/>
      <c r="C29" s="71"/>
      <c r="D29" s="70"/>
      <c r="E29" s="70"/>
      <c r="F29" s="70"/>
      <c r="G29" s="70"/>
      <c r="H29" s="70"/>
      <c r="I29" s="72"/>
    </row>
    <row r="30" spans="1:9" x14ac:dyDescent="0.25">
      <c r="A30" s="70"/>
      <c r="B30" s="70"/>
      <c r="C30" s="71"/>
      <c r="D30" s="70"/>
      <c r="E30" s="70"/>
      <c r="F30" s="70"/>
      <c r="G30" s="70"/>
      <c r="H30" s="70"/>
      <c r="I30" s="72"/>
    </row>
    <row r="31" spans="1:9" x14ac:dyDescent="0.25">
      <c r="A31" s="91" t="s">
        <v>132</v>
      </c>
      <c r="B31" s="93"/>
      <c r="C31" s="95" t="s">
        <v>144</v>
      </c>
      <c r="D31" s="97" t="s">
        <v>141</v>
      </c>
      <c r="E31" s="97"/>
      <c r="F31" s="97"/>
      <c r="G31" s="98"/>
      <c r="H31" s="99" t="s">
        <v>140</v>
      </c>
      <c r="I31" s="89" t="s">
        <v>117</v>
      </c>
    </row>
    <row r="32" spans="1:9" x14ac:dyDescent="0.25">
      <c r="A32" s="92"/>
      <c r="B32" s="94"/>
      <c r="C32" s="96"/>
      <c r="D32" s="73" t="s">
        <v>118</v>
      </c>
      <c r="E32" s="73" t="s">
        <v>119</v>
      </c>
      <c r="F32" s="73" t="s">
        <v>120</v>
      </c>
      <c r="G32" s="73" t="s">
        <v>121</v>
      </c>
      <c r="H32" s="100"/>
      <c r="I32" s="90"/>
    </row>
    <row r="33" spans="1:9" x14ac:dyDescent="0.25">
      <c r="A33" s="74" t="s">
        <v>23</v>
      </c>
      <c r="B33" s="74" t="s">
        <v>122</v>
      </c>
      <c r="C33" s="75">
        <f>+'LRAM Calc by program'!C85</f>
        <v>669012.31070103147</v>
      </c>
      <c r="D33" s="74">
        <f>+'LRAM Calc by program'!D84</f>
        <v>1.46E-2</v>
      </c>
      <c r="E33" s="74">
        <f>+'LRAM Calc by program'!E84</f>
        <v>0</v>
      </c>
      <c r="F33" s="74">
        <f>+'LRAM Calc by program'!F84</f>
        <v>0</v>
      </c>
      <c r="G33" s="74">
        <f t="shared" ref="G33:G34" si="2">SUM(D33:F33)</f>
        <v>1.46E-2</v>
      </c>
      <c r="H33" s="76">
        <v>1</v>
      </c>
      <c r="I33" s="76">
        <f>C33*G33*H33</f>
        <v>9767.5797362350604</v>
      </c>
    </row>
    <row r="34" spans="1:9" x14ac:dyDescent="0.25">
      <c r="A34" s="74" t="s">
        <v>123</v>
      </c>
      <c r="B34" s="74" t="s">
        <v>122</v>
      </c>
      <c r="C34" s="75">
        <f>+'LRAM Calc by program'!C88</f>
        <v>46414.245595325643</v>
      </c>
      <c r="D34" s="74">
        <f>+'LRAM Calc by program'!D88</f>
        <v>0.02</v>
      </c>
      <c r="E34" s="74">
        <f>+'LRAM Calc by program'!E88</f>
        <v>0</v>
      </c>
      <c r="F34" s="74">
        <f>+'LRAM Calc by program'!F88</f>
        <v>0</v>
      </c>
      <c r="G34" s="74">
        <f t="shared" si="2"/>
        <v>0.02</v>
      </c>
      <c r="H34" s="76">
        <v>1</v>
      </c>
      <c r="I34" s="76">
        <f>C34*G34*H34</f>
        <v>928.28491190651289</v>
      </c>
    </row>
    <row r="35" spans="1:9" x14ac:dyDescent="0.25">
      <c r="A35" s="74" t="s">
        <v>124</v>
      </c>
      <c r="B35" s="74" t="s">
        <v>125</v>
      </c>
      <c r="C35" s="75">
        <f>+'LRAM Calc by program'!C95</f>
        <v>248.25289203544961</v>
      </c>
      <c r="D35" s="74">
        <f>+'LRAM Calc by program'!D91</f>
        <v>4.0388999999999999</v>
      </c>
      <c r="E35" s="74">
        <f>+'LRAM Calc by program'!E91</f>
        <v>0</v>
      </c>
      <c r="F35" s="74">
        <f>+'LRAM Calc by program'!F91</f>
        <v>0</v>
      </c>
      <c r="G35" s="74">
        <f>SUM(D35:F35)</f>
        <v>4.0388999999999999</v>
      </c>
      <c r="H35" s="76">
        <v>12</v>
      </c>
      <c r="I35" s="76">
        <f>C35*G35*H35</f>
        <v>12032.023267703727</v>
      </c>
    </row>
    <row r="36" spans="1:9" x14ac:dyDescent="0.25">
      <c r="A36" s="70"/>
      <c r="B36" s="70"/>
      <c r="C36" s="71"/>
      <c r="D36" s="70"/>
      <c r="E36" s="70"/>
      <c r="F36" s="70"/>
      <c r="G36" s="70"/>
      <c r="H36" s="70"/>
      <c r="I36" s="72"/>
    </row>
    <row r="37" spans="1:9" ht="15.75" thickBot="1" x14ac:dyDescent="0.3">
      <c r="A37" s="80" t="s">
        <v>138</v>
      </c>
      <c r="B37" s="81"/>
      <c r="C37" s="82"/>
      <c r="D37" s="81"/>
      <c r="E37" s="81"/>
      <c r="F37" s="81"/>
      <c r="G37" s="81"/>
      <c r="H37" s="81"/>
      <c r="I37" s="83">
        <f>SUM(I33:I36)</f>
        <v>22727.887915845298</v>
      </c>
    </row>
    <row r="38" spans="1:9" ht="15.75" thickTop="1" x14ac:dyDescent="0.25">
      <c r="A38" s="70"/>
      <c r="B38" s="70"/>
      <c r="C38" s="71"/>
      <c r="D38" s="70"/>
      <c r="E38" s="70"/>
      <c r="F38" s="70"/>
      <c r="G38" s="70"/>
      <c r="H38" s="70"/>
      <c r="I38" s="72"/>
    </row>
    <row r="39" spans="1:9" x14ac:dyDescent="0.25">
      <c r="A39" s="70"/>
      <c r="B39" s="70"/>
      <c r="C39" s="71"/>
      <c r="D39" s="70"/>
      <c r="E39" s="70"/>
      <c r="F39" s="70"/>
      <c r="G39" s="70"/>
      <c r="H39" s="70"/>
      <c r="I39" s="72"/>
    </row>
    <row r="40" spans="1:9" x14ac:dyDescent="0.25">
      <c r="A40" s="91" t="s">
        <v>135</v>
      </c>
      <c r="B40" s="93"/>
      <c r="C40" s="95" t="s">
        <v>144</v>
      </c>
      <c r="D40" s="97" t="s">
        <v>141</v>
      </c>
      <c r="E40" s="97"/>
      <c r="F40" s="97"/>
      <c r="G40" s="98"/>
      <c r="H40" s="99" t="s">
        <v>140</v>
      </c>
      <c r="I40" s="89" t="s">
        <v>117</v>
      </c>
    </row>
    <row r="41" spans="1:9" x14ac:dyDescent="0.25">
      <c r="A41" s="92"/>
      <c r="B41" s="94"/>
      <c r="C41" s="96"/>
      <c r="D41" s="73" t="s">
        <v>118</v>
      </c>
      <c r="E41" s="73" t="s">
        <v>119</v>
      </c>
      <c r="F41" s="73" t="s">
        <v>120</v>
      </c>
      <c r="G41" s="73" t="s">
        <v>121</v>
      </c>
      <c r="H41" s="100"/>
      <c r="I41" s="90"/>
    </row>
    <row r="42" spans="1:9" x14ac:dyDescent="0.25">
      <c r="A42" s="74" t="s">
        <v>23</v>
      </c>
      <c r="B42" s="74" t="s">
        <v>122</v>
      </c>
      <c r="C42" s="75">
        <f>+'LRAM Calc by program'!C108</f>
        <v>668790.89447121625</v>
      </c>
      <c r="D42" s="74">
        <f>+'LRAM Calc by program'!D102</f>
        <v>1.4800000000000001E-2</v>
      </c>
      <c r="E42" s="74">
        <f>+'LRAM Calc by program'!E102</f>
        <v>0</v>
      </c>
      <c r="F42" s="74">
        <f>+'LRAM Calc by program'!F102</f>
        <v>0</v>
      </c>
      <c r="G42" s="74">
        <f t="shared" ref="G42:G43" si="3">SUM(D42:F42)</f>
        <v>1.4800000000000001E-2</v>
      </c>
      <c r="H42" s="76">
        <v>1</v>
      </c>
      <c r="I42" s="76">
        <f>C42*G42*H42</f>
        <v>9898.105238174001</v>
      </c>
    </row>
    <row r="43" spans="1:9" x14ac:dyDescent="0.25">
      <c r="A43" s="74" t="s">
        <v>123</v>
      </c>
      <c r="B43" s="74" t="s">
        <v>122</v>
      </c>
      <c r="C43" s="75">
        <f>+'LRAM Calc by program'!C111</f>
        <v>34154.156065743497</v>
      </c>
      <c r="D43" s="74">
        <f>+'LRAM Calc by program'!D111</f>
        <v>2.0299999999999999E-2</v>
      </c>
      <c r="E43" s="74">
        <f>+'LRAM Calc by program'!E111</f>
        <v>0</v>
      </c>
      <c r="F43" s="74">
        <f>+'LRAM Calc by program'!F111</f>
        <v>0</v>
      </c>
      <c r="G43" s="74">
        <f t="shared" si="3"/>
        <v>2.0299999999999999E-2</v>
      </c>
      <c r="H43" s="76">
        <v>1</v>
      </c>
      <c r="I43" s="76">
        <f>C43*G43*H43</f>
        <v>693.32936813459298</v>
      </c>
    </row>
    <row r="44" spans="1:9" x14ac:dyDescent="0.25">
      <c r="A44" s="74" t="s">
        <v>124</v>
      </c>
      <c r="B44" s="74" t="s">
        <v>125</v>
      </c>
      <c r="C44" s="75">
        <f>+'LRAM Calc by program'!C118</f>
        <v>244.26978286390411</v>
      </c>
      <c r="D44" s="74">
        <f>+'LRAM Calc by program'!D114</f>
        <v>4.0914000000000001</v>
      </c>
      <c r="E44" s="74">
        <f>+'LRAM Calc by program'!E114</f>
        <v>0</v>
      </c>
      <c r="F44" s="74">
        <f>+'LRAM Calc by program'!F114</f>
        <v>0</v>
      </c>
      <c r="G44" s="74">
        <f>SUM(D44:F44)</f>
        <v>4.0914000000000001</v>
      </c>
      <c r="H44" s="76">
        <v>12</v>
      </c>
      <c r="I44" s="76">
        <f>C44*G44*H44</f>
        <v>11992.864675312527</v>
      </c>
    </row>
    <row r="45" spans="1:9" x14ac:dyDescent="0.25">
      <c r="A45" s="70"/>
      <c r="B45" s="70"/>
      <c r="C45" s="71"/>
      <c r="D45" s="70"/>
      <c r="E45" s="70"/>
      <c r="F45" s="70"/>
      <c r="G45" s="70"/>
      <c r="H45" s="70"/>
      <c r="I45" s="72"/>
    </row>
    <row r="46" spans="1:9" ht="15.75" thickBot="1" x14ac:dyDescent="0.3">
      <c r="A46" s="80" t="s">
        <v>139</v>
      </c>
      <c r="B46" s="81"/>
      <c r="C46" s="82"/>
      <c r="D46" s="81"/>
      <c r="E46" s="81"/>
      <c r="F46" s="81"/>
      <c r="G46" s="81"/>
      <c r="H46" s="81"/>
      <c r="I46" s="83">
        <f>SUM(I42:I45)</f>
        <v>22584.299281621119</v>
      </c>
    </row>
    <row r="47" spans="1:9" ht="15.75" thickTop="1" x14ac:dyDescent="0.25"/>
  </sheetData>
  <mergeCells count="30">
    <mergeCell ref="I4:I5"/>
    <mergeCell ref="A4:A5"/>
    <mergeCell ref="B4:B5"/>
    <mergeCell ref="C4:C5"/>
    <mergeCell ref="D4:G4"/>
    <mergeCell ref="H4:H5"/>
    <mergeCell ref="I22:I23"/>
    <mergeCell ref="A13:A14"/>
    <mergeCell ref="B13:B14"/>
    <mergeCell ref="C13:C14"/>
    <mergeCell ref="D13:G13"/>
    <mergeCell ref="H13:H14"/>
    <mergeCell ref="I13:I14"/>
    <mergeCell ref="A22:A23"/>
    <mergeCell ref="B22:B23"/>
    <mergeCell ref="C22:C23"/>
    <mergeCell ref="D22:G22"/>
    <mergeCell ref="H22:H23"/>
    <mergeCell ref="I40:I41"/>
    <mergeCell ref="A31:A32"/>
    <mergeCell ref="B31:B32"/>
    <mergeCell ref="C31:C32"/>
    <mergeCell ref="D31:G31"/>
    <mergeCell ref="H31:H32"/>
    <mergeCell ref="I31:I32"/>
    <mergeCell ref="A40:A41"/>
    <mergeCell ref="B40:B41"/>
    <mergeCell ref="C40:C41"/>
    <mergeCell ref="D40:G40"/>
    <mergeCell ref="H40:H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1"/>
  <sheetViews>
    <sheetView topLeftCell="A43" zoomScale="85" zoomScaleNormal="85" workbookViewId="0">
      <selection activeCell="I44" sqref="I44"/>
    </sheetView>
  </sheetViews>
  <sheetFormatPr defaultRowHeight="15" x14ac:dyDescent="0.25"/>
  <cols>
    <col min="1" max="1" width="36.5703125" customWidth="1"/>
    <col min="2" max="2" width="5" bestFit="1" customWidth="1"/>
    <col min="3" max="3" width="14.7109375" style="24" customWidth="1"/>
    <col min="4" max="4" width="12" customWidth="1"/>
    <col min="8" max="8" width="7.140625" bestFit="1" customWidth="1"/>
    <col min="9" max="9" width="15" style="65" bestFit="1" customWidth="1"/>
    <col min="12" max="12" width="10.85546875" bestFit="1" customWidth="1"/>
  </cols>
  <sheetData>
    <row r="1" spans="1:12" ht="18.75" x14ac:dyDescent="0.3">
      <c r="A1" s="88" t="s">
        <v>115</v>
      </c>
      <c r="I1" s="25"/>
      <c r="J1" s="13"/>
      <c r="K1" s="13"/>
      <c r="L1" s="13"/>
    </row>
    <row r="3" spans="1:12" ht="15" customHeight="1" x14ac:dyDescent="0.25">
      <c r="A3" s="103" t="s">
        <v>116</v>
      </c>
      <c r="B3" s="105"/>
      <c r="C3" s="107" t="s">
        <v>144</v>
      </c>
      <c r="D3" s="109" t="s">
        <v>141</v>
      </c>
      <c r="E3" s="109"/>
      <c r="F3" s="109"/>
      <c r="G3" s="110"/>
      <c r="H3" s="111" t="s">
        <v>140</v>
      </c>
      <c r="I3" s="101" t="s">
        <v>117</v>
      </c>
    </row>
    <row r="4" spans="1:12" ht="30" customHeight="1" x14ac:dyDescent="0.25">
      <c r="A4" s="104"/>
      <c r="B4" s="106"/>
      <c r="C4" s="108"/>
      <c r="D4" s="26" t="s">
        <v>118</v>
      </c>
      <c r="E4" s="26" t="s">
        <v>119</v>
      </c>
      <c r="F4" s="26" t="s">
        <v>120</v>
      </c>
      <c r="G4" s="26" t="s">
        <v>121</v>
      </c>
      <c r="H4" s="112"/>
      <c r="I4" s="102"/>
    </row>
    <row r="5" spans="1:12" x14ac:dyDescent="0.25">
      <c r="A5" s="27" t="s">
        <v>23</v>
      </c>
      <c r="B5" s="27"/>
      <c r="C5" s="28"/>
      <c r="D5" s="27"/>
      <c r="E5" s="27"/>
      <c r="F5" s="27"/>
      <c r="G5" s="27"/>
      <c r="H5" s="27"/>
      <c r="I5" s="29"/>
    </row>
    <row r="6" spans="1:12" x14ac:dyDescent="0.25">
      <c r="A6" s="30" t="s">
        <v>22</v>
      </c>
      <c r="B6" s="31" t="s">
        <v>122</v>
      </c>
      <c r="C6" s="32">
        <f>+GETPIVOTDATA("Sum of 2011 mwh",Pivot!$A$3,"Program","Consumer","Customer Class","Residential","Initiative","Appliance Exchange")*1000</f>
        <v>0</v>
      </c>
      <c r="D6" s="31">
        <v>1.41E-2</v>
      </c>
      <c r="E6" s="31">
        <v>5.0000000000000001E-4</v>
      </c>
      <c r="F6" s="31">
        <v>0</v>
      </c>
      <c r="G6" s="31">
        <f t="shared" ref="G6:G11" si="0">SUM(D6:F6)</f>
        <v>1.46E-2</v>
      </c>
      <c r="H6" s="31">
        <v>1</v>
      </c>
      <c r="I6" s="33">
        <f t="shared" ref="I6:I11" si="1">C6*G6*H6</f>
        <v>0</v>
      </c>
    </row>
    <row r="7" spans="1:12" x14ac:dyDescent="0.25">
      <c r="A7" s="34" t="s">
        <v>25</v>
      </c>
      <c r="B7" s="35" t="s">
        <v>122</v>
      </c>
      <c r="C7" s="32">
        <f>+GETPIVOTDATA("Sum of 2011 mwh",Pivot!$A$3,"Program","Consumer","Customer Class","Residential","Initiative","Appliance Retirement")*1000</f>
        <v>0</v>
      </c>
      <c r="D7" s="35">
        <v>1.41E-2</v>
      </c>
      <c r="E7" s="35">
        <v>5.0000000000000001E-4</v>
      </c>
      <c r="F7" s="35">
        <v>0</v>
      </c>
      <c r="G7" s="35">
        <f t="shared" si="0"/>
        <v>1.46E-2</v>
      </c>
      <c r="H7" s="35">
        <v>1</v>
      </c>
      <c r="I7" s="36">
        <f t="shared" si="1"/>
        <v>0</v>
      </c>
    </row>
    <row r="8" spans="1:12" x14ac:dyDescent="0.25">
      <c r="A8" s="34" t="s">
        <v>26</v>
      </c>
      <c r="B8" s="35" t="s">
        <v>122</v>
      </c>
      <c r="C8" s="32">
        <f>+GETPIVOTDATA("Sum of 2011 mwh",Pivot!$A$3,"Program","Consumer","Customer Class","Residential","Initiative","Bi-Annual Retailer Event")*1000</f>
        <v>18888.233854759172</v>
      </c>
      <c r="D8" s="35">
        <v>1.41E-2</v>
      </c>
      <c r="E8" s="35">
        <v>5.0000000000000001E-4</v>
      </c>
      <c r="F8" s="35">
        <v>0</v>
      </c>
      <c r="G8" s="35">
        <f t="shared" si="0"/>
        <v>1.46E-2</v>
      </c>
      <c r="H8" s="35">
        <v>1</v>
      </c>
      <c r="I8" s="36">
        <f t="shared" si="1"/>
        <v>275.76821427948391</v>
      </c>
    </row>
    <row r="9" spans="1:12" x14ac:dyDescent="0.25">
      <c r="A9" s="34" t="s">
        <v>28</v>
      </c>
      <c r="B9" s="35" t="s">
        <v>122</v>
      </c>
      <c r="C9" s="32">
        <f>+GETPIVOTDATA("Sum of 2011 mwh",Pivot!$A$3,"Program","Consumer","Customer Class","Residential","Initiative","Conservation Instant Coupon Booklet")*1000</f>
        <v>2384.6572671527952</v>
      </c>
      <c r="D9" s="35">
        <v>1.41E-2</v>
      </c>
      <c r="E9" s="35">
        <v>5.0000000000000001E-4</v>
      </c>
      <c r="F9" s="35">
        <v>0</v>
      </c>
      <c r="G9" s="35">
        <f t="shared" si="0"/>
        <v>1.46E-2</v>
      </c>
      <c r="H9" s="35">
        <v>1</v>
      </c>
      <c r="I9" s="36">
        <f t="shared" si="1"/>
        <v>34.815996100430809</v>
      </c>
    </row>
    <row r="10" spans="1:12" x14ac:dyDescent="0.25">
      <c r="A10" s="22" t="s">
        <v>31</v>
      </c>
      <c r="B10" s="35" t="s">
        <v>122</v>
      </c>
      <c r="C10" s="32">
        <f>+GETPIVOTDATA("Sum of 2011 mwh",Pivot!$A$3,"Program","Consumer","Customer Class","Residential","Initiative","Residential Demand Response")*1000</f>
        <v>0</v>
      </c>
      <c r="D10" s="35">
        <v>1.41E-2</v>
      </c>
      <c r="E10" s="35">
        <v>5.0000000000000001E-4</v>
      </c>
      <c r="F10" s="35">
        <v>0</v>
      </c>
      <c r="G10" s="35">
        <f t="shared" si="0"/>
        <v>1.46E-2</v>
      </c>
      <c r="H10" s="35">
        <v>1</v>
      </c>
      <c r="I10" s="36">
        <f t="shared" si="1"/>
        <v>0</v>
      </c>
    </row>
    <row r="11" spans="1:12" x14ac:dyDescent="0.25">
      <c r="A11" s="34" t="s">
        <v>29</v>
      </c>
      <c r="B11" s="35" t="s">
        <v>122</v>
      </c>
      <c r="C11" s="32">
        <f>+GETPIVOTDATA("Sum of 2011 mwh",Pivot!$A$3,"Program","Consumer","Customer Class","Residential","Initiative","HVAC Incentives")*1000</f>
        <v>-72230.354568184834</v>
      </c>
      <c r="D11" s="37">
        <v>1.41E-2</v>
      </c>
      <c r="E11" s="37">
        <v>5.0000000000000001E-4</v>
      </c>
      <c r="F11" s="37">
        <v>0</v>
      </c>
      <c r="G11" s="37">
        <f t="shared" si="0"/>
        <v>1.46E-2</v>
      </c>
      <c r="H11" s="37">
        <v>1</v>
      </c>
      <c r="I11" s="36">
        <f t="shared" si="1"/>
        <v>-1054.5631766954987</v>
      </c>
    </row>
    <row r="12" spans="1:12" x14ac:dyDescent="0.25">
      <c r="A12" s="38"/>
      <c r="B12" s="38"/>
      <c r="C12" s="39">
        <f>SUM(C6:C11)</f>
        <v>-50957.463446272872</v>
      </c>
      <c r="D12" s="38"/>
      <c r="E12" s="38"/>
      <c r="F12" s="38"/>
      <c r="G12" s="38"/>
      <c r="H12" s="38"/>
      <c r="I12" s="40">
        <f>SUM(I6:I11)</f>
        <v>-743.97896631558388</v>
      </c>
    </row>
    <row r="13" spans="1:12" x14ac:dyDescent="0.25">
      <c r="A13" s="27"/>
      <c r="B13" s="27"/>
      <c r="C13" s="28"/>
      <c r="D13" s="41"/>
      <c r="E13" s="41"/>
      <c r="F13" s="41"/>
      <c r="G13" s="41"/>
      <c r="H13" s="41"/>
      <c r="I13" s="29"/>
    </row>
    <row r="14" spans="1:12" x14ac:dyDescent="0.25">
      <c r="A14" s="42" t="s">
        <v>123</v>
      </c>
      <c r="B14" s="42"/>
      <c r="C14" s="43"/>
      <c r="D14" s="42"/>
      <c r="E14" s="42"/>
      <c r="F14" s="42"/>
      <c r="G14" s="42"/>
      <c r="H14" s="42"/>
      <c r="I14" s="44"/>
    </row>
    <row r="15" spans="1:12" x14ac:dyDescent="0.25">
      <c r="A15" s="45" t="s">
        <v>14</v>
      </c>
      <c r="B15" s="38" t="s">
        <v>122</v>
      </c>
      <c r="C15" s="32">
        <f>+GETPIVOTDATA("Sum of 2011 mwh",Pivot!$A$3,"Customer Class","GS&lt;50 kW")*1000</f>
        <v>0</v>
      </c>
      <c r="D15" s="38">
        <v>1.9400000000000001E-2</v>
      </c>
      <c r="E15" s="38">
        <v>0</v>
      </c>
      <c r="F15" s="38">
        <v>0</v>
      </c>
      <c r="G15" s="38">
        <f>SUM(D15:F15)</f>
        <v>1.9400000000000001E-2</v>
      </c>
      <c r="H15" s="38">
        <v>1</v>
      </c>
      <c r="I15" s="46">
        <f>C15*G15*H15</f>
        <v>0</v>
      </c>
    </row>
    <row r="16" spans="1:12" x14ac:dyDescent="0.25">
      <c r="A16" s="27"/>
      <c r="B16" s="27"/>
      <c r="C16" s="28"/>
      <c r="D16" s="27"/>
      <c r="E16" s="27"/>
      <c r="F16" s="27"/>
      <c r="G16" s="27"/>
      <c r="H16" s="27"/>
      <c r="I16" s="29"/>
    </row>
    <row r="17" spans="1:12" x14ac:dyDescent="0.25">
      <c r="A17" s="41" t="s">
        <v>124</v>
      </c>
      <c r="B17" s="41"/>
      <c r="C17" s="47"/>
      <c r="D17" s="41"/>
      <c r="E17" s="41"/>
      <c r="F17" s="41"/>
      <c r="G17" s="41"/>
      <c r="H17" s="41"/>
      <c r="I17" s="48"/>
    </row>
    <row r="18" spans="1:12" x14ac:dyDescent="0.25">
      <c r="A18" s="30" t="s">
        <v>39</v>
      </c>
      <c r="B18" s="31" t="s">
        <v>125</v>
      </c>
      <c r="C18" s="32">
        <f>+GETPIVOTDATA("Sum of 2011 mw",Pivot!$A$3,"Program","Business","Customer Class","GS&gt;50 kW","Initiative","Demand Response 3 (part of the Industrial program schedule)")*1000</f>
        <v>0</v>
      </c>
      <c r="D18" s="31">
        <v>3.9178000000000002</v>
      </c>
      <c r="E18" s="31">
        <v>1.5299999999999999E-2</v>
      </c>
      <c r="F18" s="31">
        <v>0</v>
      </c>
      <c r="G18" s="31">
        <f t="shared" ref="G18:G21" si="2">SUM(D18:F18)</f>
        <v>3.9331</v>
      </c>
      <c r="H18" s="31">
        <v>1</v>
      </c>
      <c r="I18" s="33">
        <f t="shared" ref="I18:I21" si="3">C18*G18*H18</f>
        <v>0</v>
      </c>
      <c r="J18" s="49"/>
    </row>
    <row r="19" spans="1:12" x14ac:dyDescent="0.25">
      <c r="A19" s="34" t="s">
        <v>35</v>
      </c>
      <c r="B19" s="35" t="s">
        <v>125</v>
      </c>
      <c r="C19" s="32">
        <f>+GETPIVOTDATA("Sum of 2011 mw",Pivot!$A$3,"Program","Industrial","Customer Class","GS&gt;50 kW","Initiative","Demand Response 3")*1000</f>
        <v>0</v>
      </c>
      <c r="D19" s="35">
        <v>3.9178000000000002</v>
      </c>
      <c r="E19" s="35">
        <v>1.5299999999999999E-2</v>
      </c>
      <c r="F19" s="35">
        <v>0</v>
      </c>
      <c r="G19" s="35">
        <f t="shared" si="2"/>
        <v>3.9331</v>
      </c>
      <c r="H19" s="35">
        <v>1</v>
      </c>
      <c r="I19" s="36">
        <f t="shared" si="3"/>
        <v>0</v>
      </c>
    </row>
    <row r="20" spans="1:12" x14ac:dyDescent="0.25">
      <c r="A20" s="34" t="s">
        <v>20</v>
      </c>
      <c r="B20" s="35" t="s">
        <v>125</v>
      </c>
      <c r="C20" s="32">
        <f>+GETPIVOTDATA("Sum of 2011 mw",Pivot!$A$3,"Program","Business","Customer Class","GS&gt;50 kW","Initiative","Retrofit")*1000</f>
        <v>0.76997303976919695</v>
      </c>
      <c r="D20" s="35">
        <v>3.9178000000000002</v>
      </c>
      <c r="E20" s="35">
        <v>1.5299999999999999E-2</v>
      </c>
      <c r="F20" s="35">
        <v>0</v>
      </c>
      <c r="G20" s="35">
        <f t="shared" si="2"/>
        <v>3.9331</v>
      </c>
      <c r="H20" s="35">
        <v>12</v>
      </c>
      <c r="I20" s="36">
        <f t="shared" si="3"/>
        <v>36.340571552594739</v>
      </c>
    </row>
    <row r="21" spans="1:12" x14ac:dyDescent="0.25">
      <c r="A21" s="50" t="s">
        <v>38</v>
      </c>
      <c r="B21" s="37" t="s">
        <v>125</v>
      </c>
      <c r="C21" s="32">
        <f>+GETPIVOTDATA("Sum of 2011 mw",Pivot!$A$3,"Program","Pre-2011 Programs Completed in 2011","Customer Class","GS&gt;50 kW","Initiative","High Performance New Construction")*1000</f>
        <v>1.9359553425514036</v>
      </c>
      <c r="D21" s="37">
        <v>3.9178000000000002</v>
      </c>
      <c r="E21" s="37">
        <v>1.5299999999999999E-2</v>
      </c>
      <c r="F21" s="37">
        <v>0</v>
      </c>
      <c r="G21" s="37">
        <f t="shared" si="2"/>
        <v>3.9331</v>
      </c>
      <c r="H21" s="37">
        <v>12</v>
      </c>
      <c r="I21" s="51">
        <f t="shared" si="3"/>
        <v>91.371671493467105</v>
      </c>
    </row>
    <row r="22" spans="1:12" x14ac:dyDescent="0.25">
      <c r="A22" s="52"/>
      <c r="B22" s="53"/>
      <c r="C22" s="46">
        <f>SUM(C18:C21)</f>
        <v>2.7059283823206006</v>
      </c>
      <c r="D22" s="38"/>
      <c r="E22" s="38"/>
      <c r="F22" s="38"/>
      <c r="G22" s="38"/>
      <c r="H22" s="38"/>
      <c r="I22" s="46">
        <f>SUM(I18:I21)</f>
        <v>127.71224304606184</v>
      </c>
    </row>
    <row r="23" spans="1:12" x14ac:dyDescent="0.25">
      <c r="A23" s="54"/>
      <c r="B23" s="55"/>
      <c r="C23" s="56"/>
      <c r="D23" s="55"/>
      <c r="E23" s="55"/>
      <c r="F23" s="55"/>
      <c r="G23" s="55"/>
      <c r="H23" s="49"/>
      <c r="I23" s="57"/>
      <c r="J23" s="49"/>
    </row>
    <row r="24" spans="1:12" x14ac:dyDescent="0.25">
      <c r="A24" s="52" t="s">
        <v>126</v>
      </c>
      <c r="B24" s="53"/>
      <c r="C24" s="58"/>
      <c r="D24" s="53"/>
      <c r="E24" s="53"/>
      <c r="F24" s="53"/>
      <c r="G24" s="53"/>
      <c r="H24" s="53"/>
      <c r="I24" s="46">
        <f>I12+I15+I22</f>
        <v>-616.266723269522</v>
      </c>
    </row>
    <row r="25" spans="1:12" x14ac:dyDescent="0.25">
      <c r="A25" s="49"/>
      <c r="B25" s="49"/>
      <c r="C25" s="59"/>
      <c r="D25" s="49"/>
      <c r="E25" s="49"/>
      <c r="F25" s="49"/>
      <c r="G25" s="49"/>
      <c r="H25" s="49"/>
      <c r="I25" s="57"/>
    </row>
    <row r="27" spans="1:12" x14ac:dyDescent="0.25">
      <c r="A27" s="103" t="s">
        <v>127</v>
      </c>
      <c r="B27" s="105"/>
      <c r="C27" s="107" t="s">
        <v>145</v>
      </c>
      <c r="D27" s="109" t="s">
        <v>141</v>
      </c>
      <c r="E27" s="109"/>
      <c r="F27" s="109"/>
      <c r="G27" s="110"/>
      <c r="H27" s="111" t="s">
        <v>140</v>
      </c>
      <c r="I27" s="101" t="s">
        <v>117</v>
      </c>
    </row>
    <row r="28" spans="1:12" ht="29.25" customHeight="1" x14ac:dyDescent="0.25">
      <c r="A28" s="104"/>
      <c r="B28" s="106"/>
      <c r="C28" s="108"/>
      <c r="D28" s="26" t="s">
        <v>118</v>
      </c>
      <c r="E28" s="26" t="s">
        <v>119</v>
      </c>
      <c r="F28" s="26" t="s">
        <v>120</v>
      </c>
      <c r="G28" s="26" t="s">
        <v>121</v>
      </c>
      <c r="H28" s="112"/>
      <c r="I28" s="102"/>
      <c r="L28" t="s">
        <v>143</v>
      </c>
    </row>
    <row r="29" spans="1:12" x14ac:dyDescent="0.25">
      <c r="A29" s="27" t="s">
        <v>23</v>
      </c>
      <c r="B29" s="27" t="s">
        <v>42</v>
      </c>
      <c r="C29" s="28"/>
      <c r="D29" s="27"/>
      <c r="E29" s="27"/>
      <c r="F29" s="27"/>
      <c r="G29" s="27"/>
      <c r="H29" s="27"/>
      <c r="I29" s="29"/>
    </row>
    <row r="30" spans="1:12" x14ac:dyDescent="0.25">
      <c r="A30" s="30" t="s">
        <v>22</v>
      </c>
      <c r="B30" s="31" t="s">
        <v>122</v>
      </c>
      <c r="C30" s="32">
        <f>+GETPIVOTDATA("Sum of 2012 mwh",Pivot!$A$3,"Program","Consumer","Customer Class","Residential","Initiative","Appliance Exchange")*1000</f>
        <v>5076.6053489195292</v>
      </c>
      <c r="D30" s="31">
        <v>1.4200000000000001E-2</v>
      </c>
      <c r="E30" s="31">
        <v>8.9999999999999998E-4</v>
      </c>
      <c r="F30" s="31">
        <v>-2.0000000000000001E-4</v>
      </c>
      <c r="G30" s="31">
        <f t="shared" ref="G30:G35" si="4">SUM(D30:F30)</f>
        <v>1.49E-2</v>
      </c>
      <c r="H30" s="31">
        <v>1</v>
      </c>
      <c r="I30" s="33">
        <f t="shared" ref="I30:I35" si="5">C30*G30*H30</f>
        <v>75.641419698900989</v>
      </c>
      <c r="L30" s="65">
        <f>IF(H30&gt;0,H30*C30/C$36,0)</f>
        <v>7.5513753870280744E-3</v>
      </c>
    </row>
    <row r="31" spans="1:12" x14ac:dyDescent="0.25">
      <c r="A31" s="34" t="s">
        <v>25</v>
      </c>
      <c r="B31" s="35" t="s">
        <v>122</v>
      </c>
      <c r="C31" s="32">
        <f>+GETPIVOTDATA("Sum of 2012 mwh",Pivot!$A$3,"Program","Consumer","Customer Class","Residential","Initiative","Appliance Retirement")*1000</f>
        <v>92074.331163822397</v>
      </c>
      <c r="D31" s="35">
        <v>1.4200000000000001E-2</v>
      </c>
      <c r="E31" s="35">
        <v>8.9999999999999998E-4</v>
      </c>
      <c r="F31" s="35">
        <v>-2.0000000000000001E-4</v>
      </c>
      <c r="G31" s="35">
        <f t="shared" si="4"/>
        <v>1.49E-2</v>
      </c>
      <c r="H31" s="35">
        <v>1</v>
      </c>
      <c r="I31" s="36">
        <f t="shared" si="5"/>
        <v>1371.9075343409538</v>
      </c>
      <c r="L31" s="65">
        <f t="shared" ref="L31:L35" si="6">IF(H31&gt;0,H31*C31/C$36,0)</f>
        <v>0.13695920607173864</v>
      </c>
    </row>
    <row r="32" spans="1:12" x14ac:dyDescent="0.25">
      <c r="A32" s="34" t="s">
        <v>26</v>
      </c>
      <c r="B32" s="35" t="s">
        <v>122</v>
      </c>
      <c r="C32" s="32">
        <f>+GETPIVOTDATA("Sum of 2012 mwh",Pivot!$A$3,"Program","Consumer","Customer Class","Residential","Initiative","Bi-Annual Retailer Event")*1000</f>
        <v>250573.06690992991</v>
      </c>
      <c r="D32" s="35">
        <v>1.4200000000000001E-2</v>
      </c>
      <c r="E32" s="35">
        <v>8.9999999999999998E-4</v>
      </c>
      <c r="F32" s="35">
        <v>-2.0000000000000001E-4</v>
      </c>
      <c r="G32" s="35">
        <f t="shared" si="4"/>
        <v>1.49E-2</v>
      </c>
      <c r="H32" s="35">
        <v>1</v>
      </c>
      <c r="I32" s="36">
        <f t="shared" si="5"/>
        <v>3733.5386969579558</v>
      </c>
      <c r="L32" s="65">
        <f t="shared" si="6"/>
        <v>0.37272373171936651</v>
      </c>
    </row>
    <row r="33" spans="1:12" x14ac:dyDescent="0.25">
      <c r="A33" s="34" t="s">
        <v>28</v>
      </c>
      <c r="B33" s="35" t="s">
        <v>122</v>
      </c>
      <c r="C33" s="32">
        <f>+GETPIVOTDATA("Sum of 2012 mwh",Pivot!$A$3,"Program","Consumer","Customer Class","Residential","Initiative","Conservation Instant Coupon Booklet")*1000</f>
        <v>14480.322377506214</v>
      </c>
      <c r="D33" s="35">
        <v>1.4200000000000001E-2</v>
      </c>
      <c r="E33" s="35">
        <v>8.9999999999999998E-4</v>
      </c>
      <c r="F33" s="35">
        <v>-2.0000000000000001E-4</v>
      </c>
      <c r="G33" s="35">
        <f t="shared" si="4"/>
        <v>1.49E-2</v>
      </c>
      <c r="H33" s="35">
        <v>1</v>
      </c>
      <c r="I33" s="36">
        <f t="shared" si="5"/>
        <v>215.75680342484259</v>
      </c>
      <c r="L33" s="65">
        <f t="shared" si="6"/>
        <v>2.1539265411089092E-2</v>
      </c>
    </row>
    <row r="34" spans="1:12" x14ac:dyDescent="0.25">
      <c r="A34" s="22" t="s">
        <v>31</v>
      </c>
      <c r="B34" s="35" t="s">
        <v>122</v>
      </c>
      <c r="C34" s="32">
        <f>+GETPIVOTDATA("Sum of 2012 mwh",Pivot!$A$3,"Program","Consumer","Customer Class","Residential","Initiative","Residential Demand Response")*1000</f>
        <v>3263.28</v>
      </c>
      <c r="D34" s="35">
        <v>1.4200000000000001E-2</v>
      </c>
      <c r="E34" s="35">
        <v>8.9999999999999998E-4</v>
      </c>
      <c r="F34" s="35">
        <v>-2.0000000000000001E-4</v>
      </c>
      <c r="G34" s="35">
        <f t="shared" si="4"/>
        <v>1.49E-2</v>
      </c>
      <c r="H34" s="35">
        <v>0</v>
      </c>
      <c r="I34" s="36">
        <f t="shared" si="5"/>
        <v>0</v>
      </c>
      <c r="L34" s="65">
        <f t="shared" si="6"/>
        <v>0</v>
      </c>
    </row>
    <row r="35" spans="1:12" x14ac:dyDescent="0.25">
      <c r="A35" s="34" t="s">
        <v>29</v>
      </c>
      <c r="B35" s="35" t="s">
        <v>122</v>
      </c>
      <c r="C35" s="32">
        <f>+GETPIVOTDATA("Sum of 2012 mwh",Pivot!$A$3,"Program","Consumer","Customer Class","Residential","Initiative","HVAC Incentives")*1000</f>
        <v>306807.98490085348</v>
      </c>
      <c r="D35" s="37">
        <v>1.4200000000000001E-2</v>
      </c>
      <c r="E35" s="37">
        <v>8.9999999999999998E-4</v>
      </c>
      <c r="F35" s="37">
        <v>-2.0000000000000001E-4</v>
      </c>
      <c r="G35" s="37">
        <f t="shared" si="4"/>
        <v>1.49E-2</v>
      </c>
      <c r="H35" s="37">
        <v>1</v>
      </c>
      <c r="I35" s="36">
        <f t="shared" si="5"/>
        <v>4571.4389750227165</v>
      </c>
      <c r="L35" s="65">
        <f t="shared" si="6"/>
        <v>0.45637234066600885</v>
      </c>
    </row>
    <row r="36" spans="1:12" x14ac:dyDescent="0.25">
      <c r="A36" s="38"/>
      <c r="B36" s="38"/>
      <c r="C36" s="39">
        <f>SUM(C30:C35)</f>
        <v>672275.5907010315</v>
      </c>
      <c r="D36" s="38"/>
      <c r="E36" s="38"/>
      <c r="F36" s="38"/>
      <c r="G36" s="38"/>
      <c r="H36" s="38"/>
      <c r="I36" s="60">
        <f>SUM(I30:I35)</f>
        <v>9968.2834294453696</v>
      </c>
      <c r="L36" s="113">
        <f>SUM(L30:L35)</f>
        <v>0.9951459192552311</v>
      </c>
    </row>
    <row r="37" spans="1:12" x14ac:dyDescent="0.25">
      <c r="A37" s="41"/>
      <c r="B37" s="41"/>
      <c r="C37" s="28"/>
      <c r="D37" s="41"/>
      <c r="E37" s="41"/>
      <c r="F37" s="41"/>
      <c r="G37" s="41"/>
      <c r="H37" s="41"/>
      <c r="I37" s="48"/>
    </row>
    <row r="38" spans="1:12" x14ac:dyDescent="0.25">
      <c r="A38" s="42" t="s">
        <v>123</v>
      </c>
      <c r="B38" s="42"/>
      <c r="C38" s="43"/>
      <c r="D38" s="42"/>
      <c r="E38" s="42"/>
      <c r="F38" s="42"/>
      <c r="G38" s="42"/>
      <c r="H38" s="42"/>
      <c r="I38" s="44"/>
    </row>
    <row r="39" spans="1:12" x14ac:dyDescent="0.25">
      <c r="A39" s="45" t="s">
        <v>14</v>
      </c>
      <c r="B39" s="42" t="s">
        <v>122</v>
      </c>
      <c r="C39" s="32">
        <f>+GETPIVOTDATA("Sum of 2012 mwh",Pivot!$A$3,"Customer Class","GS&lt;50 kW")*1000</f>
        <v>46962.251441504202</v>
      </c>
      <c r="D39" s="42">
        <v>1.95E-2</v>
      </c>
      <c r="E39" s="42">
        <v>1.1000000000000001E-3</v>
      </c>
      <c r="F39" s="42">
        <v>-1E-4</v>
      </c>
      <c r="G39" s="42">
        <f t="shared" ref="G39" si="7">SUM(D39:F39)</f>
        <v>2.0500000000000001E-2</v>
      </c>
      <c r="H39" s="42">
        <v>1</v>
      </c>
      <c r="I39" s="44">
        <f>C39*G39*H39</f>
        <v>962.72615455083621</v>
      </c>
    </row>
    <row r="40" spans="1:12" x14ac:dyDescent="0.25">
      <c r="A40" s="27"/>
      <c r="B40" s="27"/>
      <c r="C40" s="28"/>
      <c r="D40" s="27"/>
      <c r="E40" s="27"/>
      <c r="F40" s="27"/>
      <c r="G40" s="27"/>
      <c r="H40" s="27"/>
      <c r="I40" s="29"/>
      <c r="L40" t="s">
        <v>143</v>
      </c>
    </row>
    <row r="41" spans="1:12" x14ac:dyDescent="0.25">
      <c r="A41" s="41" t="s">
        <v>124</v>
      </c>
      <c r="B41" s="41"/>
      <c r="C41" s="47"/>
      <c r="D41" s="41"/>
      <c r="E41" s="41"/>
      <c r="F41" s="41"/>
      <c r="G41" s="41"/>
      <c r="H41" s="41"/>
      <c r="I41" s="48"/>
    </row>
    <row r="42" spans="1:12" x14ac:dyDescent="0.25">
      <c r="A42" s="30" t="s">
        <v>39</v>
      </c>
      <c r="B42" s="31" t="s">
        <v>125</v>
      </c>
      <c r="C42" s="32">
        <f>+GETPIVOTDATA("Sum of 2012 mw",Pivot!$A$3,"Program","Business","Customer Class","GS&gt;50 kW","Initiative","Demand Response 3 (part of the Industrial program schedule)")*1000</f>
        <v>108.78088650000001</v>
      </c>
      <c r="D42" s="31">
        <v>3.9405000000000001</v>
      </c>
      <c r="E42" s="31">
        <v>6.2700000000000006E-2</v>
      </c>
      <c r="F42" s="61">
        <v>-2.1999999999999999E-2</v>
      </c>
      <c r="G42" s="31">
        <f t="shared" ref="G42:G45" si="8">SUM(D42:F42)</f>
        <v>3.9812000000000007</v>
      </c>
      <c r="H42" s="31">
        <v>0</v>
      </c>
      <c r="I42" s="33">
        <f t="shared" ref="I42:I45" si="9">C42*G42*H42</f>
        <v>0</v>
      </c>
      <c r="L42" s="65">
        <f>IF(H42&gt;0,H42*C42/C$46,0)</f>
        <v>0</v>
      </c>
    </row>
    <row r="43" spans="1:12" x14ac:dyDescent="0.25">
      <c r="A43" s="34" t="s">
        <v>35</v>
      </c>
      <c r="B43" s="35" t="s">
        <v>125</v>
      </c>
      <c r="C43" s="32">
        <f>+GETPIVOTDATA("Sum of 2012 mw",Pivot!$A$3,"Program","Industrial","Customer Class","GS&gt;50 kW","Initiative","Demand Response 3")*1000</f>
        <v>439.99749360000004</v>
      </c>
      <c r="D43" s="35">
        <v>3.9405000000000001</v>
      </c>
      <c r="E43" s="35">
        <v>6.2700000000000006E-2</v>
      </c>
      <c r="F43" s="62">
        <v>-2.1999999999999999E-2</v>
      </c>
      <c r="G43" s="35">
        <f t="shared" si="8"/>
        <v>3.9812000000000007</v>
      </c>
      <c r="H43" s="35">
        <v>0</v>
      </c>
      <c r="I43" s="36">
        <f t="shared" si="9"/>
        <v>0</v>
      </c>
      <c r="L43" s="65">
        <f>IF(H43&gt;0,H43*C43/C$46,0)</f>
        <v>0</v>
      </c>
    </row>
    <row r="44" spans="1:12" x14ac:dyDescent="0.25">
      <c r="A44" s="34" t="s">
        <v>20</v>
      </c>
      <c r="B44" s="35" t="s">
        <v>125</v>
      </c>
      <c r="C44" s="32">
        <f>+GETPIVOTDATA("Sum of 2012 mw",Pivot!$A$3,"Program","Business","Customer Class","GS&gt;50 kW","Initiative","Retrofit")*1000</f>
        <v>245.3393881703127</v>
      </c>
      <c r="D44" s="35">
        <v>3.9405000000000001</v>
      </c>
      <c r="E44" s="35">
        <v>6.2700000000000006E-2</v>
      </c>
      <c r="F44" s="62">
        <v>-2.1999999999999999E-2</v>
      </c>
      <c r="G44" s="35">
        <f t="shared" si="8"/>
        <v>3.9812000000000007</v>
      </c>
      <c r="H44" s="35">
        <v>12</v>
      </c>
      <c r="I44" s="36">
        <f t="shared" si="9"/>
        <v>11720.942066203788</v>
      </c>
      <c r="L44" s="65">
        <f>IF(H44&gt;0,H44*C44/C$46,0)</f>
        <v>3.6937981745130677</v>
      </c>
    </row>
    <row r="45" spans="1:12" x14ac:dyDescent="0.25">
      <c r="A45" s="50" t="s">
        <v>38</v>
      </c>
      <c r="B45" s="37" t="s">
        <v>125</v>
      </c>
      <c r="C45" s="32">
        <f>+GETPIVOTDATA("Sum of 2012 mw",Pivot!$A$3,"Program","Pre-2011 Programs Completed in 2011","Customer Class","GS&gt;50 kW","Initiative","High Performance New Construction")*1000</f>
        <v>2.913503865136903</v>
      </c>
      <c r="D45" s="37">
        <v>3.9405000000000001</v>
      </c>
      <c r="E45" s="37">
        <v>6.2700000000000006E-2</v>
      </c>
      <c r="F45" s="63">
        <v>-2.1999999999999999E-2</v>
      </c>
      <c r="G45" s="37">
        <f t="shared" si="8"/>
        <v>3.9812000000000007</v>
      </c>
      <c r="H45" s="37">
        <v>12</v>
      </c>
      <c r="I45" s="51">
        <f t="shared" si="9"/>
        <v>139.19089905459649</v>
      </c>
      <c r="L45" s="65">
        <f>IF(H45&gt;0,H45*C45/C$46,0)</f>
        <v>4.3865338292148323E-2</v>
      </c>
    </row>
    <row r="46" spans="1:12" x14ac:dyDescent="0.25">
      <c r="A46" s="52"/>
      <c r="B46" s="53"/>
      <c r="C46" s="46">
        <f>SUM(C42:C45)</f>
        <v>797.03127213544974</v>
      </c>
      <c r="D46" s="38"/>
      <c r="E46" s="38"/>
      <c r="F46" s="38"/>
      <c r="G46" s="38"/>
      <c r="H46" s="38"/>
      <c r="I46" s="60">
        <f>SUM(I42:I45)</f>
        <v>11860.132965258385</v>
      </c>
      <c r="L46" s="113">
        <f>SUM(L42:L45)</f>
        <v>3.737663512805216</v>
      </c>
    </row>
    <row r="47" spans="1:12" x14ac:dyDescent="0.25">
      <c r="A47" s="49"/>
      <c r="B47" s="49"/>
      <c r="C47" s="59"/>
      <c r="D47" s="49"/>
      <c r="E47" s="49"/>
      <c r="F47" s="49"/>
      <c r="G47" s="49"/>
      <c r="H47" s="49"/>
      <c r="I47" s="57"/>
      <c r="J47" s="49"/>
      <c r="L47" s="87"/>
    </row>
    <row r="48" spans="1:12" x14ac:dyDescent="0.25">
      <c r="A48" s="52" t="s">
        <v>128</v>
      </c>
      <c r="B48" s="53"/>
      <c r="C48" s="58"/>
      <c r="D48" s="53"/>
      <c r="E48" s="53"/>
      <c r="F48" s="53"/>
      <c r="G48" s="53"/>
      <c r="H48" s="53"/>
      <c r="I48" s="46">
        <f>I36+I39+I46</f>
        <v>22791.14254925459</v>
      </c>
      <c r="L48" s="87"/>
    </row>
    <row r="49" spans="1:10" x14ac:dyDescent="0.25">
      <c r="A49" s="49"/>
      <c r="B49" s="49"/>
      <c r="C49" s="59"/>
      <c r="D49" s="49"/>
      <c r="E49" s="49"/>
      <c r="F49" s="49"/>
      <c r="G49" s="49"/>
      <c r="H49" s="49"/>
      <c r="I49" s="57"/>
      <c r="J49" s="49"/>
    </row>
    <row r="50" spans="1:10" x14ac:dyDescent="0.25">
      <c r="A50" s="49"/>
      <c r="B50" s="49"/>
      <c r="C50" s="59"/>
      <c r="D50" s="49"/>
      <c r="E50" s="49"/>
      <c r="F50" s="49"/>
      <c r="G50" s="49"/>
      <c r="H50" s="49"/>
      <c r="I50" s="57"/>
      <c r="J50" s="49"/>
    </row>
    <row r="52" spans="1:10" x14ac:dyDescent="0.25">
      <c r="A52" s="103" t="s">
        <v>129</v>
      </c>
      <c r="B52" s="105"/>
      <c r="C52" s="107" t="s">
        <v>145</v>
      </c>
      <c r="D52" s="109" t="s">
        <v>142</v>
      </c>
      <c r="E52" s="109"/>
      <c r="F52" s="109"/>
      <c r="G52" s="110"/>
      <c r="H52" s="111" t="s">
        <v>140</v>
      </c>
      <c r="I52" s="101" t="s">
        <v>117</v>
      </c>
    </row>
    <row r="53" spans="1:10" x14ac:dyDescent="0.25">
      <c r="A53" s="104"/>
      <c r="B53" s="106"/>
      <c r="C53" s="108"/>
      <c r="D53" s="26" t="s">
        <v>118</v>
      </c>
      <c r="E53" s="26" t="s">
        <v>119</v>
      </c>
      <c r="F53" s="26" t="s">
        <v>120</v>
      </c>
      <c r="G53" s="26" t="s">
        <v>121</v>
      </c>
      <c r="H53" s="112"/>
      <c r="I53" s="102"/>
    </row>
    <row r="54" spans="1:10" x14ac:dyDescent="0.25">
      <c r="A54" s="27" t="s">
        <v>23</v>
      </c>
      <c r="B54" s="27" t="s">
        <v>42</v>
      </c>
      <c r="C54" s="28"/>
      <c r="D54" s="27"/>
      <c r="E54" s="27"/>
      <c r="F54" s="27"/>
      <c r="G54" s="27"/>
      <c r="H54" s="27"/>
      <c r="I54" s="29"/>
    </row>
    <row r="55" spans="1:10" x14ac:dyDescent="0.25">
      <c r="A55" s="30" t="s">
        <v>22</v>
      </c>
      <c r="B55" s="31" t="s">
        <v>122</v>
      </c>
      <c r="C55" s="32">
        <f>+GETPIVOTDATA("Sum of 2013 mwh",Pivot!$A$3,"Program","Consumer","Customer Class","Residential","Initiative","Appliance Exchange")*1000</f>
        <v>5076.6053489195292</v>
      </c>
      <c r="D55" s="31">
        <v>1.44E-2</v>
      </c>
      <c r="E55" s="31"/>
      <c r="F55" s="31"/>
      <c r="G55" s="31">
        <f t="shared" ref="G55:G60" si="10">SUM(D55:F55)</f>
        <v>1.44E-2</v>
      </c>
      <c r="H55" s="31">
        <v>1</v>
      </c>
      <c r="I55" s="33">
        <f t="shared" ref="I55:I60" si="11">C55*G55*H55</f>
        <v>73.103117024441218</v>
      </c>
    </row>
    <row r="56" spans="1:10" x14ac:dyDescent="0.25">
      <c r="A56" s="34" t="s">
        <v>25</v>
      </c>
      <c r="B56" s="35" t="s">
        <v>122</v>
      </c>
      <c r="C56" s="32">
        <f>+GETPIVOTDATA("Sum of 2013 mwh",Pivot!$A$3,"Program","Consumer","Customer Class","Residential","Initiative","Appliance Retirement")*1000</f>
        <v>92074.331163822397</v>
      </c>
      <c r="D56" s="35">
        <f>D55</f>
        <v>1.44E-2</v>
      </c>
      <c r="E56" s="35"/>
      <c r="F56" s="35"/>
      <c r="G56" s="35">
        <f t="shared" si="10"/>
        <v>1.44E-2</v>
      </c>
      <c r="H56" s="35">
        <v>1</v>
      </c>
      <c r="I56" s="36">
        <f t="shared" si="11"/>
        <v>1325.8703687590425</v>
      </c>
    </row>
    <row r="57" spans="1:10" x14ac:dyDescent="0.25">
      <c r="A57" s="34" t="s">
        <v>26</v>
      </c>
      <c r="B57" s="35" t="s">
        <v>122</v>
      </c>
      <c r="C57" s="32">
        <f>+GETPIVOTDATA("Sum of 2013 mwh",Pivot!$A$3,"Program","Consumer","Customer Class","Residential","Initiative","Bi-Annual Retailer Event")*1000</f>
        <v>250573.06690992991</v>
      </c>
      <c r="D57" s="35">
        <f>D56</f>
        <v>1.44E-2</v>
      </c>
      <c r="E57" s="35"/>
      <c r="F57" s="35"/>
      <c r="G57" s="35">
        <f t="shared" si="10"/>
        <v>1.44E-2</v>
      </c>
      <c r="H57" s="35">
        <v>1</v>
      </c>
      <c r="I57" s="36">
        <f t="shared" si="11"/>
        <v>3608.2521635029907</v>
      </c>
    </row>
    <row r="58" spans="1:10" x14ac:dyDescent="0.25">
      <c r="A58" s="34" t="s">
        <v>28</v>
      </c>
      <c r="B58" s="35" t="s">
        <v>122</v>
      </c>
      <c r="C58" s="32">
        <f>+GETPIVOTDATA("Sum of 2013 mwh",Pivot!$A$3,"Program","Consumer","Customer Class","Residential","Initiative","Conservation Instant Coupon Booklet")*1000</f>
        <v>14480.322377506214</v>
      </c>
      <c r="D58" s="35">
        <f>D57</f>
        <v>1.44E-2</v>
      </c>
      <c r="E58" s="35"/>
      <c r="F58" s="35"/>
      <c r="G58" s="35">
        <f t="shared" si="10"/>
        <v>1.44E-2</v>
      </c>
      <c r="H58" s="35">
        <v>1</v>
      </c>
      <c r="I58" s="36">
        <f t="shared" si="11"/>
        <v>208.51664223608947</v>
      </c>
    </row>
    <row r="59" spans="1:10" x14ac:dyDescent="0.25">
      <c r="A59" s="22" t="s">
        <v>31</v>
      </c>
      <c r="B59" s="35" t="s">
        <v>122</v>
      </c>
      <c r="C59" s="32">
        <f>+GETPIVOTDATA("Sum of 2013 mwh",Pivot!$A$3,"Program","Consumer","Customer Class","Residential","Initiative","Residential Demand Response")*1000</f>
        <v>0</v>
      </c>
      <c r="D59" s="35">
        <f>D58</f>
        <v>1.44E-2</v>
      </c>
      <c r="E59" s="35"/>
      <c r="F59" s="35"/>
      <c r="G59" s="35">
        <f t="shared" si="10"/>
        <v>1.44E-2</v>
      </c>
      <c r="H59" s="35">
        <v>1</v>
      </c>
      <c r="I59" s="36">
        <f t="shared" si="11"/>
        <v>0</v>
      </c>
    </row>
    <row r="60" spans="1:10" x14ac:dyDescent="0.25">
      <c r="A60" s="34" t="s">
        <v>29</v>
      </c>
      <c r="B60" s="35" t="s">
        <v>122</v>
      </c>
      <c r="C60" s="32">
        <f>+GETPIVOTDATA("Sum of 2013 mwh",Pivot!$A$3,"Program","Consumer","Customer Class","Residential","Initiative","HVAC Incentives")*1000</f>
        <v>306807.98490085348</v>
      </c>
      <c r="D60" s="35">
        <f>D58</f>
        <v>1.44E-2</v>
      </c>
      <c r="E60" s="35"/>
      <c r="F60" s="35"/>
      <c r="G60" s="35">
        <f t="shared" si="10"/>
        <v>1.44E-2</v>
      </c>
      <c r="H60" s="35">
        <v>1</v>
      </c>
      <c r="I60" s="36">
        <f t="shared" si="11"/>
        <v>4418.0349825722897</v>
      </c>
    </row>
    <row r="61" spans="1:10" x14ac:dyDescent="0.25">
      <c r="A61" s="38"/>
      <c r="B61" s="38"/>
      <c r="C61" s="39">
        <f>SUM(C55:C60)</f>
        <v>669012.31070103147</v>
      </c>
      <c r="D61" s="38"/>
      <c r="E61" s="38"/>
      <c r="F61" s="38"/>
      <c r="G61" s="38"/>
      <c r="H61" s="38"/>
      <c r="I61" s="64">
        <f>SUM(I55:I60)</f>
        <v>9633.7772740948531</v>
      </c>
    </row>
    <row r="62" spans="1:10" x14ac:dyDescent="0.25">
      <c r="A62" s="41"/>
      <c r="B62" s="41"/>
      <c r="C62" s="28"/>
      <c r="D62" s="41"/>
      <c r="E62" s="41"/>
      <c r="F62" s="41"/>
      <c r="G62" s="41"/>
      <c r="H62" s="41"/>
      <c r="I62" s="48"/>
    </row>
    <row r="63" spans="1:10" x14ac:dyDescent="0.25">
      <c r="A63" s="42" t="s">
        <v>123</v>
      </c>
      <c r="B63" s="42"/>
      <c r="C63" s="43"/>
      <c r="D63" s="42"/>
      <c r="E63" s="42"/>
      <c r="F63" s="42"/>
      <c r="G63" s="42"/>
      <c r="H63" s="42"/>
      <c r="I63" s="44"/>
    </row>
    <row r="64" spans="1:10" x14ac:dyDescent="0.25">
      <c r="A64" s="45" t="s">
        <v>14</v>
      </c>
      <c r="B64" s="42" t="s">
        <v>122</v>
      </c>
      <c r="C64" s="32">
        <f>+GETPIVOTDATA("Sum of 2013 mwh",Pivot!$A$3,"Customer Class","GS&lt;50 kW")*1000</f>
        <v>46962.25144150421</v>
      </c>
      <c r="D64" s="42">
        <v>1.9699999999999999E-2</v>
      </c>
      <c r="E64" s="42"/>
      <c r="F64" s="42"/>
      <c r="G64" s="42">
        <f t="shared" ref="G64" si="12">SUM(D64:F64)</f>
        <v>1.9699999999999999E-2</v>
      </c>
      <c r="H64" s="42">
        <v>1</v>
      </c>
      <c r="I64" s="44">
        <f>C64*G64*H64</f>
        <v>925.15635339763287</v>
      </c>
    </row>
    <row r="65" spans="1:9" x14ac:dyDescent="0.25">
      <c r="A65" s="27"/>
      <c r="B65" s="27"/>
      <c r="C65" s="28"/>
      <c r="D65" s="27"/>
      <c r="E65" s="27"/>
      <c r="F65" s="27"/>
      <c r="G65" s="27"/>
      <c r="H65" s="27"/>
      <c r="I65" s="29"/>
    </row>
    <row r="66" spans="1:9" x14ac:dyDescent="0.25">
      <c r="A66" s="41" t="s">
        <v>124</v>
      </c>
      <c r="B66" s="41"/>
      <c r="C66" s="47"/>
      <c r="D66" s="41"/>
      <c r="E66" s="41"/>
      <c r="F66" s="41"/>
      <c r="G66" s="41"/>
      <c r="H66" s="41"/>
      <c r="I66" s="48"/>
    </row>
    <row r="67" spans="1:9" x14ac:dyDescent="0.25">
      <c r="A67" s="30" t="s">
        <v>39</v>
      </c>
      <c r="B67" s="31" t="s">
        <v>125</v>
      </c>
      <c r="C67" s="32">
        <f>+GETPIVOTDATA("Sum of 2013 mw",Pivot!$A$3,"Program","Business","Customer Class","GS&gt;50 kW","Initiative","Demand Response 3 (part of the Industrial program schedule)")*1000</f>
        <v>0</v>
      </c>
      <c r="D67" s="31">
        <v>3.9830999999999999</v>
      </c>
      <c r="E67" s="31"/>
      <c r="F67" s="61"/>
      <c r="G67" s="31">
        <f t="shared" ref="G67:G70" si="13">SUM(D67:F67)</f>
        <v>3.9830999999999999</v>
      </c>
      <c r="H67" s="31">
        <v>1</v>
      </c>
      <c r="I67" s="33">
        <f t="shared" ref="I67:I70" si="14">C67*G67*H67</f>
        <v>0</v>
      </c>
    </row>
    <row r="68" spans="1:9" x14ac:dyDescent="0.25">
      <c r="A68" s="34" t="s">
        <v>35</v>
      </c>
      <c r="B68" s="35" t="s">
        <v>125</v>
      </c>
      <c r="C68" s="32">
        <f>+GETPIVOTDATA("Sum of 2013 mw",Pivot!$A$3,"Program","Industrial","Customer Class","GS&gt;50 kW","Initiative","Demand Response 3")*1000</f>
        <v>0</v>
      </c>
      <c r="D68" s="31">
        <v>3.9830999999999999</v>
      </c>
      <c r="E68" s="31"/>
      <c r="F68" s="61"/>
      <c r="G68" s="31">
        <f t="shared" si="13"/>
        <v>3.9830999999999999</v>
      </c>
      <c r="H68" s="31">
        <v>1</v>
      </c>
      <c r="I68" s="33">
        <f t="shared" si="14"/>
        <v>0</v>
      </c>
    </row>
    <row r="69" spans="1:9" x14ac:dyDescent="0.25">
      <c r="A69" s="34" t="s">
        <v>20</v>
      </c>
      <c r="B69" s="35" t="s">
        <v>125</v>
      </c>
      <c r="C69" s="32">
        <f>+GETPIVOTDATA("Sum of 2013 mw",Pivot!$A$3,"Program","Business","Customer Class","GS&gt;50 kW","Initiative","Retrofit")*1000</f>
        <v>245.3393881703127</v>
      </c>
      <c r="D69" s="31">
        <v>3.9830999999999999</v>
      </c>
      <c r="E69" s="31"/>
      <c r="F69" s="61"/>
      <c r="G69" s="31">
        <f t="shared" si="13"/>
        <v>3.9830999999999999</v>
      </c>
      <c r="H69" s="31">
        <v>12</v>
      </c>
      <c r="I69" s="33">
        <f t="shared" si="14"/>
        <v>11726.53580425407</v>
      </c>
    </row>
    <row r="70" spans="1:9" x14ac:dyDescent="0.25">
      <c r="A70" s="50" t="s">
        <v>38</v>
      </c>
      <c r="B70" s="37" t="s">
        <v>125</v>
      </c>
      <c r="C70" s="32">
        <f>+GETPIVOTDATA("Sum of 2013 mw",Pivot!$A$3,"Program","Pre-2011 Programs Completed in 2011","Customer Class","GS&gt;50 kW","Initiative","High Performance New Construction")*1000</f>
        <v>2.913503865136903</v>
      </c>
      <c r="D70" s="31">
        <v>3.9830999999999999</v>
      </c>
      <c r="E70" s="31"/>
      <c r="F70" s="61"/>
      <c r="G70" s="31">
        <f t="shared" si="13"/>
        <v>3.9830999999999999</v>
      </c>
      <c r="H70" s="31">
        <v>12</v>
      </c>
      <c r="I70" s="33">
        <f t="shared" si="14"/>
        <v>139.25732694272156</v>
      </c>
    </row>
    <row r="71" spans="1:9" x14ac:dyDescent="0.25">
      <c r="A71" s="52"/>
      <c r="B71" s="53"/>
      <c r="C71" s="46">
        <f>SUM(C67:C70)</f>
        <v>248.25289203544961</v>
      </c>
      <c r="D71" s="38"/>
      <c r="E71" s="38"/>
      <c r="F71" s="38"/>
      <c r="G71" s="38"/>
      <c r="H71" s="38"/>
      <c r="I71" s="60">
        <f>SUM(I67:I70)</f>
        <v>11865.793131196791</v>
      </c>
    </row>
    <row r="72" spans="1:9" x14ac:dyDescent="0.25">
      <c r="A72" s="49"/>
      <c r="B72" s="49"/>
      <c r="C72" s="59"/>
      <c r="D72" s="49"/>
      <c r="E72" s="49"/>
      <c r="F72" s="49"/>
      <c r="G72" s="49"/>
      <c r="H72" s="49"/>
      <c r="I72" s="57"/>
    </row>
    <row r="73" spans="1:9" x14ac:dyDescent="0.25">
      <c r="A73" s="52" t="s">
        <v>128</v>
      </c>
      <c r="B73" s="53"/>
      <c r="C73" s="58"/>
      <c r="D73" s="53"/>
      <c r="E73" s="53"/>
      <c r="F73" s="53"/>
      <c r="G73" s="53"/>
      <c r="H73" s="53"/>
      <c r="I73" s="46">
        <f>I61+I64+I71</f>
        <v>22424.726758689278</v>
      </c>
    </row>
    <row r="76" spans="1:9" ht="15" customHeight="1" x14ac:dyDescent="0.25">
      <c r="A76" s="103" t="s">
        <v>132</v>
      </c>
      <c r="B76" s="105"/>
      <c r="C76" s="107" t="s">
        <v>145</v>
      </c>
      <c r="D76" s="109" t="s">
        <v>141</v>
      </c>
      <c r="E76" s="109"/>
      <c r="F76" s="109"/>
      <c r="G76" s="110"/>
      <c r="H76" s="111" t="s">
        <v>140</v>
      </c>
      <c r="I76" s="101" t="s">
        <v>117</v>
      </c>
    </row>
    <row r="77" spans="1:9" x14ac:dyDescent="0.25">
      <c r="A77" s="104"/>
      <c r="B77" s="106"/>
      <c r="C77" s="108"/>
      <c r="D77" s="66" t="s">
        <v>118</v>
      </c>
      <c r="E77" s="66" t="s">
        <v>119</v>
      </c>
      <c r="F77" s="66" t="s">
        <v>120</v>
      </c>
      <c r="G77" s="66" t="s">
        <v>121</v>
      </c>
      <c r="H77" s="112"/>
      <c r="I77" s="102"/>
    </row>
    <row r="78" spans="1:9" x14ac:dyDescent="0.25">
      <c r="A78" s="27" t="s">
        <v>23</v>
      </c>
      <c r="B78" s="27" t="s">
        <v>42</v>
      </c>
      <c r="C78" s="28"/>
      <c r="D78" s="27"/>
      <c r="E78" s="27"/>
      <c r="F78" s="27"/>
      <c r="G78" s="27"/>
      <c r="H78" s="27"/>
      <c r="I78" s="29"/>
    </row>
    <row r="79" spans="1:9" x14ac:dyDescent="0.25">
      <c r="A79" s="30" t="s">
        <v>22</v>
      </c>
      <c r="B79" s="31" t="s">
        <v>122</v>
      </c>
      <c r="C79" s="32">
        <f>+GETPIVOTDATA("Sum of 2014 mwh",Pivot!$A$3,"Program","Consumer","Customer Class","Residential","Initiative","Appliance Exchange")*1000</f>
        <v>5076.6053489195292</v>
      </c>
      <c r="D79" s="31">
        <v>1.46E-2</v>
      </c>
      <c r="E79" s="31"/>
      <c r="F79" s="31"/>
      <c r="G79" s="31">
        <f t="shared" ref="G79:G84" si="15">SUM(D79:F79)</f>
        <v>1.46E-2</v>
      </c>
      <c r="H79" s="31">
        <v>1</v>
      </c>
      <c r="I79" s="33">
        <f t="shared" ref="I79:I84" si="16">C79*G79*H79</f>
        <v>74.118438094225127</v>
      </c>
    </row>
    <row r="80" spans="1:9" x14ac:dyDescent="0.25">
      <c r="A80" s="34" t="s">
        <v>25</v>
      </c>
      <c r="B80" s="35" t="s">
        <v>122</v>
      </c>
      <c r="C80" s="32">
        <f>+GETPIVOTDATA("Sum of 2014 mwh",Pivot!$A$3,"Program","Consumer","Customer Class","Residential","Initiative","Appliance Retirement")*1000</f>
        <v>92074.331163822397</v>
      </c>
      <c r="D80" s="35">
        <f>D79</f>
        <v>1.46E-2</v>
      </c>
      <c r="E80" s="35"/>
      <c r="F80" s="35"/>
      <c r="G80" s="35">
        <f t="shared" si="15"/>
        <v>1.46E-2</v>
      </c>
      <c r="H80" s="35">
        <v>1</v>
      </c>
      <c r="I80" s="36">
        <f t="shared" si="16"/>
        <v>1344.2852349918071</v>
      </c>
    </row>
    <row r="81" spans="1:9" x14ac:dyDescent="0.25">
      <c r="A81" s="34" t="s">
        <v>26</v>
      </c>
      <c r="B81" s="35" t="s">
        <v>122</v>
      </c>
      <c r="C81" s="32">
        <f>+GETPIVOTDATA("Sum of 2014 mwh",Pivot!$A$3,"Program","Consumer","Customer Class","Residential","Initiative","Bi-Annual Retailer Event")*1000</f>
        <v>250573.06690992991</v>
      </c>
      <c r="D81" s="35">
        <f>D80</f>
        <v>1.46E-2</v>
      </c>
      <c r="E81" s="35"/>
      <c r="F81" s="35"/>
      <c r="G81" s="35">
        <f t="shared" si="15"/>
        <v>1.46E-2</v>
      </c>
      <c r="H81" s="35">
        <v>1</v>
      </c>
      <c r="I81" s="36">
        <f t="shared" si="16"/>
        <v>3658.3667768849768</v>
      </c>
    </row>
    <row r="82" spans="1:9" x14ac:dyDescent="0.25">
      <c r="A82" s="34" t="s">
        <v>28</v>
      </c>
      <c r="B82" s="35" t="s">
        <v>122</v>
      </c>
      <c r="C82" s="32">
        <f>+GETPIVOTDATA("Sum of 2014 mwh",Pivot!$A$3,"Program","Consumer","Customer Class","Residential","Initiative","Conservation Instant Coupon Booklet")*1000</f>
        <v>14480.322377506214</v>
      </c>
      <c r="D82" s="35">
        <f>D81</f>
        <v>1.46E-2</v>
      </c>
      <c r="E82" s="35"/>
      <c r="F82" s="35"/>
      <c r="G82" s="35">
        <f t="shared" si="15"/>
        <v>1.46E-2</v>
      </c>
      <c r="H82" s="35">
        <v>1</v>
      </c>
      <c r="I82" s="36">
        <f t="shared" si="16"/>
        <v>211.41270671159074</v>
      </c>
    </row>
    <row r="83" spans="1:9" x14ac:dyDescent="0.25">
      <c r="A83" s="22" t="s">
        <v>31</v>
      </c>
      <c r="B83" s="35" t="s">
        <v>122</v>
      </c>
      <c r="C83" s="32">
        <f>+GETPIVOTDATA("Sum of 2014 mwh",Pivot!$A$3,"Program","Consumer","Customer Class","Residential","Initiative","Residential Demand Response")*1000</f>
        <v>0</v>
      </c>
      <c r="D83" s="35">
        <f>D82</f>
        <v>1.46E-2</v>
      </c>
      <c r="E83" s="35"/>
      <c r="F83" s="35"/>
      <c r="G83" s="35">
        <f t="shared" si="15"/>
        <v>1.46E-2</v>
      </c>
      <c r="H83" s="35">
        <v>1</v>
      </c>
      <c r="I83" s="36">
        <f t="shared" si="16"/>
        <v>0</v>
      </c>
    </row>
    <row r="84" spans="1:9" x14ac:dyDescent="0.25">
      <c r="A84" s="34" t="s">
        <v>29</v>
      </c>
      <c r="B84" s="35" t="s">
        <v>122</v>
      </c>
      <c r="C84" s="32">
        <f>+GETPIVOTDATA("Sum of 2014 mwh",Pivot!$A$3,"Program","Consumer","Customer Class","Residential","Initiative","HVAC Incentives")*1000</f>
        <v>306807.98490085348</v>
      </c>
      <c r="D84" s="35">
        <f>D82</f>
        <v>1.46E-2</v>
      </c>
      <c r="E84" s="35"/>
      <c r="F84" s="35"/>
      <c r="G84" s="35">
        <f t="shared" si="15"/>
        <v>1.46E-2</v>
      </c>
      <c r="H84" s="35">
        <v>1</v>
      </c>
      <c r="I84" s="36">
        <f t="shared" si="16"/>
        <v>4479.3965795524609</v>
      </c>
    </row>
    <row r="85" spans="1:9" x14ac:dyDescent="0.25">
      <c r="A85" s="38"/>
      <c r="B85" s="38"/>
      <c r="C85" s="39">
        <f>SUM(C79:C84)</f>
        <v>669012.31070103147</v>
      </c>
      <c r="D85" s="38"/>
      <c r="E85" s="38"/>
      <c r="F85" s="38"/>
      <c r="G85" s="38"/>
      <c r="H85" s="38"/>
      <c r="I85" s="64">
        <f>SUM(I79:I84)</f>
        <v>9767.5797362350604</v>
      </c>
    </row>
    <row r="86" spans="1:9" x14ac:dyDescent="0.25">
      <c r="A86" s="41"/>
      <c r="B86" s="41"/>
      <c r="C86" s="28"/>
      <c r="D86" s="41"/>
      <c r="E86" s="41"/>
      <c r="F86" s="41"/>
      <c r="G86" s="41"/>
      <c r="H86" s="41"/>
      <c r="I86" s="48"/>
    </row>
    <row r="87" spans="1:9" x14ac:dyDescent="0.25">
      <c r="A87" s="42" t="s">
        <v>123</v>
      </c>
      <c r="B87" s="42"/>
      <c r="C87" s="43"/>
      <c r="D87" s="42"/>
      <c r="E87" s="42"/>
      <c r="F87" s="42"/>
      <c r="G87" s="42"/>
      <c r="H87" s="42"/>
      <c r="I87" s="44"/>
    </row>
    <row r="88" spans="1:9" x14ac:dyDescent="0.25">
      <c r="A88" s="45" t="s">
        <v>14</v>
      </c>
      <c r="B88" s="42" t="s">
        <v>122</v>
      </c>
      <c r="C88" s="32">
        <f>+GETPIVOTDATA("Sum of 2014 mwh",Pivot!$A$3,"Customer Class","GS&lt;50 kW")*1000</f>
        <v>46414.245595325643</v>
      </c>
      <c r="D88" s="42">
        <v>0.02</v>
      </c>
      <c r="E88" s="42"/>
      <c r="F88" s="42"/>
      <c r="G88" s="42">
        <f t="shared" ref="G88" si="17">SUM(D88:F88)</f>
        <v>0.02</v>
      </c>
      <c r="H88" s="42">
        <v>1</v>
      </c>
      <c r="I88" s="44">
        <f>C88*G88*H88</f>
        <v>928.28491190651289</v>
      </c>
    </row>
    <row r="89" spans="1:9" x14ac:dyDescent="0.25">
      <c r="A89" s="27"/>
      <c r="B89" s="27"/>
      <c r="C89" s="28"/>
      <c r="D89" s="27"/>
      <c r="E89" s="27"/>
      <c r="F89" s="27"/>
      <c r="G89" s="27"/>
      <c r="H89" s="27"/>
      <c r="I89" s="29"/>
    </row>
    <row r="90" spans="1:9" x14ac:dyDescent="0.25">
      <c r="A90" s="41" t="s">
        <v>124</v>
      </c>
      <c r="B90" s="41"/>
      <c r="C90" s="47"/>
      <c r="D90" s="41"/>
      <c r="E90" s="41"/>
      <c r="F90" s="41"/>
      <c r="G90" s="41"/>
      <c r="H90" s="41"/>
      <c r="I90" s="48"/>
    </row>
    <row r="91" spans="1:9" x14ac:dyDescent="0.25">
      <c r="A91" s="30" t="s">
        <v>39</v>
      </c>
      <c r="B91" s="31" t="s">
        <v>125</v>
      </c>
      <c r="C91" s="32">
        <f>+GETPIVOTDATA("Sum of 2014 mw",Pivot!$A$3,"Program","Business","Customer Class","GS&gt;50 kW","Initiative","Demand Response 3 (part of the Industrial program schedule)")*1000</f>
        <v>0</v>
      </c>
      <c r="D91" s="31">
        <v>4.0388999999999999</v>
      </c>
      <c r="E91" s="31"/>
      <c r="F91" s="61"/>
      <c r="G91" s="31">
        <f t="shared" ref="G91:G94" si="18">SUM(D91:F91)</f>
        <v>4.0388999999999999</v>
      </c>
      <c r="H91" s="31">
        <v>1</v>
      </c>
      <c r="I91" s="33">
        <f t="shared" ref="I91:I94" si="19">C91*G91*H91</f>
        <v>0</v>
      </c>
    </row>
    <row r="92" spans="1:9" x14ac:dyDescent="0.25">
      <c r="A92" s="34" t="s">
        <v>35</v>
      </c>
      <c r="B92" s="35" t="s">
        <v>125</v>
      </c>
      <c r="C92" s="32">
        <f>+GETPIVOTDATA("Sum of 2014 mw",Pivot!$A$3,"Program","Industrial","Customer Class","GS&gt;50 kW","Initiative","Demand Response 3")*1000</f>
        <v>0</v>
      </c>
      <c r="D92" s="31">
        <f>+D91</f>
        <v>4.0388999999999999</v>
      </c>
      <c r="E92" s="31"/>
      <c r="F92" s="61"/>
      <c r="G92" s="31">
        <f t="shared" si="18"/>
        <v>4.0388999999999999</v>
      </c>
      <c r="H92" s="31">
        <v>1</v>
      </c>
      <c r="I92" s="33">
        <f t="shared" si="19"/>
        <v>0</v>
      </c>
    </row>
    <row r="93" spans="1:9" x14ac:dyDescent="0.25">
      <c r="A93" s="34" t="s">
        <v>20</v>
      </c>
      <c r="B93" s="35" t="s">
        <v>125</v>
      </c>
      <c r="C93" s="32">
        <f>+GETPIVOTDATA("Sum of 2014 mw",Pivot!$A$3,"Program","Business","Customer Class","GS&gt;50 kW","Initiative","Retrofit")*1000</f>
        <v>245.3393881703127</v>
      </c>
      <c r="D93" s="31">
        <f>+D92</f>
        <v>4.0388999999999999</v>
      </c>
      <c r="E93" s="31"/>
      <c r="F93" s="61"/>
      <c r="G93" s="31">
        <f t="shared" si="18"/>
        <v>4.0388999999999999</v>
      </c>
      <c r="H93" s="31">
        <v>12</v>
      </c>
      <c r="I93" s="33">
        <f t="shared" si="19"/>
        <v>11890.815058572911</v>
      </c>
    </row>
    <row r="94" spans="1:9" x14ac:dyDescent="0.25">
      <c r="A94" s="50" t="s">
        <v>38</v>
      </c>
      <c r="B94" s="37" t="s">
        <v>125</v>
      </c>
      <c r="C94" s="32">
        <f>+GETPIVOTDATA("Sum of 2014 mw",Pivot!$A$3,"Program","Pre-2011 Programs Completed in 2011","Customer Class","GS&gt;50 kW","Initiative","High Performance New Construction")*1000</f>
        <v>2.913503865136903</v>
      </c>
      <c r="D94" s="31">
        <f>+D93</f>
        <v>4.0388999999999999</v>
      </c>
      <c r="E94" s="31"/>
      <c r="F94" s="61"/>
      <c r="G94" s="31">
        <f t="shared" si="18"/>
        <v>4.0388999999999999</v>
      </c>
      <c r="H94" s="31">
        <v>12</v>
      </c>
      <c r="I94" s="33">
        <f t="shared" si="19"/>
        <v>141.20820913081724</v>
      </c>
    </row>
    <row r="95" spans="1:9" x14ac:dyDescent="0.25">
      <c r="A95" s="52"/>
      <c r="B95" s="53"/>
      <c r="C95" s="46">
        <f>SUM(C91:C94)</f>
        <v>248.25289203544961</v>
      </c>
      <c r="D95" s="38"/>
      <c r="E95" s="38"/>
      <c r="F95" s="38"/>
      <c r="G95" s="38"/>
      <c r="H95" s="38"/>
      <c r="I95" s="60">
        <f>SUM(I91:I94)</f>
        <v>12032.023267703727</v>
      </c>
    </row>
    <row r="96" spans="1:9" x14ac:dyDescent="0.25">
      <c r="A96" s="49"/>
      <c r="B96" s="49"/>
      <c r="C96" s="59"/>
      <c r="D96" s="49"/>
      <c r="E96" s="49"/>
      <c r="F96" s="49"/>
      <c r="G96" s="49"/>
      <c r="H96" s="49"/>
      <c r="I96" s="57"/>
    </row>
    <row r="97" spans="1:9" x14ac:dyDescent="0.25">
      <c r="A97" s="52" t="s">
        <v>128</v>
      </c>
      <c r="B97" s="53"/>
      <c r="C97" s="58"/>
      <c r="D97" s="53"/>
      <c r="E97" s="53"/>
      <c r="F97" s="53"/>
      <c r="G97" s="53"/>
      <c r="H97" s="53"/>
      <c r="I97" s="46">
        <f>I85+I88+I95</f>
        <v>22727.887915845298</v>
      </c>
    </row>
    <row r="99" spans="1:9" x14ac:dyDescent="0.25">
      <c r="A99" s="103" t="s">
        <v>135</v>
      </c>
      <c r="B99" s="105"/>
      <c r="C99" s="107" t="s">
        <v>145</v>
      </c>
      <c r="D99" s="109" t="s">
        <v>141</v>
      </c>
      <c r="E99" s="109"/>
      <c r="F99" s="109"/>
      <c r="G99" s="110"/>
      <c r="H99" s="111" t="s">
        <v>140</v>
      </c>
      <c r="I99" s="101" t="s">
        <v>117</v>
      </c>
    </row>
    <row r="100" spans="1:9" x14ac:dyDescent="0.25">
      <c r="A100" s="104"/>
      <c r="B100" s="106"/>
      <c r="C100" s="108"/>
      <c r="D100" s="67" t="s">
        <v>118</v>
      </c>
      <c r="E100" s="67" t="s">
        <v>119</v>
      </c>
      <c r="F100" s="67" t="s">
        <v>120</v>
      </c>
      <c r="G100" s="67" t="s">
        <v>121</v>
      </c>
      <c r="H100" s="112"/>
      <c r="I100" s="102"/>
    </row>
    <row r="101" spans="1:9" x14ac:dyDescent="0.25">
      <c r="A101" s="27" t="s">
        <v>23</v>
      </c>
      <c r="B101" s="27" t="s">
        <v>42</v>
      </c>
      <c r="C101" s="28"/>
      <c r="D101" s="27"/>
      <c r="E101" s="27"/>
      <c r="F101" s="27"/>
      <c r="G101" s="27"/>
      <c r="H101" s="27"/>
      <c r="I101" s="29"/>
    </row>
    <row r="102" spans="1:9" x14ac:dyDescent="0.25">
      <c r="A102" s="30" t="s">
        <v>22</v>
      </c>
      <c r="B102" s="31" t="s">
        <v>122</v>
      </c>
      <c r="C102" s="32">
        <f>+GETPIVOTDATA("Sum of 2015 mwh",Pivot!$A$3,"Program","Consumer","Customer Class","Residential","Initiative","Appliance Exchange")*1000</f>
        <v>5060.1592291042107</v>
      </c>
      <c r="D102" s="31">
        <v>1.4800000000000001E-2</v>
      </c>
      <c r="E102" s="31"/>
      <c r="F102" s="31"/>
      <c r="G102" s="31">
        <f t="shared" ref="G102:G107" si="20">SUM(D102:F102)</f>
        <v>1.4800000000000001E-2</v>
      </c>
      <c r="H102" s="31">
        <v>1</v>
      </c>
      <c r="I102" s="33">
        <f t="shared" ref="I102:I107" si="21">C102*G102*H102</f>
        <v>74.890356590742314</v>
      </c>
    </row>
    <row r="103" spans="1:9" x14ac:dyDescent="0.25">
      <c r="A103" s="34" t="s">
        <v>25</v>
      </c>
      <c r="B103" s="35" t="s">
        <v>122</v>
      </c>
      <c r="C103" s="32">
        <f>+GETPIVOTDATA("Sum of 2015 mwh",Pivot!$A$3,"Program","Consumer","Customer Class","Residential","Initiative","Appliance Retirement")*1000</f>
        <v>91869.361053822387</v>
      </c>
      <c r="D103" s="35">
        <f>D102</f>
        <v>1.4800000000000001E-2</v>
      </c>
      <c r="E103" s="35"/>
      <c r="F103" s="35"/>
      <c r="G103" s="35">
        <f t="shared" si="20"/>
        <v>1.4800000000000001E-2</v>
      </c>
      <c r="H103" s="35">
        <v>1</v>
      </c>
      <c r="I103" s="36">
        <f t="shared" si="21"/>
        <v>1359.6665435965715</v>
      </c>
    </row>
    <row r="104" spans="1:9" x14ac:dyDescent="0.25">
      <c r="A104" s="34" t="s">
        <v>26</v>
      </c>
      <c r="B104" s="35" t="s">
        <v>122</v>
      </c>
      <c r="C104" s="32">
        <f>+GETPIVOTDATA("Sum of 2015 mwh",Pivot!$A$3,"Program","Consumer","Customer Class","Residential","Initiative","Bi-Annual Retailer Event")*1000</f>
        <v>250573.06690992991</v>
      </c>
      <c r="D104" s="35">
        <f>D103</f>
        <v>1.4800000000000001E-2</v>
      </c>
      <c r="E104" s="35"/>
      <c r="F104" s="35"/>
      <c r="G104" s="35">
        <f t="shared" si="20"/>
        <v>1.4800000000000001E-2</v>
      </c>
      <c r="H104" s="35">
        <v>1</v>
      </c>
      <c r="I104" s="36">
        <f t="shared" si="21"/>
        <v>3708.481390266963</v>
      </c>
    </row>
    <row r="105" spans="1:9" x14ac:dyDescent="0.25">
      <c r="A105" s="34" t="s">
        <v>28</v>
      </c>
      <c r="B105" s="35" t="s">
        <v>122</v>
      </c>
      <c r="C105" s="32">
        <f>+GETPIVOTDATA("Sum of 2015 mwh",Pivot!$A$3,"Program","Consumer","Customer Class","Residential","Initiative","Conservation Instant Coupon Booklet")*1000</f>
        <v>14480.322377506214</v>
      </c>
      <c r="D105" s="35">
        <f>D104</f>
        <v>1.4800000000000001E-2</v>
      </c>
      <c r="E105" s="35"/>
      <c r="F105" s="35"/>
      <c r="G105" s="35">
        <f t="shared" si="20"/>
        <v>1.4800000000000001E-2</v>
      </c>
      <c r="H105" s="35">
        <v>1</v>
      </c>
      <c r="I105" s="36">
        <f t="shared" si="21"/>
        <v>214.30877118709199</v>
      </c>
    </row>
    <row r="106" spans="1:9" x14ac:dyDescent="0.25">
      <c r="A106" s="22" t="s">
        <v>31</v>
      </c>
      <c r="B106" s="35" t="s">
        <v>122</v>
      </c>
      <c r="C106" s="32">
        <f>+GETPIVOTDATA("Sum of 2015 mwh",Pivot!$A$3,"Program","Consumer","Customer Class","Residential","Initiative","Residential Demand Response")*1000</f>
        <v>0</v>
      </c>
      <c r="D106" s="35">
        <f>D105</f>
        <v>1.4800000000000001E-2</v>
      </c>
      <c r="E106" s="35"/>
      <c r="F106" s="35"/>
      <c r="G106" s="35">
        <f t="shared" si="20"/>
        <v>1.4800000000000001E-2</v>
      </c>
      <c r="H106" s="35">
        <v>1</v>
      </c>
      <c r="I106" s="36">
        <f t="shared" si="21"/>
        <v>0</v>
      </c>
    </row>
    <row r="107" spans="1:9" x14ac:dyDescent="0.25">
      <c r="A107" s="34" t="s">
        <v>29</v>
      </c>
      <c r="B107" s="35" t="s">
        <v>122</v>
      </c>
      <c r="C107" s="32">
        <f>+GETPIVOTDATA("Sum of 2015 mwh",Pivot!$A$3,"Program","Consumer","Customer Class","Residential","Initiative","HVAC Incentives")*1000</f>
        <v>306807.98490085348</v>
      </c>
      <c r="D107" s="35">
        <f>D105</f>
        <v>1.4800000000000001E-2</v>
      </c>
      <c r="E107" s="35"/>
      <c r="F107" s="35"/>
      <c r="G107" s="35">
        <f t="shared" si="20"/>
        <v>1.4800000000000001E-2</v>
      </c>
      <c r="H107" s="35">
        <v>1</v>
      </c>
      <c r="I107" s="36">
        <f t="shared" si="21"/>
        <v>4540.7581765326313</v>
      </c>
    </row>
    <row r="108" spans="1:9" x14ac:dyDescent="0.25">
      <c r="A108" s="38"/>
      <c r="B108" s="38"/>
      <c r="C108" s="39">
        <f>SUM(C102:C107)</f>
        <v>668790.89447121625</v>
      </c>
      <c r="D108" s="38"/>
      <c r="E108" s="38"/>
      <c r="F108" s="38"/>
      <c r="G108" s="38"/>
      <c r="H108" s="38"/>
      <c r="I108" s="64">
        <f>SUM(I102:I107)</f>
        <v>9898.105238174001</v>
      </c>
    </row>
    <row r="109" spans="1:9" x14ac:dyDescent="0.25">
      <c r="A109" s="41"/>
      <c r="B109" s="41"/>
      <c r="C109" s="28"/>
      <c r="D109" s="41"/>
      <c r="E109" s="41"/>
      <c r="F109" s="41"/>
      <c r="G109" s="41"/>
      <c r="H109" s="41"/>
      <c r="I109" s="48"/>
    </row>
    <row r="110" spans="1:9" x14ac:dyDescent="0.25">
      <c r="A110" s="42" t="s">
        <v>123</v>
      </c>
      <c r="B110" s="42"/>
      <c r="C110" s="43"/>
      <c r="D110" s="42"/>
      <c r="E110" s="42"/>
      <c r="F110" s="42"/>
      <c r="G110" s="42"/>
      <c r="H110" s="42"/>
      <c r="I110" s="44"/>
    </row>
    <row r="111" spans="1:9" x14ac:dyDescent="0.25">
      <c r="A111" s="45" t="s">
        <v>14</v>
      </c>
      <c r="B111" s="42" t="s">
        <v>122</v>
      </c>
      <c r="C111" s="32">
        <f>+GETPIVOTDATA("Sum of 2015 mwh",Pivot!$A$3,"Customer Class","GS&lt;50 kW")*1000</f>
        <v>34154.156065743497</v>
      </c>
      <c r="D111" s="42">
        <v>2.0299999999999999E-2</v>
      </c>
      <c r="E111" s="42"/>
      <c r="F111" s="42"/>
      <c r="G111" s="42">
        <f t="shared" ref="G111" si="22">SUM(D111:F111)</f>
        <v>2.0299999999999999E-2</v>
      </c>
      <c r="H111" s="42">
        <v>1</v>
      </c>
      <c r="I111" s="44">
        <f>C111*G111*H111</f>
        <v>693.32936813459298</v>
      </c>
    </row>
    <row r="112" spans="1:9" x14ac:dyDescent="0.25">
      <c r="A112" s="27"/>
      <c r="B112" s="27"/>
      <c r="C112" s="28"/>
      <c r="D112" s="27"/>
      <c r="E112" s="27"/>
      <c r="F112" s="27"/>
      <c r="G112" s="27"/>
      <c r="H112" s="27"/>
      <c r="I112" s="29"/>
    </row>
    <row r="113" spans="1:9" x14ac:dyDescent="0.25">
      <c r="A113" s="41" t="s">
        <v>124</v>
      </c>
      <c r="B113" s="41"/>
      <c r="C113" s="47"/>
      <c r="D113" s="41"/>
      <c r="E113" s="41"/>
      <c r="F113" s="41"/>
      <c r="G113" s="41"/>
      <c r="H113" s="41"/>
      <c r="I113" s="48"/>
    </row>
    <row r="114" spans="1:9" x14ac:dyDescent="0.25">
      <c r="A114" s="30" t="s">
        <v>39</v>
      </c>
      <c r="B114" s="31" t="s">
        <v>125</v>
      </c>
      <c r="C114" s="32">
        <f>+GETPIVOTDATA("Sum of 2015 mw",Pivot!$A$3,"Program","Business","Customer Class","GS&gt;50 kW","Initiative","Demand Response 3 (part of the Industrial program schedule)")*1000</f>
        <v>0</v>
      </c>
      <c r="D114" s="31">
        <v>4.0914000000000001</v>
      </c>
      <c r="E114" s="31"/>
      <c r="F114" s="61"/>
      <c r="G114" s="31">
        <f t="shared" ref="G114:G117" si="23">SUM(D114:F114)</f>
        <v>4.0914000000000001</v>
      </c>
      <c r="H114" s="31">
        <v>1</v>
      </c>
      <c r="I114" s="33">
        <f t="shared" ref="I114:I117" si="24">C114*G114*H114</f>
        <v>0</v>
      </c>
    </row>
    <row r="115" spans="1:9" x14ac:dyDescent="0.25">
      <c r="A115" s="34" t="s">
        <v>35</v>
      </c>
      <c r="B115" s="35" t="s">
        <v>125</v>
      </c>
      <c r="C115" s="32">
        <f>+GETPIVOTDATA("Sum of 2015 mw",Pivot!$A$3,"Program","Industrial","Customer Class","GS&gt;50 kW","Initiative","Demand Response 3")*1000</f>
        <v>0</v>
      </c>
      <c r="D115" s="31">
        <f>+D114</f>
        <v>4.0914000000000001</v>
      </c>
      <c r="E115" s="31"/>
      <c r="F115" s="61"/>
      <c r="G115" s="31">
        <f t="shared" si="23"/>
        <v>4.0914000000000001</v>
      </c>
      <c r="H115" s="31">
        <v>1</v>
      </c>
      <c r="I115" s="33">
        <f t="shared" si="24"/>
        <v>0</v>
      </c>
    </row>
    <row r="116" spans="1:9" x14ac:dyDescent="0.25">
      <c r="A116" s="34" t="s">
        <v>20</v>
      </c>
      <c r="B116" s="35" t="s">
        <v>125</v>
      </c>
      <c r="C116" s="32">
        <f>+GETPIVOTDATA("Sum of 2015 mw",Pivot!$A$3,"Program","Business","Customer Class","GS&gt;50 kW","Initiative","Retrofit")*1000</f>
        <v>241.35627899876721</v>
      </c>
      <c r="D116" s="31">
        <f>+D115</f>
        <v>4.0914000000000001</v>
      </c>
      <c r="E116" s="31"/>
      <c r="F116" s="61"/>
      <c r="G116" s="31">
        <f t="shared" si="23"/>
        <v>4.0914000000000001</v>
      </c>
      <c r="H116" s="31">
        <v>12</v>
      </c>
      <c r="I116" s="33">
        <f t="shared" si="24"/>
        <v>11849.820958746674</v>
      </c>
    </row>
    <row r="117" spans="1:9" x14ac:dyDescent="0.25">
      <c r="A117" s="50" t="s">
        <v>38</v>
      </c>
      <c r="B117" s="37" t="s">
        <v>125</v>
      </c>
      <c r="C117" s="32">
        <f>+GETPIVOTDATA("Sum of 2015 mw",Pivot!$A$3,"Program","Pre-2011 Programs Completed in 2011","Customer Class","GS&gt;50 kW","Initiative","High Performance New Construction")*1000</f>
        <v>2.9135038651368999</v>
      </c>
      <c r="D117" s="31">
        <f>+D116</f>
        <v>4.0914000000000001</v>
      </c>
      <c r="E117" s="31"/>
      <c r="F117" s="61"/>
      <c r="G117" s="31">
        <f t="shared" si="23"/>
        <v>4.0914000000000001</v>
      </c>
      <c r="H117" s="31">
        <v>12</v>
      </c>
      <c r="I117" s="33">
        <f t="shared" si="24"/>
        <v>143.04371656585334</v>
      </c>
    </row>
    <row r="118" spans="1:9" x14ac:dyDescent="0.25">
      <c r="A118" s="52"/>
      <c r="B118" s="53"/>
      <c r="C118" s="46">
        <f>SUM(C114:C117)</f>
        <v>244.26978286390411</v>
      </c>
      <c r="D118" s="38"/>
      <c r="E118" s="38"/>
      <c r="F118" s="38"/>
      <c r="G118" s="38"/>
      <c r="H118" s="38"/>
      <c r="I118" s="60">
        <f>SUM(I114:I117)</f>
        <v>11992.864675312527</v>
      </c>
    </row>
    <row r="119" spans="1:9" x14ac:dyDescent="0.25">
      <c r="A119" s="49"/>
      <c r="B119" s="49"/>
      <c r="C119" s="59"/>
      <c r="D119" s="49"/>
      <c r="E119" s="49"/>
      <c r="F119" s="49"/>
      <c r="G119" s="49"/>
      <c r="H119" s="49"/>
      <c r="I119" s="57"/>
    </row>
    <row r="120" spans="1:9" x14ac:dyDescent="0.25">
      <c r="A120" s="52" t="s">
        <v>128</v>
      </c>
      <c r="B120" s="53"/>
      <c r="C120" s="58"/>
      <c r="D120" s="53"/>
      <c r="E120" s="53"/>
      <c r="F120" s="53"/>
      <c r="G120" s="53"/>
      <c r="H120" s="53"/>
      <c r="I120" s="46">
        <f>I108+I111+I118</f>
        <v>22584.299281621119</v>
      </c>
    </row>
    <row r="121" spans="1:9" x14ac:dyDescent="0.25">
      <c r="I121" s="65" t="s">
        <v>42</v>
      </c>
    </row>
  </sheetData>
  <mergeCells count="30">
    <mergeCell ref="I99:I100"/>
    <mergeCell ref="A99:A100"/>
    <mergeCell ref="B99:B100"/>
    <mergeCell ref="C99:C100"/>
    <mergeCell ref="D99:G99"/>
    <mergeCell ref="H99:H100"/>
    <mergeCell ref="I3:I4"/>
    <mergeCell ref="A3:A4"/>
    <mergeCell ref="B3:B4"/>
    <mergeCell ref="C3:C4"/>
    <mergeCell ref="D3:G3"/>
    <mergeCell ref="H3:H4"/>
    <mergeCell ref="I52:I53"/>
    <mergeCell ref="A27:A28"/>
    <mergeCell ref="B27:B28"/>
    <mergeCell ref="C27:C28"/>
    <mergeCell ref="D27:G27"/>
    <mergeCell ref="H27:H28"/>
    <mergeCell ref="I27:I28"/>
    <mergeCell ref="A52:A53"/>
    <mergeCell ref="B52:B53"/>
    <mergeCell ref="C52:C53"/>
    <mergeCell ref="D52:G52"/>
    <mergeCell ref="H52:H53"/>
    <mergeCell ref="I76:I77"/>
    <mergeCell ref="A76:A77"/>
    <mergeCell ref="B76:B77"/>
    <mergeCell ref="C76:C77"/>
    <mergeCell ref="D76:G76"/>
    <mergeCell ref="H76:H77"/>
  </mergeCells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3"/>
  <sheetViews>
    <sheetView workbookViewId="0">
      <selection activeCell="A32" sqref="A32"/>
    </sheetView>
  </sheetViews>
  <sheetFormatPr defaultRowHeight="15" x14ac:dyDescent="0.25"/>
  <cols>
    <col min="1" max="1" width="62.42578125" bestFit="1" customWidth="1"/>
    <col min="2" max="6" width="15.42578125" bestFit="1" customWidth="1"/>
    <col min="7" max="13" width="16.5703125" bestFit="1" customWidth="1"/>
  </cols>
  <sheetData>
    <row r="3" spans="1:11" x14ac:dyDescent="0.25">
      <c r="A3" s="19" t="s">
        <v>107</v>
      </c>
      <c r="B3" t="s">
        <v>109</v>
      </c>
      <c r="C3" t="s">
        <v>110</v>
      </c>
      <c r="D3" t="s">
        <v>111</v>
      </c>
      <c r="E3" t="s">
        <v>130</v>
      </c>
      <c r="F3" t="s">
        <v>133</v>
      </c>
      <c r="G3" t="s">
        <v>112</v>
      </c>
      <c r="H3" t="s">
        <v>113</v>
      </c>
      <c r="I3" t="s">
        <v>114</v>
      </c>
      <c r="J3" t="s">
        <v>131</v>
      </c>
      <c r="K3" t="s">
        <v>134</v>
      </c>
    </row>
    <row r="4" spans="1:11" x14ac:dyDescent="0.25">
      <c r="A4" s="20" t="s">
        <v>44</v>
      </c>
      <c r="B4" s="23">
        <v>0</v>
      </c>
      <c r="C4" s="23">
        <v>1.1645960284073966E-2</v>
      </c>
      <c r="D4" s="23">
        <v>1.1645960284073966E-2</v>
      </c>
      <c r="E4" s="23">
        <v>1.1514110791283822E-2</v>
      </c>
      <c r="F4" s="23">
        <v>8.8868047965333496E-3</v>
      </c>
      <c r="G4" s="68">
        <v>0</v>
      </c>
      <c r="H4" s="68">
        <v>46.9622514415042</v>
      </c>
      <c r="I4" s="68">
        <v>46.962251441504208</v>
      </c>
      <c r="J4" s="68">
        <v>46.414245595325646</v>
      </c>
      <c r="K4" s="68">
        <v>34.1541560657435</v>
      </c>
    </row>
    <row r="5" spans="1:11" x14ac:dyDescent="0.25">
      <c r="A5" s="21" t="s">
        <v>13</v>
      </c>
      <c r="B5" s="23">
        <v>0</v>
      </c>
      <c r="C5" s="23">
        <v>1.1645960284073966E-2</v>
      </c>
      <c r="D5" s="23">
        <v>1.1645960284073966E-2</v>
      </c>
      <c r="E5" s="23">
        <v>1.1514110791283822E-2</v>
      </c>
      <c r="F5" s="23">
        <v>8.8868047965333496E-3</v>
      </c>
      <c r="G5" s="23">
        <v>0</v>
      </c>
      <c r="H5" s="23">
        <v>46.9622514415042</v>
      </c>
      <c r="I5" s="23">
        <v>46.962251441504208</v>
      </c>
      <c r="J5" s="23">
        <v>46.414245595325646</v>
      </c>
      <c r="K5" s="23">
        <v>34.1541560657435</v>
      </c>
    </row>
    <row r="6" spans="1:11" x14ac:dyDescent="0.25">
      <c r="A6" s="22" t="s">
        <v>14</v>
      </c>
      <c r="B6" s="23">
        <v>0</v>
      </c>
      <c r="C6" s="23">
        <v>1.1645960284073966E-2</v>
      </c>
      <c r="D6" s="23">
        <v>1.1645960284073966E-2</v>
      </c>
      <c r="E6" s="23">
        <v>1.1514110791283822E-2</v>
      </c>
      <c r="F6" s="23">
        <v>8.8868047965333496E-3</v>
      </c>
      <c r="G6" s="23">
        <v>0</v>
      </c>
      <c r="H6" s="23">
        <v>46.9622514415042</v>
      </c>
      <c r="I6" s="23">
        <v>46.962251441504208</v>
      </c>
      <c r="J6" s="23">
        <v>46.414245595325646</v>
      </c>
      <c r="K6" s="23">
        <v>34.1541560657435</v>
      </c>
    </row>
    <row r="7" spans="1:11" x14ac:dyDescent="0.25">
      <c r="A7" s="20" t="s">
        <v>46</v>
      </c>
      <c r="B7" s="68">
        <v>2.7059283823206003E-3</v>
      </c>
      <c r="C7" s="68">
        <v>0.79703127213544966</v>
      </c>
      <c r="D7" s="68">
        <v>0.24825289203544959</v>
      </c>
      <c r="E7" s="68">
        <v>0.24825289203544959</v>
      </c>
      <c r="F7" s="68">
        <v>0.24426978286390411</v>
      </c>
      <c r="G7" s="23">
        <v>14.590577030357951</v>
      </c>
      <c r="H7" s="23">
        <v>1483.9554493640717</v>
      </c>
      <c r="I7" s="23">
        <v>1471.7705343640716</v>
      </c>
      <c r="J7" s="23">
        <v>1471.7705343640716</v>
      </c>
      <c r="K7" s="23">
        <v>1458.5950923293938</v>
      </c>
    </row>
    <row r="8" spans="1:11" x14ac:dyDescent="0.25">
      <c r="A8" s="21" t="s">
        <v>13</v>
      </c>
      <c r="B8" s="23">
        <v>7.6997303976919691E-4</v>
      </c>
      <c r="C8" s="23">
        <v>0.35412027467031271</v>
      </c>
      <c r="D8" s="23">
        <v>0.2453393881703127</v>
      </c>
      <c r="E8" s="23">
        <v>0.2453393881703127</v>
      </c>
      <c r="F8" s="23">
        <v>0.24135627899876722</v>
      </c>
      <c r="G8" s="23">
        <v>4.6475103910139399</v>
      </c>
      <c r="H8" s="23">
        <v>1462.4615482474721</v>
      </c>
      <c r="I8" s="23">
        <v>1460.8803832474721</v>
      </c>
      <c r="J8" s="23">
        <v>1460.8803832474721</v>
      </c>
      <c r="K8" s="23">
        <v>1447.7049412127942</v>
      </c>
    </row>
    <row r="9" spans="1:11" x14ac:dyDescent="0.25">
      <c r="A9" s="22" t="s">
        <v>39</v>
      </c>
      <c r="B9" s="23">
        <v>0</v>
      </c>
      <c r="C9" s="23">
        <v>0.10878088650000001</v>
      </c>
      <c r="D9" s="23">
        <v>0</v>
      </c>
      <c r="E9" s="23">
        <v>0</v>
      </c>
      <c r="F9" s="23">
        <v>0</v>
      </c>
      <c r="G9" s="23">
        <v>0</v>
      </c>
      <c r="H9" s="23">
        <v>1.5811649999999999</v>
      </c>
      <c r="I9" s="23">
        <v>0</v>
      </c>
      <c r="J9" s="23">
        <v>0</v>
      </c>
      <c r="K9" s="23">
        <v>0</v>
      </c>
    </row>
    <row r="10" spans="1:11" x14ac:dyDescent="0.25">
      <c r="A10" s="22" t="s">
        <v>20</v>
      </c>
      <c r="B10" s="23">
        <v>7.6997303976919691E-4</v>
      </c>
      <c r="C10" s="23">
        <v>0.2453393881703127</v>
      </c>
      <c r="D10" s="23">
        <v>0.2453393881703127</v>
      </c>
      <c r="E10" s="23">
        <v>0.2453393881703127</v>
      </c>
      <c r="F10" s="23">
        <v>0.24135627899876722</v>
      </c>
      <c r="G10" s="23">
        <v>4.6475103910139399</v>
      </c>
      <c r="H10" s="23">
        <v>1460.8803832474721</v>
      </c>
      <c r="I10" s="23">
        <v>1460.8803832474721</v>
      </c>
      <c r="J10" s="23">
        <v>1460.8803832474721</v>
      </c>
      <c r="K10" s="23">
        <v>1447.7049412127942</v>
      </c>
    </row>
    <row r="11" spans="1:11" x14ac:dyDescent="0.25">
      <c r="A11" s="21" t="s">
        <v>34</v>
      </c>
      <c r="B11" s="23">
        <v>0</v>
      </c>
      <c r="C11" s="23">
        <v>0.43999749360000007</v>
      </c>
      <c r="D11" s="23">
        <v>0</v>
      </c>
      <c r="E11" s="23">
        <v>0</v>
      </c>
      <c r="F11" s="23">
        <v>0</v>
      </c>
      <c r="G11" s="23">
        <v>0</v>
      </c>
      <c r="H11" s="23">
        <v>10.60375</v>
      </c>
      <c r="I11" s="23">
        <v>0</v>
      </c>
      <c r="J11" s="23">
        <v>0</v>
      </c>
      <c r="K11" s="23">
        <v>0</v>
      </c>
    </row>
    <row r="12" spans="1:11" x14ac:dyDescent="0.25">
      <c r="A12" s="22" t="s">
        <v>35</v>
      </c>
      <c r="B12" s="23">
        <v>0</v>
      </c>
      <c r="C12" s="23">
        <v>0.43999749360000007</v>
      </c>
      <c r="D12" s="23">
        <v>0</v>
      </c>
      <c r="E12" s="23">
        <v>0</v>
      </c>
      <c r="F12" s="23">
        <v>0</v>
      </c>
      <c r="G12" s="23">
        <v>0</v>
      </c>
      <c r="H12" s="23">
        <v>10.60375</v>
      </c>
      <c r="I12" s="23">
        <v>0</v>
      </c>
      <c r="J12" s="23">
        <v>0</v>
      </c>
      <c r="K12" s="23">
        <v>0</v>
      </c>
    </row>
    <row r="13" spans="1:11" x14ac:dyDescent="0.25">
      <c r="A13" s="21" t="s">
        <v>37</v>
      </c>
      <c r="B13" s="23">
        <v>1.9359553425514035E-3</v>
      </c>
      <c r="C13" s="23">
        <v>2.9135038651369031E-3</v>
      </c>
      <c r="D13" s="23">
        <v>2.9135038651369031E-3</v>
      </c>
      <c r="E13" s="23">
        <v>2.9135038651369031E-3</v>
      </c>
      <c r="F13" s="23">
        <v>2.9135038651368996E-3</v>
      </c>
      <c r="G13" s="23">
        <v>9.9430666393440106</v>
      </c>
      <c r="H13" s="23">
        <v>10.890151116599556</v>
      </c>
      <c r="I13" s="23">
        <v>10.890151116599556</v>
      </c>
      <c r="J13" s="23">
        <v>10.890151116599556</v>
      </c>
      <c r="K13" s="23">
        <v>10.890151116599556</v>
      </c>
    </row>
    <row r="14" spans="1:11" x14ac:dyDescent="0.25">
      <c r="A14" s="22" t="s">
        <v>38</v>
      </c>
      <c r="B14" s="23">
        <v>1.9359553425514035E-3</v>
      </c>
      <c r="C14" s="23">
        <v>2.9135038651369031E-3</v>
      </c>
      <c r="D14" s="23">
        <v>2.9135038651369031E-3</v>
      </c>
      <c r="E14" s="23">
        <v>2.9135038651369031E-3</v>
      </c>
      <c r="F14" s="23">
        <v>2.9135038651368996E-3</v>
      </c>
      <c r="G14" s="23">
        <v>9.9430666393440106</v>
      </c>
      <c r="H14" s="23">
        <v>10.890151116599556</v>
      </c>
      <c r="I14" s="23">
        <v>10.890151116599556</v>
      </c>
      <c r="J14" s="23">
        <v>10.890151116599556</v>
      </c>
      <c r="K14" s="23">
        <v>10.890151116599556</v>
      </c>
    </row>
    <row r="15" spans="1:11" x14ac:dyDescent="0.25">
      <c r="A15" s="20" t="s">
        <v>23</v>
      </c>
      <c r="B15" s="23">
        <v>-3.8998199762043918E-2</v>
      </c>
      <c r="C15" s="23">
        <v>0.66686358809170521</v>
      </c>
      <c r="D15" s="23">
        <v>0.21708668809170514</v>
      </c>
      <c r="E15" s="23">
        <v>0.21708668809170514</v>
      </c>
      <c r="F15" s="23">
        <v>0.21683908939408167</v>
      </c>
      <c r="G15" s="68">
        <v>-50.957463446272868</v>
      </c>
      <c r="H15" s="68">
        <v>672.27559070103155</v>
      </c>
      <c r="I15" s="68">
        <v>669.01231070103154</v>
      </c>
      <c r="J15" s="68">
        <v>669.01231070103154</v>
      </c>
      <c r="K15" s="68">
        <v>668.79089447121623</v>
      </c>
    </row>
    <row r="16" spans="1:11" x14ac:dyDescent="0.25">
      <c r="A16" s="21" t="s">
        <v>21</v>
      </c>
      <c r="B16" s="23">
        <v>-3.8998199762043918E-2</v>
      </c>
      <c r="C16" s="23">
        <v>0.66686358809170521</v>
      </c>
      <c r="D16" s="23">
        <v>0.21708668809170514</v>
      </c>
      <c r="E16" s="23">
        <v>0.21708668809170514</v>
      </c>
      <c r="F16" s="23">
        <v>0.21683908939408167</v>
      </c>
      <c r="G16" s="23">
        <v>-50.957463446272868</v>
      </c>
      <c r="H16" s="23">
        <v>672.27559070103155</v>
      </c>
      <c r="I16" s="23">
        <v>669.01231070103154</v>
      </c>
      <c r="J16" s="23">
        <v>669.01231070103154</v>
      </c>
      <c r="K16" s="23">
        <v>668.79089447121623</v>
      </c>
    </row>
    <row r="17" spans="1:11" x14ac:dyDescent="0.25">
      <c r="A17" s="22" t="s">
        <v>22</v>
      </c>
      <c r="B17" s="23">
        <v>0</v>
      </c>
      <c r="C17" s="23">
        <v>2.85629548256421E-3</v>
      </c>
      <c r="D17" s="23">
        <v>2.85629548256421E-3</v>
      </c>
      <c r="E17" s="23">
        <v>2.85629548256421E-3</v>
      </c>
      <c r="F17" s="23">
        <v>2.8379046091823032E-3</v>
      </c>
      <c r="G17" s="23">
        <v>0</v>
      </c>
      <c r="H17" s="23">
        <v>5.0766053489195295</v>
      </c>
      <c r="I17" s="23">
        <v>5.0766053489195295</v>
      </c>
      <c r="J17" s="23">
        <v>5.0766053489195295</v>
      </c>
      <c r="K17" s="23">
        <v>5.0601592291042108</v>
      </c>
    </row>
    <row r="18" spans="1:11" x14ac:dyDescent="0.25">
      <c r="A18" s="22" t="s">
        <v>25</v>
      </c>
      <c r="B18" s="23">
        <v>0</v>
      </c>
      <c r="C18" s="23">
        <v>1.3087925418391232E-2</v>
      </c>
      <c r="D18" s="23">
        <v>1.3087925418391232E-2</v>
      </c>
      <c r="E18" s="23">
        <v>1.3087925418391232E-2</v>
      </c>
      <c r="F18" s="23">
        <v>1.2858717594149655E-2</v>
      </c>
      <c r="G18" s="23">
        <v>0</v>
      </c>
      <c r="H18" s="23">
        <v>92.074331163822393</v>
      </c>
      <c r="I18" s="23">
        <v>92.074331163822393</v>
      </c>
      <c r="J18" s="23">
        <v>92.074331163822393</v>
      </c>
      <c r="K18" s="23">
        <v>91.869361053822388</v>
      </c>
    </row>
    <row r="19" spans="1:11" x14ac:dyDescent="0.25">
      <c r="A19" s="22" t="s">
        <v>26</v>
      </c>
      <c r="B19" s="23">
        <v>9.3311826197070634E-4</v>
      </c>
      <c r="C19" s="23">
        <v>1.3736264831703843E-2</v>
      </c>
      <c r="D19" s="23">
        <v>1.3736264831703843E-2</v>
      </c>
      <c r="E19" s="23">
        <v>1.3736264831703843E-2</v>
      </c>
      <c r="F19" s="23">
        <v>1.3736264831703843E-2</v>
      </c>
      <c r="G19" s="23">
        <v>18.888233854759171</v>
      </c>
      <c r="H19" s="23">
        <v>250.57306690992991</v>
      </c>
      <c r="I19" s="23">
        <v>250.57306690992991</v>
      </c>
      <c r="J19" s="23">
        <v>250.57306690992991</v>
      </c>
      <c r="K19" s="23">
        <v>250.57306690992991</v>
      </c>
    </row>
    <row r="20" spans="1:11" x14ac:dyDescent="0.25">
      <c r="A20" s="22" t="s">
        <v>28</v>
      </c>
      <c r="B20" s="23">
        <v>1.3927031489425408E-4</v>
      </c>
      <c r="C20" s="23">
        <v>2.1325658548632625E-3</v>
      </c>
      <c r="D20" s="23">
        <v>2.1325658548632625E-3</v>
      </c>
      <c r="E20" s="23">
        <v>2.1325658548632625E-3</v>
      </c>
      <c r="F20" s="23">
        <v>2.1325658548632625E-3</v>
      </c>
      <c r="G20" s="23">
        <v>2.3846572671527952</v>
      </c>
      <c r="H20" s="23">
        <v>14.480322377506214</v>
      </c>
      <c r="I20" s="23">
        <v>14.480322377506214</v>
      </c>
      <c r="J20" s="23">
        <v>14.480322377506214</v>
      </c>
      <c r="K20" s="23">
        <v>14.480322377506214</v>
      </c>
    </row>
    <row r="21" spans="1:11" x14ac:dyDescent="0.25">
      <c r="A21" s="22" t="s">
        <v>29</v>
      </c>
      <c r="B21" s="23">
        <v>-4.0070588338908877E-2</v>
      </c>
      <c r="C21" s="23">
        <v>0.1852736365041826</v>
      </c>
      <c r="D21" s="23">
        <v>0.1852736365041826</v>
      </c>
      <c r="E21" s="23">
        <v>0.1852736365041826</v>
      </c>
      <c r="F21" s="23">
        <v>0.1852736365041826</v>
      </c>
      <c r="G21" s="23">
        <v>-72.230354568184836</v>
      </c>
      <c r="H21" s="23">
        <v>306.80798490085346</v>
      </c>
      <c r="I21" s="23">
        <v>306.80798490085346</v>
      </c>
      <c r="J21" s="23">
        <v>306.80798490085346</v>
      </c>
      <c r="K21" s="23">
        <v>306.80798490085346</v>
      </c>
    </row>
    <row r="22" spans="1:11" x14ac:dyDescent="0.25">
      <c r="A22" s="22" t="s">
        <v>31</v>
      </c>
      <c r="B22" s="23">
        <v>0</v>
      </c>
      <c r="C22" s="23">
        <v>0.44977690000000004</v>
      </c>
      <c r="D22" s="23">
        <v>0</v>
      </c>
      <c r="E22" s="23">
        <v>0</v>
      </c>
      <c r="F22" s="23">
        <v>0</v>
      </c>
      <c r="G22" s="23">
        <v>0</v>
      </c>
      <c r="H22" s="23">
        <v>3.2632800000000004</v>
      </c>
      <c r="I22" s="23">
        <v>0</v>
      </c>
      <c r="J22" s="23">
        <v>0</v>
      </c>
      <c r="K22" s="23">
        <v>0</v>
      </c>
    </row>
    <row r="23" spans="1:11" x14ac:dyDescent="0.25">
      <c r="A23" s="20" t="s">
        <v>108</v>
      </c>
      <c r="B23" s="23">
        <v>-3.6292271379723316E-2</v>
      </c>
      <c r="C23" s="23">
        <v>1.4755408205112286</v>
      </c>
      <c r="D23" s="23">
        <v>0.4769855404112287</v>
      </c>
      <c r="E23" s="23">
        <v>0.4768536909184386</v>
      </c>
      <c r="F23" s="23">
        <v>0.46999567705451911</v>
      </c>
      <c r="G23" s="23">
        <v>-36.366886415914919</v>
      </c>
      <c r="H23" s="23">
        <v>2203.1932915066072</v>
      </c>
      <c r="I23" s="23">
        <v>2187.7450965066068</v>
      </c>
      <c r="J23" s="23">
        <v>2187.1970906604283</v>
      </c>
      <c r="K23" s="23">
        <v>2161.5401428663531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9"/>
  <sheetViews>
    <sheetView workbookViewId="0">
      <selection activeCell="A15" sqref="A15"/>
    </sheetView>
  </sheetViews>
  <sheetFormatPr defaultRowHeight="15" x14ac:dyDescent="0.25"/>
  <cols>
    <col min="1" max="1" width="20.42578125" bestFit="1" customWidth="1"/>
    <col min="2" max="2" width="32" bestFit="1" customWidth="1"/>
    <col min="3" max="3" width="32" customWidth="1"/>
    <col min="4" max="4" width="50.7109375" bestFit="1" customWidth="1"/>
    <col min="5" max="5" width="28.7109375" bestFit="1" customWidth="1"/>
    <col min="6" max="6" width="11.85546875" bestFit="1" customWidth="1"/>
    <col min="7" max="7" width="14.7109375" style="17" customWidth="1"/>
    <col min="8" max="8" width="18" style="17" customWidth="1"/>
    <col min="9" max="9" width="26.42578125" bestFit="1" customWidth="1"/>
    <col min="10" max="10" width="13.140625" bestFit="1" customWidth="1"/>
    <col min="11" max="11" width="13.42578125" bestFit="1" customWidth="1"/>
  </cols>
  <sheetData>
    <row r="1" spans="1:73" s="5" customFormat="1" ht="94.5" x14ac:dyDescent="0.25">
      <c r="A1" s="1" t="s">
        <v>0</v>
      </c>
      <c r="B1" s="1" t="s">
        <v>1</v>
      </c>
      <c r="C1" s="1" t="s">
        <v>43</v>
      </c>
      <c r="D1" s="1" t="s">
        <v>2</v>
      </c>
      <c r="E1" s="2" t="s">
        <v>3</v>
      </c>
      <c r="F1" s="2" t="s">
        <v>4</v>
      </c>
      <c r="G1" s="2" t="s">
        <v>5</v>
      </c>
      <c r="H1" s="3" t="s">
        <v>6</v>
      </c>
      <c r="I1" s="3" t="s">
        <v>7</v>
      </c>
      <c r="J1" s="3" t="s">
        <v>8</v>
      </c>
      <c r="K1" s="4" t="s">
        <v>9</v>
      </c>
      <c r="L1" s="3" t="s">
        <v>10</v>
      </c>
      <c r="M1" s="3" t="s">
        <v>11</v>
      </c>
      <c r="N1" s="3" t="s">
        <v>49</v>
      </c>
      <c r="O1" s="3" t="s">
        <v>50</v>
      </c>
      <c r="P1" s="3" t="s">
        <v>51</v>
      </c>
      <c r="Q1" s="3" t="s">
        <v>52</v>
      </c>
      <c r="R1" s="3" t="s">
        <v>53</v>
      </c>
      <c r="S1" s="3" t="s">
        <v>54</v>
      </c>
      <c r="T1" s="3" t="s">
        <v>55</v>
      </c>
      <c r="U1" s="3" t="s">
        <v>56</v>
      </c>
      <c r="V1" s="3" t="s">
        <v>57</v>
      </c>
      <c r="W1" s="3" t="s">
        <v>58</v>
      </c>
      <c r="X1" s="3" t="s">
        <v>59</v>
      </c>
      <c r="Y1" s="3" t="s">
        <v>60</v>
      </c>
      <c r="Z1" s="3" t="s">
        <v>61</v>
      </c>
      <c r="AA1" s="3" t="s">
        <v>62</v>
      </c>
      <c r="AB1" s="3" t="s">
        <v>63</v>
      </c>
      <c r="AC1" s="3" t="s">
        <v>64</v>
      </c>
      <c r="AD1" s="3" t="s">
        <v>65</v>
      </c>
      <c r="AE1" s="3" t="s">
        <v>66</v>
      </c>
      <c r="AF1" s="3" t="s">
        <v>67</v>
      </c>
      <c r="AG1" s="3" t="s">
        <v>68</v>
      </c>
      <c r="AH1" s="3" t="s">
        <v>69</v>
      </c>
      <c r="AI1" s="3" t="s">
        <v>70</v>
      </c>
      <c r="AJ1" s="3" t="s">
        <v>71</v>
      </c>
      <c r="AK1" s="3" t="s">
        <v>72</v>
      </c>
      <c r="AL1" s="3" t="s">
        <v>73</v>
      </c>
      <c r="AM1" s="3" t="s">
        <v>74</v>
      </c>
      <c r="AN1" s="3" t="s">
        <v>75</v>
      </c>
      <c r="AO1" s="3" t="s">
        <v>76</v>
      </c>
      <c r="AP1" s="3" t="s">
        <v>77</v>
      </c>
      <c r="AQ1" s="3" t="s">
        <v>78</v>
      </c>
      <c r="AR1" s="3" t="s">
        <v>47</v>
      </c>
      <c r="AS1" s="3" t="s">
        <v>48</v>
      </c>
      <c r="AT1" s="3" t="s">
        <v>79</v>
      </c>
      <c r="AU1" s="3" t="s">
        <v>80</v>
      </c>
      <c r="AV1" s="3" t="s">
        <v>81</v>
      </c>
      <c r="AW1" s="3" t="s">
        <v>82</v>
      </c>
      <c r="AX1" s="3" t="s">
        <v>83</v>
      </c>
      <c r="AY1" s="3" t="s">
        <v>84</v>
      </c>
      <c r="AZ1" s="3" t="s">
        <v>85</v>
      </c>
      <c r="BA1" s="3" t="s">
        <v>86</v>
      </c>
      <c r="BB1" s="3" t="s">
        <v>87</v>
      </c>
      <c r="BC1" s="3" t="s">
        <v>88</v>
      </c>
      <c r="BD1" s="3" t="s">
        <v>89</v>
      </c>
      <c r="BE1" s="3" t="s">
        <v>90</v>
      </c>
      <c r="BF1" s="3" t="s">
        <v>91</v>
      </c>
      <c r="BG1" s="3" t="s">
        <v>92</v>
      </c>
      <c r="BH1" s="3" t="s">
        <v>93</v>
      </c>
      <c r="BI1" s="3" t="s">
        <v>94</v>
      </c>
      <c r="BJ1" s="3" t="s">
        <v>95</v>
      </c>
      <c r="BK1" s="3" t="s">
        <v>96</v>
      </c>
      <c r="BL1" s="3" t="s">
        <v>97</v>
      </c>
      <c r="BM1" s="3" t="s">
        <v>98</v>
      </c>
      <c r="BN1" s="3" t="s">
        <v>99</v>
      </c>
      <c r="BO1" s="3" t="s">
        <v>100</v>
      </c>
      <c r="BP1" s="3" t="s">
        <v>101</v>
      </c>
      <c r="BQ1" s="3" t="s">
        <v>102</v>
      </c>
      <c r="BR1" s="3" t="s">
        <v>103</v>
      </c>
      <c r="BS1" s="3" t="s">
        <v>104</v>
      </c>
      <c r="BT1" s="3" t="s">
        <v>105</v>
      </c>
      <c r="BU1" s="3" t="s">
        <v>106</v>
      </c>
    </row>
    <row r="2" spans="1:73" s="13" customFormat="1" x14ac:dyDescent="0.25">
      <c r="A2" s="6" t="s">
        <v>12</v>
      </c>
      <c r="B2" s="6" t="s">
        <v>13</v>
      </c>
      <c r="C2" s="6" t="s">
        <v>44</v>
      </c>
      <c r="D2" s="6" t="s">
        <v>14</v>
      </c>
      <c r="E2" s="7" t="s">
        <v>15</v>
      </c>
      <c r="F2" s="6" t="s">
        <v>16</v>
      </c>
      <c r="G2" s="8" t="s">
        <v>17</v>
      </c>
      <c r="H2" s="16">
        <v>2012</v>
      </c>
      <c r="I2" s="9" t="s">
        <v>18</v>
      </c>
      <c r="J2" s="6" t="s">
        <v>19</v>
      </c>
      <c r="K2" s="10">
        <v>10</v>
      </c>
      <c r="L2" s="11">
        <v>4.8358954817671898E-2</v>
      </c>
      <c r="M2" s="11">
        <v>85.177737428220127</v>
      </c>
      <c r="N2" s="12">
        <v>0</v>
      </c>
      <c r="O2" s="12">
        <v>1.1645960284073966E-2</v>
      </c>
      <c r="P2" s="12">
        <v>1.1645960284073966E-2</v>
      </c>
      <c r="Q2" s="12">
        <v>1.1514110791283822E-2</v>
      </c>
      <c r="R2" s="12">
        <v>8.8868047965333496E-3</v>
      </c>
      <c r="S2" s="12">
        <v>8.8868047965333496E-3</v>
      </c>
      <c r="T2" s="12">
        <v>5.8252997992152234E-3</v>
      </c>
      <c r="U2" s="12">
        <v>5.8252997992152234E-3</v>
      </c>
      <c r="V2" s="12">
        <v>5.8252997992152234E-3</v>
      </c>
      <c r="W2" s="12">
        <v>5.8252997992152234E-3</v>
      </c>
      <c r="X2" s="12">
        <v>5.8252997992152234E-3</v>
      </c>
      <c r="Y2" s="12">
        <v>5.6643987232679301E-3</v>
      </c>
      <c r="Z2" s="12">
        <v>5.6643987232679301E-3</v>
      </c>
      <c r="AA2" s="12">
        <v>0</v>
      </c>
      <c r="AB2" s="12">
        <v>0</v>
      </c>
      <c r="AC2" s="12">
        <v>0</v>
      </c>
      <c r="AD2" s="12">
        <v>0</v>
      </c>
      <c r="AE2" s="12">
        <v>0</v>
      </c>
      <c r="AF2" s="12">
        <v>0</v>
      </c>
      <c r="AG2" s="12">
        <v>0</v>
      </c>
      <c r="AH2" s="12">
        <v>0</v>
      </c>
      <c r="AI2" s="12">
        <v>0</v>
      </c>
      <c r="AJ2" s="12">
        <v>0</v>
      </c>
      <c r="AK2" s="12">
        <v>0</v>
      </c>
      <c r="AL2" s="12">
        <v>0</v>
      </c>
      <c r="AM2" s="12">
        <v>0</v>
      </c>
      <c r="AN2" s="12">
        <v>0</v>
      </c>
      <c r="AO2" s="12">
        <v>0</v>
      </c>
      <c r="AP2" s="12">
        <v>0</v>
      </c>
      <c r="AQ2" s="12">
        <v>0</v>
      </c>
      <c r="AR2" s="12">
        <v>0</v>
      </c>
      <c r="AS2" s="12">
        <v>46.9622514415042</v>
      </c>
      <c r="AT2" s="11">
        <v>46.962251441504208</v>
      </c>
      <c r="AU2" s="11">
        <v>46.414245595325646</v>
      </c>
      <c r="AV2" s="12">
        <v>34.1541560657435</v>
      </c>
      <c r="AW2" s="12">
        <v>34.1541560657435</v>
      </c>
      <c r="AX2" s="12">
        <v>22.190704966213477</v>
      </c>
      <c r="AY2" s="12">
        <v>22.190704966213477</v>
      </c>
      <c r="AZ2" s="12">
        <v>22.190704966213477</v>
      </c>
      <c r="BA2" s="12">
        <v>22.190704966213477</v>
      </c>
      <c r="BB2" s="12">
        <v>22.190704966213477</v>
      </c>
      <c r="BC2" s="12">
        <v>20.616322978039424</v>
      </c>
      <c r="BD2" s="12">
        <v>20.616322978039424</v>
      </c>
      <c r="BE2" s="12">
        <v>0</v>
      </c>
      <c r="BF2" s="12">
        <v>0</v>
      </c>
      <c r="BG2" s="12">
        <v>0</v>
      </c>
      <c r="BH2" s="12">
        <v>0</v>
      </c>
      <c r="BI2" s="12">
        <v>0</v>
      </c>
      <c r="BJ2" s="12">
        <v>0</v>
      </c>
      <c r="BK2" s="12">
        <v>0</v>
      </c>
      <c r="BL2" s="12">
        <v>0</v>
      </c>
      <c r="BM2" s="12">
        <v>0</v>
      </c>
      <c r="BN2" s="12">
        <v>0</v>
      </c>
      <c r="BO2" s="12">
        <v>0</v>
      </c>
      <c r="BP2" s="12">
        <v>0</v>
      </c>
      <c r="BQ2" s="12">
        <v>0</v>
      </c>
      <c r="BR2" s="12">
        <v>0</v>
      </c>
      <c r="BS2" s="12">
        <v>0</v>
      </c>
      <c r="BT2" s="12">
        <v>0</v>
      </c>
      <c r="BU2" s="12">
        <v>0</v>
      </c>
    </row>
    <row r="3" spans="1:73" s="13" customFormat="1" x14ac:dyDescent="0.25">
      <c r="A3" s="6" t="s">
        <v>12</v>
      </c>
      <c r="B3" s="6" t="s">
        <v>13</v>
      </c>
      <c r="C3" s="6" t="s">
        <v>46</v>
      </c>
      <c r="D3" s="6" t="s">
        <v>20</v>
      </c>
      <c r="E3" s="7" t="s">
        <v>15</v>
      </c>
      <c r="F3" s="6" t="s">
        <v>16</v>
      </c>
      <c r="G3" s="8" t="s">
        <v>17</v>
      </c>
      <c r="H3" s="16">
        <v>2012</v>
      </c>
      <c r="I3" s="9" t="s">
        <v>18</v>
      </c>
      <c r="J3" s="6" t="s">
        <v>19</v>
      </c>
      <c r="K3" s="10">
        <v>25</v>
      </c>
      <c r="L3" s="11">
        <v>0.32527732212362287</v>
      </c>
      <c r="M3" s="11">
        <v>1936.7897208990896</v>
      </c>
      <c r="N3" s="12">
        <v>0</v>
      </c>
      <c r="O3" s="12">
        <v>0.2445694151305435</v>
      </c>
      <c r="P3" s="12">
        <v>0.2445694151305435</v>
      </c>
      <c r="Q3" s="12">
        <v>0.2445694151305435</v>
      </c>
      <c r="R3" s="12">
        <v>0.24058630595899802</v>
      </c>
      <c r="S3" s="12">
        <v>0.24058630595899802</v>
      </c>
      <c r="T3" s="12">
        <v>0.23846704616845579</v>
      </c>
      <c r="U3" s="12">
        <v>0.23526782404067179</v>
      </c>
      <c r="V3" s="12">
        <v>0.23526782404067179</v>
      </c>
      <c r="W3" s="12">
        <v>0.23485653016397715</v>
      </c>
      <c r="X3" s="12">
        <v>0.19171541090332259</v>
      </c>
      <c r="Y3" s="12">
        <v>0.18893418630512998</v>
      </c>
      <c r="Z3" s="12">
        <v>0.18893418630512998</v>
      </c>
      <c r="AA3" s="12">
        <v>3.1435371474349189E-2</v>
      </c>
      <c r="AB3" s="12">
        <v>3.1435371474349189E-2</v>
      </c>
      <c r="AC3" s="12">
        <v>3.1435371474349189E-2</v>
      </c>
      <c r="AD3" s="12">
        <v>2.1580617921301268E-2</v>
      </c>
      <c r="AE3" s="12">
        <v>2.1580617921301268E-2</v>
      </c>
      <c r="AF3" s="12">
        <v>2.1580617921301268E-2</v>
      </c>
      <c r="AG3" s="12">
        <v>2.1580617921301268E-2</v>
      </c>
      <c r="AH3" s="12">
        <v>2.1580617921301268E-2</v>
      </c>
      <c r="AI3" s="12">
        <v>0</v>
      </c>
      <c r="AJ3" s="12">
        <v>0</v>
      </c>
      <c r="AK3" s="12">
        <v>0</v>
      </c>
      <c r="AL3" s="12">
        <v>0</v>
      </c>
      <c r="AM3" s="12">
        <v>0</v>
      </c>
      <c r="AN3" s="12">
        <v>0</v>
      </c>
      <c r="AO3" s="12">
        <v>0</v>
      </c>
      <c r="AP3" s="12">
        <v>0</v>
      </c>
      <c r="AQ3" s="12">
        <v>0</v>
      </c>
      <c r="AR3" s="12">
        <v>0</v>
      </c>
      <c r="AS3" s="12">
        <v>1456.2328728564582</v>
      </c>
      <c r="AT3" s="12">
        <v>1456.2328728564582</v>
      </c>
      <c r="AU3" s="12">
        <v>1456.2328728564582</v>
      </c>
      <c r="AV3" s="12">
        <v>1443.0574308217804</v>
      </c>
      <c r="AW3" s="12">
        <v>1443.0574308217804</v>
      </c>
      <c r="AX3" s="12">
        <v>1436.0472828885568</v>
      </c>
      <c r="AY3" s="12">
        <v>1412.7364545250912</v>
      </c>
      <c r="AZ3" s="12">
        <v>1412.7364545250912</v>
      </c>
      <c r="BA3" s="12">
        <v>1409.6662339217228</v>
      </c>
      <c r="BB3" s="12">
        <v>1095.3225633903107</v>
      </c>
      <c r="BC3" s="12">
        <v>1065.7981836507331</v>
      </c>
      <c r="BD3" s="12">
        <v>1065.7981836507331</v>
      </c>
      <c r="BE3" s="12">
        <v>118.01545038621838</v>
      </c>
      <c r="BF3" s="12">
        <v>118.01545038621838</v>
      </c>
      <c r="BG3" s="12">
        <v>118.01545038621838</v>
      </c>
      <c r="BH3" s="12">
        <v>49.271109004073132</v>
      </c>
      <c r="BI3" s="12">
        <v>49.271109004073132</v>
      </c>
      <c r="BJ3" s="12">
        <v>49.271109004073132</v>
      </c>
      <c r="BK3" s="12">
        <v>49.271109004073132</v>
      </c>
      <c r="BL3" s="12">
        <v>49.271109004073132</v>
      </c>
      <c r="BM3" s="12">
        <v>0</v>
      </c>
      <c r="BN3" s="12">
        <v>0</v>
      </c>
      <c r="BO3" s="12">
        <v>0</v>
      </c>
      <c r="BP3" s="12">
        <v>0</v>
      </c>
      <c r="BQ3" s="12">
        <v>0</v>
      </c>
      <c r="BR3" s="12">
        <v>0</v>
      </c>
      <c r="BS3" s="12">
        <v>0</v>
      </c>
      <c r="BT3" s="12">
        <v>0</v>
      </c>
      <c r="BU3" s="12">
        <v>0</v>
      </c>
    </row>
    <row r="4" spans="1:73" s="13" customFormat="1" x14ac:dyDescent="0.25">
      <c r="A4" s="6" t="s">
        <v>12</v>
      </c>
      <c r="B4" s="6" t="s">
        <v>21</v>
      </c>
      <c r="C4" s="6" t="s">
        <v>23</v>
      </c>
      <c r="D4" s="6" t="s">
        <v>22</v>
      </c>
      <c r="E4" s="7" t="s">
        <v>15</v>
      </c>
      <c r="F4" s="6" t="s">
        <v>23</v>
      </c>
      <c r="G4" s="8" t="s">
        <v>17</v>
      </c>
      <c r="H4" s="16">
        <v>2012</v>
      </c>
      <c r="I4" s="9" t="s">
        <v>18</v>
      </c>
      <c r="J4" s="6" t="s">
        <v>24</v>
      </c>
      <c r="K4" s="10">
        <v>19.32193480241444</v>
      </c>
      <c r="L4" s="11">
        <v>3.7988729918103994E-3</v>
      </c>
      <c r="M4" s="11">
        <v>9.8505022756891361</v>
      </c>
      <c r="N4" s="12">
        <v>0</v>
      </c>
      <c r="O4" s="12">
        <v>2.85629548256421E-3</v>
      </c>
      <c r="P4" s="12">
        <v>2.85629548256421E-3</v>
      </c>
      <c r="Q4" s="12">
        <v>2.85629548256421E-3</v>
      </c>
      <c r="R4" s="12">
        <v>2.8379046091823032E-3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  <c r="AH4" s="12">
        <v>0</v>
      </c>
      <c r="AI4" s="12">
        <v>0</v>
      </c>
      <c r="AJ4" s="12">
        <v>0</v>
      </c>
      <c r="AK4" s="12">
        <v>0</v>
      </c>
      <c r="AL4" s="12">
        <v>0</v>
      </c>
      <c r="AM4" s="12">
        <v>0</v>
      </c>
      <c r="AN4" s="12">
        <v>0</v>
      </c>
      <c r="AO4" s="12">
        <v>0</v>
      </c>
      <c r="AP4" s="12">
        <v>0</v>
      </c>
      <c r="AQ4" s="12">
        <v>0</v>
      </c>
      <c r="AR4" s="12">
        <v>0</v>
      </c>
      <c r="AS4" s="12">
        <v>5.0766053489195295</v>
      </c>
      <c r="AT4" s="12">
        <v>5.0766053489195295</v>
      </c>
      <c r="AU4" s="12">
        <v>5.0766053489195295</v>
      </c>
      <c r="AV4" s="12">
        <v>5.0601592291042108</v>
      </c>
      <c r="AW4" s="12">
        <v>0</v>
      </c>
      <c r="AX4" s="12">
        <v>0</v>
      </c>
      <c r="AY4" s="12">
        <v>0</v>
      </c>
      <c r="AZ4" s="12">
        <v>0</v>
      </c>
      <c r="BA4" s="12">
        <v>0</v>
      </c>
      <c r="BB4" s="12">
        <v>0</v>
      </c>
      <c r="BC4" s="12">
        <v>0</v>
      </c>
      <c r="BD4" s="12">
        <v>0</v>
      </c>
      <c r="BE4" s="12">
        <v>0</v>
      </c>
      <c r="BF4" s="12">
        <v>0</v>
      </c>
      <c r="BG4" s="12">
        <v>0</v>
      </c>
      <c r="BH4" s="12">
        <v>0</v>
      </c>
      <c r="BI4" s="12">
        <v>0</v>
      </c>
      <c r="BJ4" s="12">
        <v>0</v>
      </c>
      <c r="BK4" s="12">
        <v>0</v>
      </c>
      <c r="BL4" s="12">
        <v>0</v>
      </c>
      <c r="BM4" s="12">
        <v>0</v>
      </c>
      <c r="BN4" s="12">
        <v>0</v>
      </c>
      <c r="BO4" s="12">
        <v>0</v>
      </c>
      <c r="BP4" s="12">
        <v>0</v>
      </c>
      <c r="BQ4" s="12">
        <v>0</v>
      </c>
      <c r="BR4" s="12">
        <v>0</v>
      </c>
      <c r="BS4" s="12">
        <v>0</v>
      </c>
      <c r="BT4" s="12">
        <v>0</v>
      </c>
      <c r="BU4" s="12">
        <v>0</v>
      </c>
    </row>
    <row r="5" spans="1:73" s="13" customFormat="1" x14ac:dyDescent="0.25">
      <c r="A5" s="6" t="s">
        <v>12</v>
      </c>
      <c r="B5" s="6" t="s">
        <v>21</v>
      </c>
      <c r="C5" s="6" t="s">
        <v>23</v>
      </c>
      <c r="D5" s="6" t="s">
        <v>25</v>
      </c>
      <c r="E5" s="7" t="s">
        <v>15</v>
      </c>
      <c r="F5" s="6" t="s">
        <v>23</v>
      </c>
      <c r="G5" s="8" t="s">
        <v>17</v>
      </c>
      <c r="H5" s="16">
        <v>2012</v>
      </c>
      <c r="I5" s="9" t="s">
        <v>18</v>
      </c>
      <c r="J5" s="6" t="s">
        <v>24</v>
      </c>
      <c r="K5" s="10">
        <v>231.86343859270619</v>
      </c>
      <c r="L5" s="11">
        <v>1.7406940806460339E-2</v>
      </c>
      <c r="M5" s="11">
        <v>196.98453777554738</v>
      </c>
      <c r="N5" s="12">
        <v>0</v>
      </c>
      <c r="O5" s="12">
        <v>1.3087925418391232E-2</v>
      </c>
      <c r="P5" s="12">
        <v>1.3087925418391232E-2</v>
      </c>
      <c r="Q5" s="12">
        <v>1.3087925418391232E-2</v>
      </c>
      <c r="R5" s="12">
        <v>1.2858717594149655E-2</v>
      </c>
      <c r="S5" s="12">
        <v>7.3885016105443352E-3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0</v>
      </c>
      <c r="AL5" s="12">
        <v>0</v>
      </c>
      <c r="AM5" s="12">
        <v>0</v>
      </c>
      <c r="AN5" s="12">
        <v>0</v>
      </c>
      <c r="AO5" s="12">
        <v>0</v>
      </c>
      <c r="AP5" s="12">
        <v>0</v>
      </c>
      <c r="AQ5" s="12">
        <v>0</v>
      </c>
      <c r="AR5" s="12">
        <v>0</v>
      </c>
      <c r="AS5" s="12">
        <v>92.074331163822393</v>
      </c>
      <c r="AT5" s="12">
        <v>92.074331163822393</v>
      </c>
      <c r="AU5" s="12">
        <v>92.074331163822393</v>
      </c>
      <c r="AV5" s="12">
        <v>91.869361053822388</v>
      </c>
      <c r="AW5" s="12">
        <v>56.194989024995401</v>
      </c>
      <c r="AX5" s="12">
        <v>0</v>
      </c>
      <c r="AY5" s="12">
        <v>0</v>
      </c>
      <c r="AZ5" s="12">
        <v>0</v>
      </c>
      <c r="BA5" s="12">
        <v>0</v>
      </c>
      <c r="BB5" s="12">
        <v>0</v>
      </c>
      <c r="BC5" s="12">
        <v>0</v>
      </c>
      <c r="BD5" s="12">
        <v>0</v>
      </c>
      <c r="BE5" s="12">
        <v>0</v>
      </c>
      <c r="BF5" s="12">
        <v>0</v>
      </c>
      <c r="BG5" s="12">
        <v>0</v>
      </c>
      <c r="BH5" s="12">
        <v>0</v>
      </c>
      <c r="BI5" s="12">
        <v>0</v>
      </c>
      <c r="BJ5" s="12">
        <v>0</v>
      </c>
      <c r="BK5" s="12">
        <v>0</v>
      </c>
      <c r="BL5" s="12">
        <v>0</v>
      </c>
      <c r="BM5" s="12">
        <v>0</v>
      </c>
      <c r="BN5" s="12">
        <v>0</v>
      </c>
      <c r="BO5" s="12">
        <v>0</v>
      </c>
      <c r="BP5" s="12">
        <v>0</v>
      </c>
      <c r="BQ5" s="12">
        <v>0</v>
      </c>
      <c r="BR5" s="12">
        <v>0</v>
      </c>
      <c r="BS5" s="12">
        <v>0</v>
      </c>
      <c r="BT5" s="12">
        <v>0</v>
      </c>
      <c r="BU5" s="12">
        <v>0</v>
      </c>
    </row>
    <row r="6" spans="1:73" s="13" customFormat="1" x14ac:dyDescent="0.25">
      <c r="A6" s="6" t="s">
        <v>12</v>
      </c>
      <c r="B6" s="6" t="s">
        <v>21</v>
      </c>
      <c r="C6" s="6" t="s">
        <v>23</v>
      </c>
      <c r="D6" s="6" t="s">
        <v>26</v>
      </c>
      <c r="E6" s="7" t="s">
        <v>15</v>
      </c>
      <c r="F6" s="6" t="s">
        <v>23</v>
      </c>
      <c r="G6" s="8" t="s">
        <v>17</v>
      </c>
      <c r="H6" s="16">
        <v>2012</v>
      </c>
      <c r="I6" s="9" t="s">
        <v>18</v>
      </c>
      <c r="J6" s="6" t="s">
        <v>27</v>
      </c>
      <c r="K6" s="10">
        <v>9177.7165318592943</v>
      </c>
      <c r="L6" s="11">
        <v>1.7028184937745074E-2</v>
      </c>
      <c r="M6" s="11">
        <v>252.79640480658867</v>
      </c>
      <c r="N6" s="12">
        <v>0</v>
      </c>
      <c r="O6" s="12">
        <v>1.2803146569733137E-2</v>
      </c>
      <c r="P6" s="12">
        <v>1.2803146569733137E-2</v>
      </c>
      <c r="Q6" s="12">
        <v>1.2803146569733137E-2</v>
      </c>
      <c r="R6" s="12">
        <v>1.2803146569733137E-2</v>
      </c>
      <c r="S6" s="12">
        <v>1.1718967303993572E-2</v>
      </c>
      <c r="T6" s="12">
        <v>9.9170079831478776E-3</v>
      </c>
      <c r="U6" s="12">
        <v>7.4241984885496902E-3</v>
      </c>
      <c r="V6" s="12">
        <v>7.3967873311776011E-3</v>
      </c>
      <c r="W6" s="12">
        <v>7.3967873311776011E-3</v>
      </c>
      <c r="X6" s="12">
        <v>4.770269733778784E-3</v>
      </c>
      <c r="Y6" s="12">
        <v>1.8663165529934768E-3</v>
      </c>
      <c r="Z6" s="12">
        <v>1.8661526869894803E-3</v>
      </c>
      <c r="AA6" s="12">
        <v>1.8661526869894803E-3</v>
      </c>
      <c r="AB6" s="12">
        <v>1.8341281284679012E-3</v>
      </c>
      <c r="AC6" s="12">
        <v>1.8341281284679012E-3</v>
      </c>
      <c r="AD6" s="12">
        <v>1.7885580322941521E-3</v>
      </c>
      <c r="AE6" s="12">
        <v>5.0183488486532028E-4</v>
      </c>
      <c r="AF6" s="12">
        <v>5.0183488486532028E-4</v>
      </c>
      <c r="AG6" s="12">
        <v>5.0183488486532028E-4</v>
      </c>
      <c r="AH6" s="12">
        <v>5.0183488486532028E-4</v>
      </c>
      <c r="AI6" s="12">
        <v>0</v>
      </c>
      <c r="AJ6" s="12">
        <v>0</v>
      </c>
      <c r="AK6" s="12">
        <v>0</v>
      </c>
      <c r="AL6" s="12">
        <v>0</v>
      </c>
      <c r="AM6" s="12">
        <v>0</v>
      </c>
      <c r="AN6" s="12">
        <v>0</v>
      </c>
      <c r="AO6" s="12">
        <v>0</v>
      </c>
      <c r="AP6" s="12">
        <v>0</v>
      </c>
      <c r="AQ6" s="12">
        <v>0</v>
      </c>
      <c r="AR6" s="12">
        <v>0</v>
      </c>
      <c r="AS6" s="12">
        <v>231.68483305517074</v>
      </c>
      <c r="AT6" s="12">
        <v>231.68483305517074</v>
      </c>
      <c r="AU6" s="12">
        <v>231.68483305517074</v>
      </c>
      <c r="AV6" s="12">
        <v>231.68483305517074</v>
      </c>
      <c r="AW6" s="12">
        <v>208.26992615770121</v>
      </c>
      <c r="AX6" s="12">
        <v>169.35319802617036</v>
      </c>
      <c r="AY6" s="12">
        <v>115.51625050870548</v>
      </c>
      <c r="AZ6" s="12">
        <v>115.27612877012598</v>
      </c>
      <c r="BA6" s="12">
        <v>115.27612877012598</v>
      </c>
      <c r="BB6" s="12">
        <v>58.551501255960012</v>
      </c>
      <c r="BC6" s="12">
        <v>43.452851087628027</v>
      </c>
      <c r="BD6" s="12">
        <v>42.102407757848894</v>
      </c>
      <c r="BE6" s="12">
        <v>42.102407757848894</v>
      </c>
      <c r="BF6" s="12">
        <v>39.16303289786768</v>
      </c>
      <c r="BG6" s="12">
        <v>39.16303289786768</v>
      </c>
      <c r="BH6" s="12">
        <v>38.627301895799974</v>
      </c>
      <c r="BI6" s="12">
        <v>10.838075840722125</v>
      </c>
      <c r="BJ6" s="12">
        <v>10.838075840722125</v>
      </c>
      <c r="BK6" s="12">
        <v>10.838075840722125</v>
      </c>
      <c r="BL6" s="12">
        <v>10.838075840722125</v>
      </c>
      <c r="BM6" s="12">
        <v>0</v>
      </c>
      <c r="BN6" s="12">
        <v>0</v>
      </c>
      <c r="BO6" s="12">
        <v>0</v>
      </c>
      <c r="BP6" s="12">
        <v>0</v>
      </c>
      <c r="BQ6" s="12">
        <v>0</v>
      </c>
      <c r="BR6" s="12">
        <v>0</v>
      </c>
      <c r="BS6" s="12">
        <v>0</v>
      </c>
      <c r="BT6" s="12">
        <v>0</v>
      </c>
      <c r="BU6" s="12">
        <v>0</v>
      </c>
    </row>
    <row r="7" spans="1:73" s="13" customFormat="1" x14ac:dyDescent="0.25">
      <c r="A7" s="6" t="s">
        <v>12</v>
      </c>
      <c r="B7" s="6" t="s">
        <v>21</v>
      </c>
      <c r="C7" s="6" t="s">
        <v>23</v>
      </c>
      <c r="D7" s="6" t="s">
        <v>28</v>
      </c>
      <c r="E7" s="7" t="s">
        <v>15</v>
      </c>
      <c r="F7" s="6" t="s">
        <v>23</v>
      </c>
      <c r="G7" s="8" t="s">
        <v>17</v>
      </c>
      <c r="H7" s="16">
        <v>2012</v>
      </c>
      <c r="I7" s="9" t="s">
        <v>18</v>
      </c>
      <c r="J7" s="6" t="s">
        <v>27</v>
      </c>
      <c r="K7" s="10">
        <v>267.23290991884545</v>
      </c>
      <c r="L7" s="12">
        <v>2.651083068158781E-3</v>
      </c>
      <c r="M7" s="12">
        <v>12.095665110353419</v>
      </c>
      <c r="N7" s="12">
        <v>0</v>
      </c>
      <c r="O7" s="12">
        <v>1.9932955399690083E-3</v>
      </c>
      <c r="P7" s="12">
        <v>1.9932955399690083E-3</v>
      </c>
      <c r="Q7" s="12">
        <v>1.9932955399690083E-3</v>
      </c>
      <c r="R7" s="12">
        <v>1.9932955399690083E-3</v>
      </c>
      <c r="S7" s="12">
        <v>1.9848814096906395E-3</v>
      </c>
      <c r="T7" s="12">
        <v>1.9848814096906395E-3</v>
      </c>
      <c r="U7" s="12">
        <v>1.6930010708335738E-3</v>
      </c>
      <c r="V7" s="12">
        <v>1.6894664742250678E-3</v>
      </c>
      <c r="W7" s="12">
        <v>1.6894664742250678E-3</v>
      </c>
      <c r="X7" s="12">
        <v>1.6894664742250678E-3</v>
      </c>
      <c r="Y7" s="12">
        <v>3.1077209367741691E-5</v>
      </c>
      <c r="Z7" s="12">
        <v>3.1055806949124139E-5</v>
      </c>
      <c r="AA7" s="12">
        <v>3.1055806949124139E-5</v>
      </c>
      <c r="AB7" s="12">
        <v>2.9937515122189419E-5</v>
      </c>
      <c r="AC7" s="12">
        <v>2.9937515122189419E-5</v>
      </c>
      <c r="AD7" s="12">
        <v>2.7964007020176668E-5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  <c r="AR7" s="12">
        <v>0</v>
      </c>
      <c r="AS7" s="12">
        <v>12.095665110353419</v>
      </c>
      <c r="AT7" s="12">
        <v>12.095665110353419</v>
      </c>
      <c r="AU7" s="12">
        <v>12.095665110353419</v>
      </c>
      <c r="AV7" s="12">
        <v>12.095665110353419</v>
      </c>
      <c r="AW7" s="12">
        <v>11.913946013413497</v>
      </c>
      <c r="AX7" s="12">
        <v>11.913946013413497</v>
      </c>
      <c r="AY7" s="12">
        <v>5.6102366772290742</v>
      </c>
      <c r="AZ7" s="12">
        <v>5.5792736109385599</v>
      </c>
      <c r="BA7" s="12">
        <v>5.5792736109385599</v>
      </c>
      <c r="BB7" s="12">
        <v>5.5792736109385599</v>
      </c>
      <c r="BC7" s="12">
        <v>0.90615955630195688</v>
      </c>
      <c r="BD7" s="12">
        <v>0.72977914329176685</v>
      </c>
      <c r="BE7" s="12">
        <v>0.72977914329176685</v>
      </c>
      <c r="BF7" s="12">
        <v>0.627136701554453</v>
      </c>
      <c r="BG7" s="12">
        <v>0.627136701554453</v>
      </c>
      <c r="BH7" s="12">
        <v>0.60393575264600929</v>
      </c>
      <c r="BI7" s="12">
        <v>0</v>
      </c>
      <c r="BJ7" s="12">
        <v>0</v>
      </c>
      <c r="BK7" s="12">
        <v>0</v>
      </c>
      <c r="BL7" s="12">
        <v>0</v>
      </c>
      <c r="BM7" s="12">
        <v>0</v>
      </c>
      <c r="BN7" s="12">
        <v>0</v>
      </c>
      <c r="BO7" s="12">
        <v>0</v>
      </c>
      <c r="BP7" s="12">
        <v>0</v>
      </c>
      <c r="BQ7" s="12">
        <v>0</v>
      </c>
      <c r="BR7" s="12">
        <v>0</v>
      </c>
      <c r="BS7" s="12">
        <v>0</v>
      </c>
      <c r="BT7" s="12">
        <v>0</v>
      </c>
      <c r="BU7" s="12">
        <v>0</v>
      </c>
    </row>
    <row r="8" spans="1:73" s="13" customFormat="1" x14ac:dyDescent="0.25">
      <c r="A8" s="6" t="s">
        <v>12</v>
      </c>
      <c r="B8" s="6" t="s">
        <v>21</v>
      </c>
      <c r="C8" s="6" t="s">
        <v>23</v>
      </c>
      <c r="D8" s="6" t="s">
        <v>29</v>
      </c>
      <c r="E8" s="7" t="s">
        <v>15</v>
      </c>
      <c r="F8" s="6" t="s">
        <v>23</v>
      </c>
      <c r="G8" s="8" t="s">
        <v>17</v>
      </c>
      <c r="H8" s="16">
        <v>2012</v>
      </c>
      <c r="I8" s="9" t="s">
        <v>18</v>
      </c>
      <c r="J8" s="6" t="s">
        <v>30</v>
      </c>
      <c r="K8" s="10">
        <v>1040.8636425400905</v>
      </c>
      <c r="L8" s="11">
        <v>0.29970781904131172</v>
      </c>
      <c r="M8" s="11">
        <v>909.9532904318196</v>
      </c>
      <c r="N8" s="12">
        <v>0</v>
      </c>
      <c r="O8" s="12">
        <v>0.2253442248430915</v>
      </c>
      <c r="P8" s="12">
        <v>0.2253442248430915</v>
      </c>
      <c r="Q8" s="12">
        <v>0.2253442248430915</v>
      </c>
      <c r="R8" s="12">
        <v>0.2253442248430915</v>
      </c>
      <c r="S8" s="12">
        <v>0.2253442248430915</v>
      </c>
      <c r="T8" s="12">
        <v>0.2253442248430915</v>
      </c>
      <c r="U8" s="12">
        <v>0.2253442248430915</v>
      </c>
      <c r="V8" s="12">
        <v>0.2253442248430915</v>
      </c>
      <c r="W8" s="12">
        <v>0.2253442248430915</v>
      </c>
      <c r="X8" s="12">
        <v>0.2253442248430915</v>
      </c>
      <c r="Y8" s="12">
        <v>0.2253442248430915</v>
      </c>
      <c r="Z8" s="12">
        <v>0.2253442248430915</v>
      </c>
      <c r="AA8" s="12">
        <v>0.2253442248430915</v>
      </c>
      <c r="AB8" s="12">
        <v>0.2253442248430915</v>
      </c>
      <c r="AC8" s="12">
        <v>0.2253442248430915</v>
      </c>
      <c r="AD8" s="12">
        <v>0.2253442248430915</v>
      </c>
      <c r="AE8" s="12">
        <v>0.2253442248430915</v>
      </c>
      <c r="AF8" s="12">
        <v>0.2253442248430915</v>
      </c>
      <c r="AG8" s="12">
        <v>0.17132370652434203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379.03833946903831</v>
      </c>
      <c r="AT8" s="12">
        <v>379.03833946903831</v>
      </c>
      <c r="AU8" s="12">
        <v>379.03833946903831</v>
      </c>
      <c r="AV8" s="12">
        <v>379.03833946903831</v>
      </c>
      <c r="AW8" s="12">
        <v>379.03833946903831</v>
      </c>
      <c r="AX8" s="12">
        <v>379.03833946903831</v>
      </c>
      <c r="AY8" s="12">
        <v>379.03833946903831</v>
      </c>
      <c r="AZ8" s="12">
        <v>379.03833946903831</v>
      </c>
      <c r="BA8" s="12">
        <v>379.03833946903831</v>
      </c>
      <c r="BB8" s="12">
        <v>379.03833946903831</v>
      </c>
      <c r="BC8" s="12">
        <v>379.03833946903831</v>
      </c>
      <c r="BD8" s="12">
        <v>379.03833946903831</v>
      </c>
      <c r="BE8" s="12">
        <v>379.03833946903831</v>
      </c>
      <c r="BF8" s="12">
        <v>379.03833946903831</v>
      </c>
      <c r="BG8" s="12">
        <v>379.03833946903831</v>
      </c>
      <c r="BH8" s="12">
        <v>379.03833946903831</v>
      </c>
      <c r="BI8" s="12">
        <v>379.03833946903831</v>
      </c>
      <c r="BJ8" s="12">
        <v>379.03833946903831</v>
      </c>
      <c r="BK8" s="12">
        <v>330.73025217451908</v>
      </c>
      <c r="BL8" s="12">
        <v>0</v>
      </c>
      <c r="BM8" s="12">
        <v>0</v>
      </c>
      <c r="BN8" s="12">
        <v>0</v>
      </c>
      <c r="BO8" s="12">
        <v>0</v>
      </c>
      <c r="BP8" s="12">
        <v>0</v>
      </c>
      <c r="BQ8" s="12">
        <v>0</v>
      </c>
      <c r="BR8" s="12">
        <v>0</v>
      </c>
      <c r="BS8" s="12">
        <v>0</v>
      </c>
      <c r="BT8" s="12">
        <v>0</v>
      </c>
      <c r="BU8" s="12">
        <v>0</v>
      </c>
    </row>
    <row r="9" spans="1:73" s="13" customFormat="1" x14ac:dyDescent="0.25">
      <c r="A9" s="6" t="s">
        <v>12</v>
      </c>
      <c r="B9" s="6" t="s">
        <v>21</v>
      </c>
      <c r="C9" s="6" t="s">
        <v>23</v>
      </c>
      <c r="D9" s="6" t="s">
        <v>31</v>
      </c>
      <c r="E9" s="7" t="s">
        <v>15</v>
      </c>
      <c r="F9" s="6" t="s">
        <v>23</v>
      </c>
      <c r="G9" s="8" t="s">
        <v>32</v>
      </c>
      <c r="H9" s="16">
        <v>2012</v>
      </c>
      <c r="I9" s="9" t="s">
        <v>18</v>
      </c>
      <c r="J9" s="6" t="s">
        <v>33</v>
      </c>
      <c r="K9" s="10">
        <v>869</v>
      </c>
      <c r="L9" s="11">
        <v>0.59820327700000009</v>
      </c>
      <c r="M9" s="11">
        <v>3.2632800000000004</v>
      </c>
      <c r="N9" s="12">
        <v>0</v>
      </c>
      <c r="O9" s="12">
        <v>0.44977690000000004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4">
        <v>0</v>
      </c>
      <c r="AS9" s="14">
        <v>3.2632800000000004</v>
      </c>
      <c r="AT9" s="14">
        <v>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  <c r="BD9" s="14">
        <v>0</v>
      </c>
      <c r="BE9" s="14">
        <v>0</v>
      </c>
      <c r="BF9" s="14">
        <v>0</v>
      </c>
      <c r="BG9" s="14">
        <v>0</v>
      </c>
      <c r="BH9" s="14">
        <v>0</v>
      </c>
      <c r="BI9" s="14">
        <v>0</v>
      </c>
      <c r="BJ9" s="14">
        <v>0</v>
      </c>
      <c r="BK9" s="14">
        <v>0</v>
      </c>
      <c r="BL9" s="14">
        <v>0</v>
      </c>
      <c r="BM9" s="14">
        <v>0</v>
      </c>
      <c r="BN9" s="14">
        <v>0</v>
      </c>
      <c r="BO9" s="14">
        <v>0</v>
      </c>
      <c r="BP9" s="14">
        <v>0</v>
      </c>
      <c r="BQ9" s="14">
        <v>0</v>
      </c>
      <c r="BR9" s="14">
        <v>0</v>
      </c>
      <c r="BS9" s="14">
        <v>0</v>
      </c>
      <c r="BT9" s="14">
        <v>0</v>
      </c>
      <c r="BU9" s="14">
        <v>0</v>
      </c>
    </row>
    <row r="10" spans="1:73" s="13" customFormat="1" x14ac:dyDescent="0.25">
      <c r="A10" s="6" t="s">
        <v>12</v>
      </c>
      <c r="B10" s="6" t="s">
        <v>34</v>
      </c>
      <c r="C10" s="6" t="s">
        <v>45</v>
      </c>
      <c r="D10" s="6" t="s">
        <v>35</v>
      </c>
      <c r="E10" s="7" t="s">
        <v>15</v>
      </c>
      <c r="F10" s="6" t="s">
        <v>34</v>
      </c>
      <c r="G10" s="8" t="s">
        <v>32</v>
      </c>
      <c r="H10" s="16">
        <v>2012</v>
      </c>
      <c r="I10" s="9" t="s">
        <v>18</v>
      </c>
      <c r="J10" s="6" t="s">
        <v>36</v>
      </c>
      <c r="K10" s="10">
        <v>2</v>
      </c>
      <c r="L10" s="11">
        <v>0.58519666648800017</v>
      </c>
      <c r="M10" s="11">
        <v>10.60375</v>
      </c>
      <c r="N10" s="12">
        <v>0</v>
      </c>
      <c r="O10" s="12">
        <v>0.43999749360000007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10.60375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>
        <v>0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</row>
    <row r="11" spans="1:73" s="13" customFormat="1" x14ac:dyDescent="0.25">
      <c r="A11" s="6" t="s">
        <v>12</v>
      </c>
      <c r="B11" s="6" t="s">
        <v>37</v>
      </c>
      <c r="C11" s="6" t="s">
        <v>45</v>
      </c>
      <c r="D11" s="6" t="s">
        <v>38</v>
      </c>
      <c r="E11" s="7" t="s">
        <v>15</v>
      </c>
      <c r="F11" s="6" t="s">
        <v>16</v>
      </c>
      <c r="G11" s="8" t="s">
        <v>17</v>
      </c>
      <c r="H11" s="16">
        <v>2012</v>
      </c>
      <c r="I11" s="9" t="s">
        <v>18</v>
      </c>
      <c r="J11" s="6" t="s">
        <v>19</v>
      </c>
      <c r="K11" s="10">
        <v>8.6508718812876063E-3</v>
      </c>
      <c r="L11" s="11">
        <v>1.3001395350387146E-3</v>
      </c>
      <c r="M11" s="11">
        <v>1.8941689545110905</v>
      </c>
      <c r="N11" s="12">
        <v>0</v>
      </c>
      <c r="O11" s="12">
        <v>9.7754852258549957E-4</v>
      </c>
      <c r="P11" s="12">
        <v>9.7754852258549957E-4</v>
      </c>
      <c r="Q11" s="12">
        <v>9.7754852258549957E-4</v>
      </c>
      <c r="R11" s="12">
        <v>9.7754852258549957E-4</v>
      </c>
      <c r="S11" s="12">
        <v>9.7754852258549957E-4</v>
      </c>
      <c r="T11" s="12">
        <v>9.7754852258549957E-4</v>
      </c>
      <c r="U11" s="12">
        <v>9.7754852258549957E-4</v>
      </c>
      <c r="V11" s="12">
        <v>9.7754852258549957E-4</v>
      </c>
      <c r="W11" s="12">
        <v>9.7754852258549957E-4</v>
      </c>
      <c r="X11" s="12">
        <v>9.7754852258549957E-4</v>
      </c>
      <c r="Y11" s="12">
        <v>9.7754852258549957E-4</v>
      </c>
      <c r="Z11" s="12">
        <v>9.7754852258549957E-4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0.94708447725554523</v>
      </c>
      <c r="AT11" s="12">
        <v>0.94708447725554523</v>
      </c>
      <c r="AU11" s="12">
        <v>0.94708447725554523</v>
      </c>
      <c r="AV11" s="12">
        <v>0.94708447725554523</v>
      </c>
      <c r="AW11" s="12">
        <v>0.94708447725554523</v>
      </c>
      <c r="AX11" s="12">
        <v>0.94708447725554523</v>
      </c>
      <c r="AY11" s="12">
        <v>0.94708447725554523</v>
      </c>
      <c r="AZ11" s="12">
        <v>0.94708447725554523</v>
      </c>
      <c r="BA11" s="12">
        <v>0.94708447725554523</v>
      </c>
      <c r="BB11" s="12">
        <v>0.94708447725554523</v>
      </c>
      <c r="BC11" s="12">
        <v>0.94708447725554523</v>
      </c>
      <c r="BD11" s="12">
        <v>0.94708447725554523</v>
      </c>
      <c r="BE11" s="12">
        <v>0</v>
      </c>
      <c r="BF11" s="12">
        <v>0</v>
      </c>
      <c r="BG11" s="12">
        <v>0</v>
      </c>
      <c r="BH11" s="12">
        <v>0</v>
      </c>
      <c r="BI11" s="12">
        <v>0</v>
      </c>
      <c r="BJ11" s="12">
        <v>0</v>
      </c>
      <c r="BK11" s="12">
        <v>0</v>
      </c>
      <c r="BL11" s="12">
        <v>0</v>
      </c>
      <c r="BM11" s="12">
        <v>0</v>
      </c>
      <c r="BN11" s="12">
        <v>0</v>
      </c>
      <c r="BO11" s="12">
        <v>0</v>
      </c>
      <c r="BP11" s="12">
        <v>0</v>
      </c>
      <c r="BQ11" s="12">
        <v>0</v>
      </c>
      <c r="BR11" s="12">
        <v>0</v>
      </c>
      <c r="BS11" s="12">
        <v>0</v>
      </c>
      <c r="BT11" s="12">
        <v>0</v>
      </c>
      <c r="BU11" s="12">
        <v>0</v>
      </c>
    </row>
    <row r="12" spans="1:73" s="13" customFormat="1" x14ac:dyDescent="0.25">
      <c r="A12" s="6" t="s">
        <v>12</v>
      </c>
      <c r="B12" s="6" t="s">
        <v>13</v>
      </c>
      <c r="C12" s="6" t="s">
        <v>45</v>
      </c>
      <c r="D12" s="6" t="s">
        <v>39</v>
      </c>
      <c r="E12" s="7" t="s">
        <v>15</v>
      </c>
      <c r="F12" s="6" t="s">
        <v>16</v>
      </c>
      <c r="G12" s="8" t="s">
        <v>32</v>
      </c>
      <c r="H12" s="16">
        <v>2012</v>
      </c>
      <c r="I12" s="9" t="s">
        <v>18</v>
      </c>
      <c r="J12" s="6" t="s">
        <v>36</v>
      </c>
      <c r="K12" s="15">
        <v>1</v>
      </c>
      <c r="L12" s="11">
        <v>0.14467857904500001</v>
      </c>
      <c r="M12" s="11">
        <v>1.5811649999999999</v>
      </c>
      <c r="N12" s="12">
        <v>0</v>
      </c>
      <c r="O12" s="12">
        <v>0.10878088650000001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1.5811649999999999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v>0</v>
      </c>
      <c r="BH12" s="12">
        <v>0</v>
      </c>
      <c r="BI12" s="12">
        <v>0</v>
      </c>
      <c r="BJ12" s="12">
        <v>0</v>
      </c>
      <c r="BK12" s="12">
        <v>0</v>
      </c>
      <c r="BL12" s="12">
        <v>0</v>
      </c>
      <c r="BM12" s="12">
        <v>0</v>
      </c>
      <c r="BN12" s="12">
        <v>0</v>
      </c>
      <c r="BO12" s="12">
        <v>0</v>
      </c>
      <c r="BP12" s="12">
        <v>0</v>
      </c>
      <c r="BQ12" s="12">
        <v>0</v>
      </c>
      <c r="BR12" s="12">
        <v>0</v>
      </c>
      <c r="BS12" s="12">
        <v>0</v>
      </c>
      <c r="BT12" s="12">
        <v>0</v>
      </c>
      <c r="BU12" s="12">
        <v>0</v>
      </c>
    </row>
    <row r="13" spans="1:73" s="13" customFormat="1" x14ac:dyDescent="0.25">
      <c r="A13" s="9" t="s">
        <v>40</v>
      </c>
      <c r="B13" s="9" t="s">
        <v>13</v>
      </c>
      <c r="C13" s="6" t="s">
        <v>45</v>
      </c>
      <c r="D13" s="9" t="s">
        <v>20</v>
      </c>
      <c r="E13" s="7" t="s">
        <v>15</v>
      </c>
      <c r="F13" s="9" t="s">
        <v>16</v>
      </c>
      <c r="G13" s="16" t="s">
        <v>17</v>
      </c>
      <c r="H13" s="16">
        <v>2011</v>
      </c>
      <c r="I13" s="9" t="s">
        <v>18</v>
      </c>
      <c r="J13" s="9" t="s">
        <v>19</v>
      </c>
      <c r="K13" s="15">
        <v>1</v>
      </c>
      <c r="L13" s="11">
        <v>1.0240641428930319E-3</v>
      </c>
      <c r="M13" s="11">
        <v>5.8569255161684133</v>
      </c>
      <c r="N13" s="12">
        <v>7.6997303976919691E-4</v>
      </c>
      <c r="O13" s="12">
        <v>7.6997303976919691E-4</v>
      </c>
      <c r="P13" s="12">
        <v>7.6997303976919691E-4</v>
      </c>
      <c r="Q13" s="12">
        <v>7.6997303976919691E-4</v>
      </c>
      <c r="R13" s="12">
        <v>7.6997303976919691E-4</v>
      </c>
      <c r="S13" s="12">
        <v>7.6997303976919691E-4</v>
      </c>
      <c r="T13" s="12">
        <v>7.1681601259111728E-4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4.6475103910139399</v>
      </c>
      <c r="AS13" s="12">
        <v>4.6475103910139399</v>
      </c>
      <c r="AT13" s="12">
        <v>4.6475103910139399</v>
      </c>
      <c r="AU13" s="12">
        <v>4.6475103910139399</v>
      </c>
      <c r="AV13" s="12">
        <v>4.6475103910139399</v>
      </c>
      <c r="AW13" s="12">
        <v>4.6475103910139399</v>
      </c>
      <c r="AX13" s="12">
        <v>4.3266578112410308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2">
        <v>0</v>
      </c>
      <c r="BH13" s="12">
        <v>0</v>
      </c>
      <c r="BI13" s="12">
        <v>0</v>
      </c>
      <c r="BJ13" s="12">
        <v>0</v>
      </c>
      <c r="BK13" s="12">
        <v>0</v>
      </c>
      <c r="BL13" s="12">
        <v>0</v>
      </c>
      <c r="BM13" s="12">
        <v>0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</row>
    <row r="14" spans="1:73" s="13" customFormat="1" x14ac:dyDescent="0.25">
      <c r="A14" s="9" t="s">
        <v>40</v>
      </c>
      <c r="B14" s="9" t="s">
        <v>37</v>
      </c>
      <c r="C14" s="6" t="s">
        <v>45</v>
      </c>
      <c r="D14" s="9" t="s">
        <v>38</v>
      </c>
      <c r="E14" s="9" t="s">
        <v>15</v>
      </c>
      <c r="F14" s="9" t="s">
        <v>16</v>
      </c>
      <c r="G14" s="16" t="s">
        <v>17</v>
      </c>
      <c r="H14" s="16">
        <v>2011</v>
      </c>
      <c r="I14" s="9" t="s">
        <v>18</v>
      </c>
      <c r="J14" s="9" t="s">
        <v>41</v>
      </c>
      <c r="K14" s="10">
        <v>0.99376907964712413</v>
      </c>
      <c r="L14" s="11">
        <v>2.775961483284422E-3</v>
      </c>
      <c r="M14" s="11">
        <v>19.886133278688021</v>
      </c>
      <c r="N14" s="12">
        <v>1.9359553425514035E-3</v>
      </c>
      <c r="O14" s="12">
        <v>1.9359553425514035E-3</v>
      </c>
      <c r="P14" s="12">
        <v>1.9359553425514035E-3</v>
      </c>
      <c r="Q14" s="12">
        <v>1.9359553425514035E-3</v>
      </c>
      <c r="R14" s="12">
        <v>1.9359553425514001E-3</v>
      </c>
      <c r="S14" s="12">
        <v>1.9359553425514001E-3</v>
      </c>
      <c r="T14" s="12">
        <v>1.9359553425514001E-3</v>
      </c>
      <c r="U14" s="12">
        <v>1.9359553425514001E-3</v>
      </c>
      <c r="V14" s="12">
        <v>1.9359553425514001E-3</v>
      </c>
      <c r="W14" s="12">
        <v>1.9359553425514001E-3</v>
      </c>
      <c r="X14" s="12">
        <v>1.9359553425514001E-3</v>
      </c>
      <c r="Y14" s="12">
        <v>1.9359553425514001E-3</v>
      </c>
      <c r="Z14" s="12">
        <v>1.9359553425514001E-3</v>
      </c>
      <c r="AA14" s="12">
        <v>1.9359553425514001E-3</v>
      </c>
      <c r="AB14" s="12">
        <v>1.9359553425514001E-3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2">
        <v>9.9430666393440106</v>
      </c>
      <c r="AS14" s="12">
        <v>9.9430666393440106</v>
      </c>
      <c r="AT14" s="12">
        <v>9.9430666393440106</v>
      </c>
      <c r="AU14" s="12">
        <v>9.9430666393440106</v>
      </c>
      <c r="AV14" s="12">
        <v>9.9430666393440106</v>
      </c>
      <c r="AW14" s="12">
        <v>9.9430666393440106</v>
      </c>
      <c r="AX14" s="12">
        <v>9.9430666393440106</v>
      </c>
      <c r="AY14" s="12">
        <v>9.9430666393440106</v>
      </c>
      <c r="AZ14" s="12">
        <v>9.9430666393440106</v>
      </c>
      <c r="BA14" s="12">
        <v>9.9430666393440106</v>
      </c>
      <c r="BB14" s="12">
        <v>9.9430666393440106</v>
      </c>
      <c r="BC14" s="12">
        <v>9.9430666393440106</v>
      </c>
      <c r="BD14" s="12">
        <v>9.9430666393440106</v>
      </c>
      <c r="BE14" s="12">
        <v>9.9430666393440106</v>
      </c>
      <c r="BF14" s="12">
        <v>9.9430666393440106</v>
      </c>
      <c r="BG14" s="12">
        <v>0</v>
      </c>
      <c r="BH14" s="12">
        <v>0</v>
      </c>
      <c r="BI14" s="12">
        <v>0</v>
      </c>
      <c r="BJ14" s="12">
        <v>0</v>
      </c>
      <c r="BK14" s="12">
        <v>0</v>
      </c>
      <c r="BL14" s="12">
        <v>0</v>
      </c>
      <c r="BM14" s="12">
        <v>0</v>
      </c>
      <c r="BN14" s="12">
        <v>0</v>
      </c>
      <c r="BO14" s="12">
        <v>0</v>
      </c>
      <c r="BP14" s="12">
        <v>0</v>
      </c>
      <c r="BQ14" s="12">
        <v>0</v>
      </c>
      <c r="BR14" s="12">
        <v>0</v>
      </c>
      <c r="BS14" s="12">
        <v>0</v>
      </c>
      <c r="BT14" s="12">
        <v>0</v>
      </c>
      <c r="BU14" s="12">
        <v>0</v>
      </c>
    </row>
    <row r="15" spans="1:73" s="13" customFormat="1" x14ac:dyDescent="0.25">
      <c r="A15" s="9" t="s">
        <v>40</v>
      </c>
      <c r="B15" s="9" t="s">
        <v>21</v>
      </c>
      <c r="C15" s="9" t="s">
        <v>23</v>
      </c>
      <c r="D15" s="9" t="s">
        <v>29</v>
      </c>
      <c r="E15" s="7" t="s">
        <v>15</v>
      </c>
      <c r="F15" s="9" t="s">
        <v>23</v>
      </c>
      <c r="G15" s="16" t="s">
        <v>17</v>
      </c>
      <c r="H15" s="16">
        <v>2011</v>
      </c>
      <c r="I15" s="9" t="s">
        <v>18</v>
      </c>
      <c r="J15" s="9" t="s">
        <v>30</v>
      </c>
      <c r="K15" s="10">
        <v>-147.88939120835005</v>
      </c>
      <c r="L15" s="11">
        <v>-9.6197033153970574E-2</v>
      </c>
      <c r="M15" s="11">
        <v>-173.40264021958032</v>
      </c>
      <c r="N15" s="12">
        <v>-4.0070588338908877E-2</v>
      </c>
      <c r="O15" s="12">
        <v>-4.0070588338908877E-2</v>
      </c>
      <c r="P15" s="12">
        <v>-4.0070588338908877E-2</v>
      </c>
      <c r="Q15" s="12">
        <v>-4.0070588338908877E-2</v>
      </c>
      <c r="R15" s="12">
        <v>-4.0070588338908877E-2</v>
      </c>
      <c r="S15" s="12">
        <v>-4.0070588338908877E-2</v>
      </c>
      <c r="T15" s="12">
        <v>-4.0070588338908877E-2</v>
      </c>
      <c r="U15" s="12">
        <v>-4.0070588338908877E-2</v>
      </c>
      <c r="V15" s="12">
        <v>-4.0070588338908877E-2</v>
      </c>
      <c r="W15" s="12">
        <v>-4.0070588338908877E-2</v>
      </c>
      <c r="X15" s="12">
        <v>-4.0070588338908877E-2</v>
      </c>
      <c r="Y15" s="12">
        <v>-4.0070588338908877E-2</v>
      </c>
      <c r="Z15" s="12">
        <v>-4.0070588338908877E-2</v>
      </c>
      <c r="AA15" s="12">
        <v>-4.0070588338908877E-2</v>
      </c>
      <c r="AB15" s="12">
        <v>-4.0070588338908877E-2</v>
      </c>
      <c r="AC15" s="12">
        <v>-4.0070588338908877E-2</v>
      </c>
      <c r="AD15" s="12">
        <v>-4.0070588338908877E-2</v>
      </c>
      <c r="AE15" s="12">
        <v>-4.0070588338908877E-2</v>
      </c>
      <c r="AF15" s="12">
        <v>-3.1333854049437268E-2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-72.230354568184836</v>
      </c>
      <c r="AS15" s="12">
        <v>-72.230354568184836</v>
      </c>
      <c r="AT15" s="12">
        <v>-72.230354568184836</v>
      </c>
      <c r="AU15" s="12">
        <v>-72.230354568184836</v>
      </c>
      <c r="AV15" s="12">
        <v>-72.230354568184836</v>
      </c>
      <c r="AW15" s="12">
        <v>-72.230354568184836</v>
      </c>
      <c r="AX15" s="12">
        <v>-72.230354568184836</v>
      </c>
      <c r="AY15" s="12">
        <v>-72.230354568184836</v>
      </c>
      <c r="AZ15" s="12">
        <v>-72.230354568184836</v>
      </c>
      <c r="BA15" s="12">
        <v>-72.230354568184836</v>
      </c>
      <c r="BB15" s="12">
        <v>-72.230354568184836</v>
      </c>
      <c r="BC15" s="12">
        <v>-72.230354568184836</v>
      </c>
      <c r="BD15" s="12">
        <v>-72.230354568184836</v>
      </c>
      <c r="BE15" s="12">
        <v>-72.230354568184836</v>
      </c>
      <c r="BF15" s="12">
        <v>-72.230354568184836</v>
      </c>
      <c r="BG15" s="12">
        <v>-72.230354568184836</v>
      </c>
      <c r="BH15" s="12">
        <v>-72.230354568184836</v>
      </c>
      <c r="BI15" s="12">
        <v>-72.230354568184836</v>
      </c>
      <c r="BJ15" s="12">
        <v>-64.430867088794614</v>
      </c>
      <c r="BK15" s="12">
        <v>0</v>
      </c>
      <c r="BL15" s="12">
        <v>0</v>
      </c>
      <c r="BM15" s="12">
        <v>0</v>
      </c>
      <c r="BN15" s="12">
        <v>0</v>
      </c>
      <c r="BO15" s="12">
        <v>0</v>
      </c>
      <c r="BP15" s="12">
        <v>0</v>
      </c>
      <c r="BQ15" s="12">
        <v>0</v>
      </c>
      <c r="BR15" s="12">
        <v>0</v>
      </c>
      <c r="BS15" s="12">
        <v>0</v>
      </c>
      <c r="BT15" s="12">
        <v>0</v>
      </c>
      <c r="BU15" s="12">
        <v>0</v>
      </c>
    </row>
    <row r="16" spans="1:73" s="13" customFormat="1" x14ac:dyDescent="0.25">
      <c r="A16" s="9" t="s">
        <v>40</v>
      </c>
      <c r="B16" s="9" t="s">
        <v>21</v>
      </c>
      <c r="C16" s="9" t="s">
        <v>23</v>
      </c>
      <c r="D16" s="9" t="s">
        <v>26</v>
      </c>
      <c r="E16" s="7" t="s">
        <v>15</v>
      </c>
      <c r="F16" s="9" t="s">
        <v>23</v>
      </c>
      <c r="G16" s="16" t="s">
        <v>17</v>
      </c>
      <c r="H16" s="16">
        <v>2011</v>
      </c>
      <c r="I16" s="9" t="s">
        <v>18</v>
      </c>
      <c r="J16" s="9" t="s">
        <v>27</v>
      </c>
      <c r="K16" s="10">
        <v>707.78838471130564</v>
      </c>
      <c r="L16" s="11">
        <v>1.0087727362025727E-3</v>
      </c>
      <c r="M16" s="11">
        <v>20.533851998941582</v>
      </c>
      <c r="N16" s="12">
        <v>9.3311826197070634E-4</v>
      </c>
      <c r="O16" s="12">
        <v>9.3311826197070634E-4</v>
      </c>
      <c r="P16" s="12">
        <v>9.3311826197070634E-4</v>
      </c>
      <c r="Q16" s="12">
        <v>9.3311826197070634E-4</v>
      </c>
      <c r="R16" s="12">
        <v>9.3311826197070634E-4</v>
      </c>
      <c r="S16" s="12">
        <v>8.5328070915693314E-4</v>
      </c>
      <c r="T16" s="12">
        <v>4.8761065358164614E-4</v>
      </c>
      <c r="U16" s="12">
        <v>4.8739514602454299E-4</v>
      </c>
      <c r="V16" s="12">
        <v>4.8739514602454299E-4</v>
      </c>
      <c r="W16" s="12">
        <v>1.5304683355226914E-4</v>
      </c>
      <c r="X16" s="12">
        <v>6.358906238568679E-5</v>
      </c>
      <c r="Y16" s="12">
        <v>6.3572040160203038E-5</v>
      </c>
      <c r="Z16" s="12">
        <v>6.3572040160203038E-5</v>
      </c>
      <c r="AA16" s="12">
        <v>6.064901689678842E-5</v>
      </c>
      <c r="AB16" s="12">
        <v>6.064901689678842E-5</v>
      </c>
      <c r="AC16" s="12">
        <v>6.0515175453814732E-5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  <c r="AR16" s="12">
        <v>18.888233854759171</v>
      </c>
      <c r="AS16" s="12">
        <v>18.888233854759171</v>
      </c>
      <c r="AT16" s="12">
        <v>18.888233854759171</v>
      </c>
      <c r="AU16" s="12">
        <v>18.888233854759171</v>
      </c>
      <c r="AV16" s="12">
        <v>18.888233854759171</v>
      </c>
      <c r="AW16" s="12">
        <v>17.163990526068396</v>
      </c>
      <c r="AX16" s="12">
        <v>9.2666523486524408</v>
      </c>
      <c r="AY16" s="12">
        <v>9.2647645024522181</v>
      </c>
      <c r="AZ16" s="12">
        <v>9.2647645024522181</v>
      </c>
      <c r="BA16" s="12">
        <v>2.0438787548133925</v>
      </c>
      <c r="BB16" s="12">
        <v>1.7170857898258358</v>
      </c>
      <c r="BC16" s="12">
        <v>1.5768031790225525</v>
      </c>
      <c r="BD16" s="12">
        <v>1.5768031790225525</v>
      </c>
      <c r="BE16" s="12">
        <v>1.3085134197794472</v>
      </c>
      <c r="BF16" s="12">
        <v>1.3085134197794472</v>
      </c>
      <c r="BG16" s="12">
        <v>1.3069399534850359</v>
      </c>
      <c r="BH16" s="12">
        <v>0</v>
      </c>
      <c r="BI16" s="12">
        <v>0</v>
      </c>
      <c r="BJ16" s="12">
        <v>0</v>
      </c>
      <c r="BK16" s="12">
        <v>0</v>
      </c>
      <c r="BL16" s="12">
        <v>0</v>
      </c>
      <c r="BM16" s="12">
        <v>0</v>
      </c>
      <c r="BN16" s="12">
        <v>0</v>
      </c>
      <c r="BO16" s="12">
        <v>0</v>
      </c>
      <c r="BP16" s="12">
        <v>0</v>
      </c>
      <c r="BQ16" s="12">
        <v>0</v>
      </c>
      <c r="BR16" s="12">
        <v>0</v>
      </c>
      <c r="BS16" s="12">
        <v>0</v>
      </c>
      <c r="BT16" s="12">
        <v>0</v>
      </c>
      <c r="BU16" s="12">
        <v>0</v>
      </c>
    </row>
    <row r="17" spans="1:73" s="13" customFormat="1" x14ac:dyDescent="0.25">
      <c r="A17" s="9" t="s">
        <v>40</v>
      </c>
      <c r="B17" s="9" t="s">
        <v>21</v>
      </c>
      <c r="C17" s="9" t="s">
        <v>23</v>
      </c>
      <c r="D17" s="9" t="s">
        <v>28</v>
      </c>
      <c r="E17" s="7" t="s">
        <v>15</v>
      </c>
      <c r="F17" s="9" t="s">
        <v>23</v>
      </c>
      <c r="G17" s="16" t="s">
        <v>17</v>
      </c>
      <c r="H17" s="16">
        <v>2011</v>
      </c>
      <c r="I17" s="9" t="s">
        <v>18</v>
      </c>
      <c r="J17" s="9" t="s">
        <v>27</v>
      </c>
      <c r="K17" s="10">
        <v>71.075563376659204</v>
      </c>
      <c r="L17" s="12">
        <v>1.3927031489425408E-4</v>
      </c>
      <c r="M17" s="11">
        <v>2.2144107806172593</v>
      </c>
      <c r="N17" s="12">
        <v>1.3927031489425408E-4</v>
      </c>
      <c r="O17" s="12">
        <v>1.3927031489425408E-4</v>
      </c>
      <c r="P17" s="12">
        <v>1.3927031489425408E-4</v>
      </c>
      <c r="Q17" s="12">
        <v>1.3927031489425408E-4</v>
      </c>
      <c r="R17" s="12">
        <v>1.3927031489425408E-4</v>
      </c>
      <c r="S17" s="12">
        <v>1.2973923425446023E-4</v>
      </c>
      <c r="T17" s="12">
        <v>9.0746083205959783E-5</v>
      </c>
      <c r="U17" s="12">
        <v>9.0538328885071337E-5</v>
      </c>
      <c r="V17" s="12">
        <v>9.0538328885071337E-5</v>
      </c>
      <c r="W17" s="12">
        <v>5.0623519179099553E-5</v>
      </c>
      <c r="X17" s="12">
        <v>6.6917422402870871E-6</v>
      </c>
      <c r="Y17" s="12">
        <v>6.6846837182218211E-6</v>
      </c>
      <c r="Z17" s="12">
        <v>6.6846837182218211E-6</v>
      </c>
      <c r="AA17" s="12">
        <v>6.5111211814536368E-6</v>
      </c>
      <c r="AB17" s="12">
        <v>6.5111211814536368E-6</v>
      </c>
      <c r="AC17" s="12">
        <v>6.3920365528069357E-6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2">
        <v>0</v>
      </c>
      <c r="AO17" s="12">
        <v>0</v>
      </c>
      <c r="AP17" s="12">
        <v>0</v>
      </c>
      <c r="AQ17" s="12">
        <v>0</v>
      </c>
      <c r="AR17" s="12">
        <v>2.3846572671527952</v>
      </c>
      <c r="AS17" s="12">
        <v>2.3846572671527952</v>
      </c>
      <c r="AT17" s="12">
        <v>2.3846572671527952</v>
      </c>
      <c r="AU17" s="12">
        <v>2.3846572671527952</v>
      </c>
      <c r="AV17" s="12">
        <v>2.3846572671527952</v>
      </c>
      <c r="AW17" s="12">
        <v>2.1788155093685657</v>
      </c>
      <c r="AX17" s="12">
        <v>1.3366844796658399</v>
      </c>
      <c r="AY17" s="12">
        <v>1.334864551814857</v>
      </c>
      <c r="AZ17" s="12">
        <v>1.334864551814857</v>
      </c>
      <c r="BA17" s="12">
        <v>0.47282855589677214</v>
      </c>
      <c r="BB17" s="12">
        <v>0.21354886928961947</v>
      </c>
      <c r="BC17" s="12">
        <v>0.1553785727750048</v>
      </c>
      <c r="BD17" s="12">
        <v>0.1553785727750048</v>
      </c>
      <c r="BE17" s="12">
        <v>0.13944813124004338</v>
      </c>
      <c r="BF17" s="12">
        <v>0.13944813124004338</v>
      </c>
      <c r="BG17" s="12">
        <v>0.13804814895357834</v>
      </c>
      <c r="BH17" s="12">
        <v>0</v>
      </c>
      <c r="BI17" s="12">
        <v>0</v>
      </c>
      <c r="BJ17" s="12">
        <v>0</v>
      </c>
      <c r="BK17" s="12">
        <v>0</v>
      </c>
      <c r="BL17" s="12">
        <v>0</v>
      </c>
      <c r="BM17" s="12">
        <v>0</v>
      </c>
      <c r="BN17" s="12">
        <v>0</v>
      </c>
      <c r="BO17" s="12">
        <v>0</v>
      </c>
      <c r="BP17" s="12">
        <v>0</v>
      </c>
      <c r="BQ17" s="12">
        <v>0</v>
      </c>
      <c r="BR17" s="12">
        <v>0</v>
      </c>
      <c r="BS17" s="12">
        <v>0</v>
      </c>
      <c r="BT17" s="12">
        <v>0</v>
      </c>
      <c r="BU17" s="12">
        <v>0</v>
      </c>
    </row>
    <row r="19" spans="1:73" x14ac:dyDescent="0.25">
      <c r="N19" s="18" t="s">
        <v>42</v>
      </c>
      <c r="O19" s="18" t="s">
        <v>42</v>
      </c>
      <c r="P19" s="18" t="s">
        <v>42</v>
      </c>
      <c r="AQ19" t="s">
        <v>42</v>
      </c>
      <c r="AR19" s="18" t="s">
        <v>42</v>
      </c>
      <c r="AS19" s="18" t="s">
        <v>42</v>
      </c>
      <c r="AT19" s="18" t="s">
        <v>42</v>
      </c>
    </row>
  </sheetData>
  <autoFilter ref="A1:BU1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LRAM Calculation</vt:lpstr>
      <vt:lpstr>LRAM Calc by program</vt:lpstr>
      <vt:lpstr>Pivot</vt:lpstr>
      <vt:lpstr>OPA Data</vt:lpstr>
      <vt:lpstr>'LRAM Calc by program'!Print_Area</vt:lpstr>
    </vt:vector>
  </TitlesOfParts>
  <Company>Ontario Power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phil.bosco</dc:creator>
  <cp:lastModifiedBy>Cindy Perrin</cp:lastModifiedBy>
  <cp:lastPrinted>2016-06-16T18:29:07Z</cp:lastPrinted>
  <dcterms:created xsi:type="dcterms:W3CDTF">2013-11-08T14:05:57Z</dcterms:created>
  <dcterms:modified xsi:type="dcterms:W3CDTF">2016-08-14T19:43:15Z</dcterms:modified>
</cp:coreProperties>
</file>