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8195" windowHeight="11640"/>
  </bookViews>
  <sheets>
    <sheet name="SUMMARY RRs" sheetId="16" r:id="rId1"/>
    <sheet name="1. FRRR_Res Fixed Only" sheetId="17" r:id="rId2"/>
    <sheet name="2. Rates" sheetId="5" r:id="rId3"/>
    <sheet name="3. Billing Determinants" sheetId="11" r:id="rId4"/>
    <sheet name="4. Customer Count Details" sheetId="10" r:id="rId5"/>
    <sheet name="5 Consumption Demand Details" sheetId="7" r:id="rId6"/>
    <sheet name="Assumptions" sheetId="14" r:id="rId7"/>
  </sheets>
  <externalReferences>
    <externalReference r:id="rId8"/>
    <externalReference r:id="rId9"/>
    <externalReference r:id="rId10"/>
    <externalReference r:id="rId11"/>
  </externalReferences>
  <definedNames>
    <definedName name="ACTUAL">[1]Inputs!$C$13</definedName>
    <definedName name="_xlnm.Print_Area" localSheetId="1">'1. FRRR_Res Fixed Only'!$B$1:$J$60</definedName>
    <definedName name="_xlnm.Print_Area" localSheetId="2">'2. Rates'!$B$1:$I$37</definedName>
    <definedName name="_xlnm.Print_Area" localSheetId="3">'3. Billing Determinants'!$B$1:$O$28</definedName>
    <definedName name="_xlnm.Print_Area" localSheetId="4">'4. Customer Count Details'!$B$1:$O$41</definedName>
    <definedName name="_xlnm.Print_Area" localSheetId="5">'5 Consumption Demand Details'!$B$1:$P$42</definedName>
    <definedName name="_xlnm.Print_Area" localSheetId="0">'SUMMARY RRs'!$B$1:$E$15</definedName>
    <definedName name="RATES">[2]Rates!$A$14:$AD$153</definedName>
  </definedNames>
  <calcPr calcId="145621"/>
</workbook>
</file>

<file path=xl/calcChain.xml><?xml version="1.0" encoding="utf-8"?>
<calcChain xmlns="http://schemas.openxmlformats.org/spreadsheetml/2006/main">
  <c r="H29" i="5" l="1"/>
  <c r="H30" i="5"/>
  <c r="H28" i="5"/>
  <c r="H25" i="5"/>
  <c r="H26" i="5"/>
  <c r="H27" i="5"/>
  <c r="H24" i="5"/>
  <c r="F29" i="5"/>
  <c r="F30" i="5"/>
  <c r="F28" i="5"/>
  <c r="F25" i="5"/>
  <c r="F26" i="5"/>
  <c r="F27" i="5"/>
  <c r="F24" i="5"/>
  <c r="B4" i="16" l="1"/>
  <c r="D9" i="16"/>
  <c r="N23" i="17"/>
  <c r="M23" i="17"/>
  <c r="L23" i="17"/>
  <c r="H33" i="17" l="1"/>
  <c r="B3" i="17" l="1"/>
  <c r="J4" i="14" l="1"/>
  <c r="E11" i="5" l="1"/>
  <c r="G50" i="17" l="1"/>
  <c r="J6" i="14"/>
  <c r="E9" i="11"/>
  <c r="B2" i="5"/>
  <c r="B3" i="11"/>
  <c r="D33" i="10"/>
  <c r="E33" i="10"/>
  <c r="F33" i="10"/>
  <c r="G33" i="10"/>
  <c r="H33" i="10"/>
  <c r="I33" i="10"/>
  <c r="J33" i="10"/>
  <c r="K33" i="10"/>
  <c r="M22" i="11" s="1"/>
  <c r="L33" i="10"/>
  <c r="M33" i="10"/>
  <c r="N33" i="10"/>
  <c r="D34" i="10"/>
  <c r="E34" i="10"/>
  <c r="F34" i="10"/>
  <c r="G34" i="10"/>
  <c r="H34" i="10"/>
  <c r="I34" i="10"/>
  <c r="J34" i="10"/>
  <c r="L23" i="11" s="1"/>
  <c r="K34" i="10"/>
  <c r="M23" i="11" s="1"/>
  <c r="L34" i="10"/>
  <c r="M34" i="10"/>
  <c r="N34" i="10"/>
  <c r="D35" i="10"/>
  <c r="E35" i="10"/>
  <c r="F35" i="10"/>
  <c r="G35" i="10"/>
  <c r="H35" i="10"/>
  <c r="I35" i="10"/>
  <c r="J35" i="10"/>
  <c r="L24" i="11" s="1"/>
  <c r="K35" i="10"/>
  <c r="M24" i="11" s="1"/>
  <c r="L35" i="10"/>
  <c r="M35" i="10"/>
  <c r="N35" i="10"/>
  <c r="D36" i="10"/>
  <c r="E36" i="10"/>
  <c r="F36" i="10"/>
  <c r="G36" i="10"/>
  <c r="H36" i="10"/>
  <c r="I36" i="10"/>
  <c r="J36" i="10"/>
  <c r="L25" i="11" s="1"/>
  <c r="K36" i="10"/>
  <c r="M25" i="11" s="1"/>
  <c r="L36" i="10"/>
  <c r="M36" i="10"/>
  <c r="N36" i="10"/>
  <c r="D37" i="10"/>
  <c r="E37" i="10"/>
  <c r="F37" i="10"/>
  <c r="G37" i="10"/>
  <c r="H37" i="10"/>
  <c r="I37" i="10"/>
  <c r="J37" i="10"/>
  <c r="K37" i="10"/>
  <c r="M26" i="11" s="1"/>
  <c r="L37" i="10"/>
  <c r="M37" i="10"/>
  <c r="N37" i="10"/>
  <c r="D38" i="10"/>
  <c r="E38" i="10"/>
  <c r="F38" i="10"/>
  <c r="G38" i="10"/>
  <c r="H38" i="10"/>
  <c r="I38" i="10"/>
  <c r="J38" i="10"/>
  <c r="L27" i="11" s="1"/>
  <c r="K38" i="10"/>
  <c r="M27" i="11" s="1"/>
  <c r="L38" i="10"/>
  <c r="M38" i="10"/>
  <c r="N38" i="10"/>
  <c r="D39" i="10"/>
  <c r="E39" i="10"/>
  <c r="F39" i="10"/>
  <c r="G39" i="10"/>
  <c r="H39" i="10"/>
  <c r="I39" i="10"/>
  <c r="J39" i="10"/>
  <c r="L28" i="11" s="1"/>
  <c r="K39" i="10"/>
  <c r="M28" i="11" s="1"/>
  <c r="L39" i="10"/>
  <c r="M39" i="10"/>
  <c r="N39" i="10"/>
  <c r="C37" i="10"/>
  <c r="C38" i="10"/>
  <c r="C39" i="10"/>
  <c r="C34" i="10"/>
  <c r="C35" i="10"/>
  <c r="C36" i="10"/>
  <c r="C33" i="10"/>
  <c r="B2" i="10"/>
  <c r="E33" i="7"/>
  <c r="F33" i="7"/>
  <c r="G33" i="7"/>
  <c r="H33" i="7"/>
  <c r="I33" i="7"/>
  <c r="J33" i="7"/>
  <c r="K33" i="7"/>
  <c r="L10" i="11" s="1"/>
  <c r="L33" i="7"/>
  <c r="M10" i="11" s="1"/>
  <c r="M33" i="7"/>
  <c r="N33" i="7"/>
  <c r="O33" i="7"/>
  <c r="E34" i="7"/>
  <c r="F34" i="7"/>
  <c r="G34" i="7"/>
  <c r="H34" i="7"/>
  <c r="I34" i="7"/>
  <c r="J34" i="7"/>
  <c r="K34" i="7"/>
  <c r="L11" i="11" s="1"/>
  <c r="L34" i="7"/>
  <c r="M11" i="11" s="1"/>
  <c r="M34" i="7"/>
  <c r="N34" i="7"/>
  <c r="O34" i="7"/>
  <c r="E35" i="7"/>
  <c r="F35" i="7"/>
  <c r="G35" i="7"/>
  <c r="H35" i="7"/>
  <c r="I35" i="7"/>
  <c r="J35" i="7"/>
  <c r="K35" i="7"/>
  <c r="L12" i="11" s="1"/>
  <c r="L35" i="7"/>
  <c r="M12" i="11" s="1"/>
  <c r="M35" i="7"/>
  <c r="N35" i="7"/>
  <c r="O35" i="7"/>
  <c r="E36" i="7"/>
  <c r="F36" i="7"/>
  <c r="G36" i="7"/>
  <c r="H36" i="7"/>
  <c r="I36" i="7"/>
  <c r="J36" i="7"/>
  <c r="K36" i="7"/>
  <c r="L13" i="11" s="1"/>
  <c r="L36" i="7"/>
  <c r="M13" i="11" s="1"/>
  <c r="M36" i="7"/>
  <c r="N36" i="7"/>
  <c r="O36" i="7"/>
  <c r="E37" i="7"/>
  <c r="F37" i="7"/>
  <c r="G37" i="7"/>
  <c r="H37" i="7"/>
  <c r="I37" i="7"/>
  <c r="J37" i="7"/>
  <c r="K37" i="7"/>
  <c r="L14" i="11" s="1"/>
  <c r="L37" i="7"/>
  <c r="M14" i="11" s="1"/>
  <c r="M37" i="7"/>
  <c r="N37" i="7"/>
  <c r="O37" i="7"/>
  <c r="E38" i="7"/>
  <c r="F38" i="7"/>
  <c r="G38" i="7"/>
  <c r="H38" i="7"/>
  <c r="I38" i="7"/>
  <c r="J38" i="7"/>
  <c r="K38" i="7"/>
  <c r="L15" i="11" s="1"/>
  <c r="L38" i="7"/>
  <c r="M15" i="11" s="1"/>
  <c r="M38" i="7"/>
  <c r="N38" i="7"/>
  <c r="O38" i="7"/>
  <c r="E39" i="7"/>
  <c r="F39" i="7"/>
  <c r="G39" i="7"/>
  <c r="H39" i="7"/>
  <c r="I39" i="7"/>
  <c r="J39" i="7"/>
  <c r="K39" i="7"/>
  <c r="L16" i="11" s="1"/>
  <c r="L39" i="7"/>
  <c r="M16" i="11" s="1"/>
  <c r="M39" i="7"/>
  <c r="N39" i="7"/>
  <c r="O39" i="7"/>
  <c r="D39" i="7"/>
  <c r="D38" i="7"/>
  <c r="D37" i="7"/>
  <c r="D36" i="7"/>
  <c r="D35" i="7"/>
  <c r="D34" i="7"/>
  <c r="D33" i="7"/>
  <c r="B10" i="14"/>
  <c r="K13" i="11" l="1"/>
  <c r="K28" i="11"/>
  <c r="K24" i="11"/>
  <c r="K14" i="11"/>
  <c r="K10" i="11"/>
  <c r="K25" i="11"/>
  <c r="K15" i="11"/>
  <c r="K11" i="11"/>
  <c r="K26" i="11"/>
  <c r="K22" i="11"/>
  <c r="K16" i="11"/>
  <c r="K12" i="11"/>
  <c r="K27" i="11"/>
  <c r="K23" i="11"/>
  <c r="O27" i="11"/>
  <c r="O23" i="11"/>
  <c r="O28" i="11"/>
  <c r="O24" i="11"/>
  <c r="O25" i="11"/>
  <c r="O26" i="11"/>
  <c r="O22" i="11"/>
  <c r="L26" i="11"/>
  <c r="L22" i="11"/>
  <c r="B5" i="17"/>
  <c r="J9" i="11"/>
  <c r="J21" i="11"/>
  <c r="B4" i="7"/>
  <c r="I21" i="11"/>
  <c r="I22" i="11" s="1"/>
  <c r="E21" i="11"/>
  <c r="F21" i="11"/>
  <c r="G21" i="11"/>
  <c r="G28" i="11" s="1"/>
  <c r="H9" i="11"/>
  <c r="H16" i="11" s="1"/>
  <c r="I9" i="11"/>
  <c r="G9" i="11"/>
  <c r="H21" i="11"/>
  <c r="H22" i="11" s="1"/>
  <c r="B4" i="10"/>
  <c r="B4" i="5"/>
  <c r="F9" i="11"/>
  <c r="B5" i="11"/>
  <c r="D24" i="5"/>
  <c r="G24" i="11" l="1"/>
  <c r="F37" i="17"/>
  <c r="H13" i="11"/>
  <c r="G27" i="11"/>
  <c r="I25" i="11"/>
  <c r="I26" i="11"/>
  <c r="I28" i="11"/>
  <c r="I27" i="11"/>
  <c r="J23" i="11"/>
  <c r="J22" i="11"/>
  <c r="J28" i="11"/>
  <c r="J25" i="11"/>
  <c r="J24" i="11"/>
  <c r="J26" i="11"/>
  <c r="J27" i="11"/>
  <c r="I24" i="11"/>
  <c r="I23" i="11"/>
  <c r="J10" i="11"/>
  <c r="J11" i="11"/>
  <c r="J12" i="11"/>
  <c r="J16" i="11"/>
  <c r="J15" i="11"/>
  <c r="J13" i="11"/>
  <c r="J14" i="11"/>
  <c r="H11" i="11"/>
  <c r="H12" i="11"/>
  <c r="G25" i="11"/>
  <c r="H14" i="11"/>
  <c r="H15" i="11"/>
  <c r="H10" i="11"/>
  <c r="H28" i="11"/>
  <c r="H23" i="11"/>
  <c r="H25" i="11"/>
  <c r="E24" i="11"/>
  <c r="E26" i="11"/>
  <c r="E28" i="11"/>
  <c r="E23" i="11"/>
  <c r="E25" i="11"/>
  <c r="E27" i="11"/>
  <c r="E22" i="11"/>
  <c r="F23" i="11"/>
  <c r="F25" i="11"/>
  <c r="F27" i="11"/>
  <c r="F22" i="11"/>
  <c r="F24" i="11"/>
  <c r="F26" i="11"/>
  <c r="F28" i="11"/>
  <c r="H24" i="11"/>
  <c r="H27" i="11"/>
  <c r="E14" i="11"/>
  <c r="E11" i="11"/>
  <c r="E15" i="11"/>
  <c r="E12" i="11"/>
  <c r="E16" i="11"/>
  <c r="E13" i="11"/>
  <c r="E10" i="11"/>
  <c r="H26" i="11"/>
  <c r="G22" i="11"/>
  <c r="G26" i="11"/>
  <c r="G23" i="11"/>
  <c r="G12" i="11"/>
  <c r="G16" i="11"/>
  <c r="G13" i="11"/>
  <c r="G10" i="11"/>
  <c r="G11" i="11"/>
  <c r="G15" i="11"/>
  <c r="G14" i="11"/>
  <c r="I12" i="11"/>
  <c r="I16" i="11"/>
  <c r="I11" i="11"/>
  <c r="I15" i="11"/>
  <c r="I13" i="11"/>
  <c r="I10" i="11"/>
  <c r="I14" i="11"/>
  <c r="F11" i="11"/>
  <c r="F15" i="11"/>
  <c r="F12" i="11"/>
  <c r="F16" i="11"/>
  <c r="F14" i="11"/>
  <c r="F13" i="11"/>
  <c r="F10" i="11"/>
  <c r="M40" i="7"/>
  <c r="I40" i="7"/>
  <c r="O29" i="7"/>
  <c r="N29" i="7"/>
  <c r="M29" i="7"/>
  <c r="L29" i="7"/>
  <c r="K29" i="7"/>
  <c r="J29" i="7"/>
  <c r="I29" i="7"/>
  <c r="H29" i="7"/>
  <c r="G29" i="7"/>
  <c r="F29" i="7"/>
  <c r="E29" i="7"/>
  <c r="D29" i="7"/>
  <c r="N28" i="7"/>
  <c r="L28" i="7"/>
  <c r="J28" i="7"/>
  <c r="H28" i="7"/>
  <c r="F28" i="7"/>
  <c r="N17" i="7"/>
  <c r="M17" i="7"/>
  <c r="J17" i="7"/>
  <c r="I17" i="7"/>
  <c r="F17" i="7"/>
  <c r="E17" i="7"/>
  <c r="O16" i="7"/>
  <c r="M16" i="7"/>
  <c r="L16" i="7"/>
  <c r="K16" i="7"/>
  <c r="I16" i="7"/>
  <c r="H16" i="7"/>
  <c r="G16" i="7"/>
  <c r="E16" i="7"/>
  <c r="O15" i="10"/>
  <c r="O14" i="10"/>
  <c r="O13" i="10"/>
  <c r="O12" i="10"/>
  <c r="O11" i="10"/>
  <c r="O10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O21" i="11"/>
  <c r="E30" i="5"/>
  <c r="D30" i="5"/>
  <c r="E29" i="5"/>
  <c r="D29" i="5"/>
  <c r="E28" i="5"/>
  <c r="D28" i="5"/>
  <c r="E27" i="5"/>
  <c r="D27" i="5"/>
  <c r="E26" i="5"/>
  <c r="D26" i="5"/>
  <c r="E25" i="5"/>
  <c r="D25" i="5"/>
  <c r="E24" i="5"/>
  <c r="D12" i="5"/>
  <c r="E12" i="5"/>
  <c r="D13" i="5"/>
  <c r="E13" i="5"/>
  <c r="D14" i="5"/>
  <c r="E14" i="5"/>
  <c r="D15" i="5"/>
  <c r="E15" i="5"/>
  <c r="D16" i="5"/>
  <c r="E16" i="5"/>
  <c r="D17" i="5"/>
  <c r="E17" i="5"/>
  <c r="D11" i="5"/>
  <c r="N10" i="11" l="1"/>
  <c r="N28" i="11"/>
  <c r="N14" i="11"/>
  <c r="N12" i="11"/>
  <c r="N23" i="11"/>
  <c r="N15" i="11"/>
  <c r="N22" i="11"/>
  <c r="N13" i="11"/>
  <c r="N11" i="11"/>
  <c r="N27" i="11"/>
  <c r="N26" i="11"/>
  <c r="N16" i="11"/>
  <c r="N25" i="11"/>
  <c r="N24" i="11"/>
  <c r="G56" i="17"/>
  <c r="F56" i="17"/>
  <c r="G55" i="17"/>
  <c r="F55" i="17"/>
  <c r="G54" i="17"/>
  <c r="F54" i="17"/>
  <c r="G53" i="17"/>
  <c r="F53" i="17"/>
  <c r="G52" i="17"/>
  <c r="F52" i="17"/>
  <c r="G51" i="17"/>
  <c r="F51" i="17"/>
  <c r="F50" i="17"/>
  <c r="F40" i="17"/>
  <c r="G37" i="17"/>
  <c r="G39" i="17"/>
  <c r="G41" i="17"/>
  <c r="G43" i="17"/>
  <c r="F38" i="17"/>
  <c r="G38" i="17"/>
  <c r="G40" i="17"/>
  <c r="G42" i="17"/>
  <c r="F42" i="17"/>
  <c r="F39" i="17"/>
  <c r="F41" i="17"/>
  <c r="F43" i="17"/>
  <c r="L41" i="7"/>
  <c r="H41" i="7"/>
  <c r="O40" i="7"/>
  <c r="K40" i="7"/>
  <c r="G40" i="7"/>
  <c r="P36" i="7"/>
  <c r="D13" i="11" s="1"/>
  <c r="E40" i="7"/>
  <c r="D41" i="7"/>
  <c r="N41" i="7"/>
  <c r="J41" i="7"/>
  <c r="F41" i="7"/>
  <c r="P39" i="7"/>
  <c r="D16" i="11" s="1"/>
  <c r="O41" i="7"/>
  <c r="G41" i="7"/>
  <c r="P37" i="7"/>
  <c r="D14" i="11" s="1"/>
  <c r="I41" i="7"/>
  <c r="J18" i="11" s="1"/>
  <c r="N40" i="7"/>
  <c r="J40" i="7"/>
  <c r="K18" i="11" s="1"/>
  <c r="P33" i="7"/>
  <c r="D10" i="11" s="1"/>
  <c r="M41" i="7"/>
  <c r="E41" i="7"/>
  <c r="P38" i="7"/>
  <c r="D15" i="11" s="1"/>
  <c r="K41" i="7"/>
  <c r="P34" i="7"/>
  <c r="D11" i="11" s="1"/>
  <c r="L40" i="7"/>
  <c r="M18" i="11" s="1"/>
  <c r="H40" i="7"/>
  <c r="F40" i="7"/>
  <c r="P35" i="7"/>
  <c r="D40" i="7"/>
  <c r="P21" i="7"/>
  <c r="P22" i="7"/>
  <c r="P24" i="7"/>
  <c r="P25" i="7"/>
  <c r="P26" i="7"/>
  <c r="P27" i="7"/>
  <c r="E28" i="7"/>
  <c r="I28" i="7"/>
  <c r="M28" i="7"/>
  <c r="G28" i="7"/>
  <c r="K28" i="7"/>
  <c r="O28" i="7"/>
  <c r="C40" i="10"/>
  <c r="P23" i="7"/>
  <c r="D28" i="7"/>
  <c r="P9" i="7"/>
  <c r="P10" i="7"/>
  <c r="P11" i="7"/>
  <c r="D17" i="7"/>
  <c r="H17" i="7"/>
  <c r="L17" i="7"/>
  <c r="P13" i="7"/>
  <c r="P14" i="7"/>
  <c r="P15" i="7"/>
  <c r="F16" i="7"/>
  <c r="J16" i="7"/>
  <c r="N16" i="7"/>
  <c r="G17" i="7"/>
  <c r="K17" i="7"/>
  <c r="O17" i="7"/>
  <c r="D16" i="7"/>
  <c r="P12" i="7"/>
  <c r="O34" i="10"/>
  <c r="O39" i="10"/>
  <c r="O36" i="10"/>
  <c r="O26" i="10"/>
  <c r="O27" i="10"/>
  <c r="O9" i="10"/>
  <c r="O16" i="10" s="1"/>
  <c r="O10" i="11" l="1"/>
  <c r="L18" i="11"/>
  <c r="O14" i="11"/>
  <c r="O11" i="11"/>
  <c r="O15" i="11"/>
  <c r="O16" i="11"/>
  <c r="I18" i="11"/>
  <c r="O13" i="11"/>
  <c r="E38" i="17"/>
  <c r="E42" i="17"/>
  <c r="E43" i="17"/>
  <c r="E40" i="17"/>
  <c r="E53" i="17" s="1"/>
  <c r="I53" i="17" s="1"/>
  <c r="E26" i="17" s="1"/>
  <c r="E37" i="17"/>
  <c r="E50" i="17" s="1"/>
  <c r="I50" i="17" s="1"/>
  <c r="E39" i="17"/>
  <c r="E41" i="17"/>
  <c r="E54" i="17" s="1"/>
  <c r="I54" i="17" s="1"/>
  <c r="E27" i="17" s="1"/>
  <c r="D39" i="17"/>
  <c r="D23" i="11"/>
  <c r="G13" i="17" s="1"/>
  <c r="D25" i="11"/>
  <c r="D28" i="11"/>
  <c r="G18" i="17" s="1"/>
  <c r="D38" i="17"/>
  <c r="D43" i="17"/>
  <c r="D42" i="17"/>
  <c r="D41" i="17"/>
  <c r="D37" i="17"/>
  <c r="D40" i="17"/>
  <c r="G18" i="11"/>
  <c r="H18" i="11"/>
  <c r="E18" i="11"/>
  <c r="F18" i="11"/>
  <c r="P40" i="7"/>
  <c r="P41" i="7"/>
  <c r="D12" i="11"/>
  <c r="O12" i="11" s="1"/>
  <c r="E30" i="11"/>
  <c r="P28" i="7"/>
  <c r="P29" i="7"/>
  <c r="P17" i="7"/>
  <c r="P16" i="7"/>
  <c r="O35" i="10"/>
  <c r="O38" i="10"/>
  <c r="D40" i="10"/>
  <c r="O37" i="10"/>
  <c r="O23" i="10"/>
  <c r="O24" i="10"/>
  <c r="O22" i="10"/>
  <c r="O25" i="10"/>
  <c r="C28" i="10"/>
  <c r="I37" i="17" l="1"/>
  <c r="F30" i="11"/>
  <c r="H40" i="17"/>
  <c r="D53" i="17"/>
  <c r="H53" i="17" s="1"/>
  <c r="H37" i="17"/>
  <c r="D50" i="17"/>
  <c r="H50" i="17" s="1"/>
  <c r="H38" i="17"/>
  <c r="D13" i="17" s="1"/>
  <c r="D51" i="17"/>
  <c r="H51" i="17" s="1"/>
  <c r="E56" i="17"/>
  <c r="I56" i="17" s="1"/>
  <c r="E29" i="17" s="1"/>
  <c r="I43" i="17"/>
  <c r="D29" i="17" s="1"/>
  <c r="E51" i="17"/>
  <c r="I51" i="17" s="1"/>
  <c r="I38" i="17"/>
  <c r="D24" i="17" s="1"/>
  <c r="I41" i="17"/>
  <c r="D27" i="17" s="1"/>
  <c r="F27" i="17" s="1"/>
  <c r="H41" i="17"/>
  <c r="D16" i="17" s="1"/>
  <c r="D54" i="17"/>
  <c r="H54" i="17" s="1"/>
  <c r="E16" i="17" s="1"/>
  <c r="H42" i="17"/>
  <c r="D17" i="17" s="1"/>
  <c r="D55" i="17"/>
  <c r="H55" i="17" s="1"/>
  <c r="E17" i="17" s="1"/>
  <c r="H43" i="17"/>
  <c r="D56" i="17"/>
  <c r="H56" i="17" s="1"/>
  <c r="I40" i="17"/>
  <c r="D26" i="17" s="1"/>
  <c r="F26" i="17" s="1"/>
  <c r="H39" i="17"/>
  <c r="D14" i="17" s="1"/>
  <c r="D52" i="17"/>
  <c r="H52" i="17" s="1"/>
  <c r="E52" i="17"/>
  <c r="I52" i="17" s="1"/>
  <c r="E25" i="17" s="1"/>
  <c r="I39" i="17"/>
  <c r="D25" i="17" s="1"/>
  <c r="E55" i="17"/>
  <c r="I55" i="17" s="1"/>
  <c r="E28" i="17" s="1"/>
  <c r="I42" i="17"/>
  <c r="D28" i="17" s="1"/>
  <c r="G15" i="17"/>
  <c r="D26" i="11"/>
  <c r="G16" i="17" s="1"/>
  <c r="D27" i="11"/>
  <c r="G17" i="17" s="1"/>
  <c r="D24" i="11"/>
  <c r="G14" i="17" s="1"/>
  <c r="G27" i="17"/>
  <c r="G24" i="17"/>
  <c r="G26" i="17"/>
  <c r="G29" i="17"/>
  <c r="G28" i="17"/>
  <c r="E15" i="17"/>
  <c r="J53" i="17"/>
  <c r="J50" i="17"/>
  <c r="D18" i="11"/>
  <c r="E40" i="10"/>
  <c r="D28" i="10"/>
  <c r="J43" i="17" l="1"/>
  <c r="J37" i="17"/>
  <c r="D12" i="17" s="1"/>
  <c r="J40" i="17"/>
  <c r="J41" i="17"/>
  <c r="J54" i="17"/>
  <c r="D15" i="17"/>
  <c r="F15" i="17" s="1"/>
  <c r="H15" i="17" s="1"/>
  <c r="J55" i="17"/>
  <c r="H57" i="17"/>
  <c r="J42" i="17"/>
  <c r="J39" i="17"/>
  <c r="H27" i="17"/>
  <c r="F29" i="17"/>
  <c r="H29" i="17" s="1"/>
  <c r="H26" i="17"/>
  <c r="J38" i="17"/>
  <c r="G30" i="11"/>
  <c r="I44" i="17"/>
  <c r="F25" i="17"/>
  <c r="E18" i="17"/>
  <c r="J56" i="17"/>
  <c r="D30" i="17"/>
  <c r="F28" i="17"/>
  <c r="H28" i="17" s="1"/>
  <c r="E14" i="17"/>
  <c r="F14" i="17" s="1"/>
  <c r="H14" i="17" s="1"/>
  <c r="J52" i="17"/>
  <c r="E24" i="17"/>
  <c r="E30" i="17" s="1"/>
  <c r="I57" i="17"/>
  <c r="E13" i="17"/>
  <c r="F13" i="17" s="1"/>
  <c r="H13" i="17" s="1"/>
  <c r="J51" i="17"/>
  <c r="G25" i="17"/>
  <c r="G30" i="17" s="1"/>
  <c r="H44" i="17"/>
  <c r="D18" i="17"/>
  <c r="F18" i="17" s="1"/>
  <c r="H18" i="17" s="1"/>
  <c r="F16" i="17"/>
  <c r="H16" i="17" s="1"/>
  <c r="E12" i="17"/>
  <c r="F17" i="17"/>
  <c r="H17" i="17" s="1"/>
  <c r="F40" i="10"/>
  <c r="E28" i="10"/>
  <c r="L18" i="17" l="1"/>
  <c r="M18" i="17" s="1"/>
  <c r="N18" i="17" s="1"/>
  <c r="C15" i="16"/>
  <c r="L26" i="17"/>
  <c r="M26" i="17" s="1"/>
  <c r="N26" i="17" s="1"/>
  <c r="D12" i="16"/>
  <c r="L16" i="17"/>
  <c r="M16" i="17" s="1"/>
  <c r="N16" i="17" s="1"/>
  <c r="C13" i="16"/>
  <c r="L29" i="17"/>
  <c r="M29" i="17" s="1"/>
  <c r="N29" i="17" s="1"/>
  <c r="D15" i="16"/>
  <c r="C10" i="16"/>
  <c r="L13" i="17"/>
  <c r="M13" i="17" s="1"/>
  <c r="N13" i="17" s="1"/>
  <c r="D13" i="16"/>
  <c r="L27" i="17"/>
  <c r="M27" i="17" s="1"/>
  <c r="N27" i="17" s="1"/>
  <c r="C14" i="16"/>
  <c r="L17" i="17"/>
  <c r="M17" i="17" s="1"/>
  <c r="N17" i="17" s="1"/>
  <c r="L14" i="17"/>
  <c r="M14" i="17" s="1"/>
  <c r="N14" i="17" s="1"/>
  <c r="C11" i="16"/>
  <c r="L15" i="17"/>
  <c r="M15" i="17" s="1"/>
  <c r="N15" i="17" s="1"/>
  <c r="C12" i="16"/>
  <c r="L28" i="17"/>
  <c r="M28" i="17" s="1"/>
  <c r="N28" i="17" s="1"/>
  <c r="D14" i="16"/>
  <c r="H60" i="17"/>
  <c r="F24" i="17"/>
  <c r="F30" i="17" s="1"/>
  <c r="J44" i="17"/>
  <c r="I60" i="17"/>
  <c r="E19" i="17"/>
  <c r="J57" i="17"/>
  <c r="H30" i="11"/>
  <c r="H25" i="17"/>
  <c r="F12" i="17"/>
  <c r="D19" i="17"/>
  <c r="G40" i="10"/>
  <c r="F28" i="10"/>
  <c r="L25" i="17" l="1"/>
  <c r="M25" i="17" s="1"/>
  <c r="N25" i="17" s="1"/>
  <c r="D11" i="16"/>
  <c r="H24" i="17"/>
  <c r="J60" i="17"/>
  <c r="I30" i="11"/>
  <c r="F19" i="17"/>
  <c r="F32" i="17" s="1"/>
  <c r="H40" i="10"/>
  <c r="G28" i="10"/>
  <c r="L24" i="17" l="1"/>
  <c r="M24" i="17" s="1"/>
  <c r="D10" i="16"/>
  <c r="J30" i="11"/>
  <c r="I40" i="10"/>
  <c r="K30" i="11" s="1"/>
  <c r="H28" i="10"/>
  <c r="N24" i="17" l="1"/>
  <c r="N30" i="17" s="1"/>
  <c r="M30" i="17"/>
  <c r="M31" i="17" s="1"/>
  <c r="J40" i="10"/>
  <c r="L30" i="11" s="1"/>
  <c r="I28" i="10"/>
  <c r="K40" i="10" l="1"/>
  <c r="M30" i="11" s="1"/>
  <c r="J28" i="10"/>
  <c r="L40" i="10" l="1"/>
  <c r="K28" i="10"/>
  <c r="M40" i="10" l="1"/>
  <c r="L28" i="10"/>
  <c r="N40" i="10" l="1"/>
  <c r="O33" i="10"/>
  <c r="M28" i="10"/>
  <c r="O40" i="10" l="1"/>
  <c r="D22" i="11"/>
  <c r="N28" i="10"/>
  <c r="O21" i="10"/>
  <c r="O28" i="10" s="1"/>
  <c r="G12" i="17" l="1"/>
  <c r="D30" i="11"/>
  <c r="H12" i="17" l="1"/>
  <c r="G19" i="17"/>
  <c r="C9" i="16" l="1"/>
  <c r="L12" i="17"/>
  <c r="M12" i="17" s="1"/>
  <c r="N12" i="17" l="1"/>
  <c r="N19" i="17" s="1"/>
  <c r="N33" i="17" s="1"/>
  <c r="M19" i="17"/>
  <c r="M20" i="17" l="1"/>
  <c r="M32" i="17"/>
  <c r="M33" i="17" s="1"/>
</calcChain>
</file>

<file path=xl/sharedStrings.xml><?xml version="1.0" encoding="utf-8"?>
<sst xmlns="http://schemas.openxmlformats.org/spreadsheetml/2006/main" count="389" uniqueCount="105">
  <si>
    <t>Rate Class</t>
  </si>
  <si>
    <t>Unit</t>
  </si>
  <si>
    <t>Total</t>
  </si>
  <si>
    <t>Residential</t>
  </si>
  <si>
    <t>GS&lt;50 kW</t>
  </si>
  <si>
    <t>GS&gt;50 kW</t>
  </si>
  <si>
    <t>Large Use</t>
  </si>
  <si>
    <t>Sentinel Lighting</t>
  </si>
  <si>
    <t>Street Lighting</t>
  </si>
  <si>
    <t>Unmetered (USL)</t>
  </si>
  <si>
    <t>kW</t>
  </si>
  <si>
    <t>kWh</t>
  </si>
  <si>
    <t>check 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</si>
  <si>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</si>
  <si>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</si>
  <si>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</si>
  <si>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</si>
  <si>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</si>
  <si>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</si>
  <si>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</si>
  <si>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</si>
  <si>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</si>
  <si>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</si>
  <si>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</si>
  <si>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</si>
  <si>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Residential </t>
  </si>
  <si>
    <t xml:space="preserve"> GS&lt;50 </t>
  </si>
  <si>
    <t xml:space="preserve"> GS&gt;50 </t>
  </si>
  <si>
    <t xml:space="preserve"> Large Use</t>
  </si>
  <si>
    <t xml:space="preserve"> USL</t>
  </si>
  <si>
    <t xml:space="preserve"> Sentinel Lighting</t>
  </si>
  <si>
    <t xml:space="preserve"> Street Lighting</t>
  </si>
  <si>
    <t>Average</t>
  </si>
  <si>
    <t>Billing Determinants</t>
  </si>
  <si>
    <t>Fixed</t>
  </si>
  <si>
    <t>Variable</t>
  </si>
  <si>
    <t>Interim Rates</t>
  </si>
  <si>
    <t>Revenue at Approved Rates</t>
  </si>
  <si>
    <t>Revenue Under(over)</t>
  </si>
  <si>
    <t>Customers / Connections</t>
  </si>
  <si>
    <t>New Rates</t>
  </si>
  <si>
    <t>Total  Billed kWh</t>
  </si>
  <si>
    <t>Total Billed kW</t>
  </si>
  <si>
    <t xml:space="preserve">Interim and Approved Rates </t>
  </si>
  <si>
    <t>NOTES:</t>
  </si>
  <si>
    <t>Base Rate</t>
  </si>
  <si>
    <t xml:space="preserve">Interim Rates </t>
  </si>
  <si>
    <t>Calculation of Foregone Revenue Rate Rider</t>
  </si>
  <si>
    <t>Recovery Period</t>
  </si>
  <si>
    <t>months</t>
  </si>
  <si>
    <t xml:space="preserve"> Forgone Distribution Revenue</t>
  </si>
  <si>
    <t>Approved Rates</t>
  </si>
  <si>
    <t>Distribution Revenue at Approved  Rates</t>
  </si>
  <si>
    <t>Distribution Revenue at Interim Rates</t>
  </si>
  <si>
    <t>Revenue at Approved Rates - PowerStream (A)</t>
  </si>
  <si>
    <t>Revenue at Interim Rates - PowerStream (B)</t>
  </si>
  <si>
    <t>Revenue at 
Interim Rates</t>
  </si>
  <si>
    <t>Year</t>
  </si>
  <si>
    <t>List</t>
  </si>
  <si>
    <t>Rate Effective Date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</si>
  <si>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</si>
  <si>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</si>
  <si>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</si>
  <si>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</si>
  <si>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</si>
  <si>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</si>
  <si>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</si>
  <si>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</si>
  <si>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</si>
  <si>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</si>
  <si>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</si>
  <si>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Base for Forgone RR Calculation</t>
  </si>
  <si>
    <t>2016 Consumption/Demand - as per 2016 CIR Application (EB-2015-0003)</t>
  </si>
  <si>
    <t>2016 Customer Count - as per 2016 CIR Application (EB-2015-0003)</t>
  </si>
  <si>
    <t>2016 Billing Determinants - Volumetric</t>
  </si>
  <si>
    <t>2016 Billing Determinants - Customer/Connection Count</t>
  </si>
  <si>
    <t>Total per 2016 CIR Application</t>
  </si>
  <si>
    <t>2016 AVG</t>
  </si>
  <si>
    <t xml:space="preserve">2016 Approved Rates - PowerStream </t>
  </si>
  <si>
    <t>Foregone  Revenue (A - B)</t>
  </si>
  <si>
    <t>FIXED &amp; VARIABLE RATE RIDERS</t>
  </si>
  <si>
    <t>FIXED COMPONENT</t>
  </si>
  <si>
    <t>VARIABLE COMPONENT</t>
  </si>
  <si>
    <t>Fixed  RR</t>
  </si>
  <si>
    <t>Variable RR</t>
  </si>
  <si>
    <t>rounded</t>
  </si>
  <si>
    <t>amount</t>
  </si>
  <si>
    <t>kWhs/kWs</t>
  </si>
  <si>
    <t>PowerStream All Service Areas</t>
  </si>
  <si>
    <t>Res - Fixed Only</t>
  </si>
  <si>
    <t>VALIDATION</t>
  </si>
  <si>
    <t>Collection Period</t>
  </si>
  <si>
    <t>variance</t>
  </si>
  <si>
    <t>Last Month under Old Rates</t>
  </si>
  <si>
    <t>ICM</t>
  </si>
  <si>
    <t>Jan-Sep</t>
  </si>
  <si>
    <t>Jan-Sep
2016 AVG</t>
  </si>
  <si>
    <t>Oct-Dec
2016</t>
  </si>
  <si>
    <t>Oct-Dec 2016 
Rate Rider</t>
  </si>
  <si>
    <t>2. Tariff of Rates and Charges Effective January 1, 2016, Implementation October 1, 2016, per Draft Rate Order (EB-2015-0003)</t>
  </si>
  <si>
    <t>1. Approved Tariff of Rates and Charges Effective January 1, 2016 (EB-2015-0003)</t>
  </si>
  <si>
    <t xml:space="preserve">3. The ICM rate riders are not included in the Foregone Revenue Recovery Mechanism.  </t>
  </si>
  <si>
    <t>Forgone Revenue Rate Riders (October - December 2016)</t>
  </si>
  <si>
    <t>PowerStream 2016 IRM - Draft Rate Order</t>
  </si>
  <si>
    <t>EB-2015-0003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</si>
</sst>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  <numFmt numFmtId="168" formatCode="_-&quot;$&quot;* #,##0_-;\-&quot;$&quot;* #,##0_-;_-&quot;$&quot;* &quot;-&quot;??_-;_-@_-"/>
    <numFmt numFmtId="169" formatCode="_-&quot;$&quot;* #,##0.0000_-;\-&quot;$&quot;* #,##0.0000_-;_-&quot;$&quot;* &quot;-&quot;??_-;_-@_-"/>
    <numFmt numFmtId="170" formatCode="&quot;$&quot;#,##0;&quot;$&quot;\(#,##0\)"/>
    <numFmt numFmtId="171" formatCode="&quot;$&quot;#,##0.00;&quot;$&quot;\(#,##0.00\)"/>
    <numFmt numFmtId="172" formatCode="&quot;$&quot;#,##0.0000;&quot;$&quot;\(#,##0.0000\)"/>
    <numFmt numFmtId="173" formatCode="[$-409]mmm\-yy;@"/>
    <numFmt numFmtId="174" formatCode="m/d;@"/>
    <numFmt numFmtId="175" formatCode="&quot;$&quot;#,##0.00"/>
    <numFmt numFmtId="176" formatCode="&quot;$&quot;#,##0.0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8"/>
      <color theme="1"/>
      <name val="Arial Narrow"/>
      <family val="2"/>
    </font>
    <font>
      <b/>
      <sz val="11"/>
      <color indexed="8"/>
      <name val="Arial Narrow"/>
      <family val="2"/>
    </font>
    <font>
      <b/>
      <sz val="14"/>
      <color indexed="8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u/>
      <sz val="11"/>
      <color indexed="8"/>
      <name val="Arial Narrow"/>
      <family val="2"/>
    </font>
    <font>
      <b/>
      <sz val="11"/>
      <color theme="0"/>
      <name val="Arial Narrow"/>
      <family val="2"/>
    </font>
    <font>
      <b/>
      <sz val="8"/>
      <color indexed="8"/>
      <name val="Arial Narrow"/>
      <family val="2"/>
    </font>
    <font>
      <b/>
      <sz val="8"/>
      <color theme="1"/>
      <name val="Arial Narrow"/>
      <family val="2"/>
    </font>
    <font>
      <sz val="11"/>
      <name val="Arial Narrow"/>
      <family val="2"/>
    </font>
    <font>
      <b/>
      <u/>
      <sz val="8"/>
      <color indexed="8"/>
      <name val="Arial Narrow"/>
      <family val="2"/>
    </font>
    <font>
      <sz val="10"/>
      <name val="Arial Narrow"/>
      <family val="2"/>
    </font>
    <font>
      <i/>
      <sz val="9"/>
      <color rgb="FF0000FF"/>
      <name val="Arial Narrow"/>
      <family val="2"/>
    </font>
    <font>
      <b/>
      <sz val="14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gray0625"/>
    </fill>
    <fill>
      <patternFill patternType="lightGray"/>
    </fill>
    <fill>
      <patternFill patternType="lightGray">
        <bgColor theme="4" tint="0.59999389629810485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18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73" fontId="3" fillId="0" borderId="0" xfId="0" applyNumberFormat="1" applyFont="1"/>
    <xf numFmtId="174" fontId="3" fillId="4" borderId="18" xfId="0" applyNumberFormat="1" applyFont="1" applyFill="1" applyBorder="1" applyAlignment="1">
      <alignment horizontal="center"/>
    </xf>
    <xf numFmtId="174" fontId="3" fillId="0" borderId="0" xfId="0" applyNumberFormat="1" applyFont="1" applyAlignment="1">
      <alignment horizontal="center"/>
    </xf>
    <xf numFmtId="0" fontId="3" fillId="0" borderId="0" xfId="0" applyFont="1" applyFill="1" applyBorder="1"/>
    <xf numFmtId="175" fontId="4" fillId="0" borderId="0" xfId="2" applyNumberFormat="1" applyFont="1" applyAlignment="1">
      <alignment horizontal="center"/>
    </xf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Border="1"/>
    <xf numFmtId="0" fontId="6" fillId="0" borderId="0" xfId="0" applyFont="1"/>
    <xf numFmtId="0" fontId="3" fillId="2" borderId="5" xfId="0" applyFont="1" applyFill="1" applyBorder="1"/>
    <xf numFmtId="0" fontId="4" fillId="2" borderId="7" xfId="0" applyFont="1" applyFill="1" applyBorder="1" applyAlignment="1">
      <alignment horizontal="center"/>
    </xf>
    <xf numFmtId="0" fontId="3" fillId="2" borderId="6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7" fillId="4" borderId="10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/>
    </xf>
    <xf numFmtId="168" fontId="3" fillId="0" borderId="0" xfId="0" applyNumberFormat="1" applyFont="1" applyFill="1" applyBorder="1"/>
    <xf numFmtId="170" fontId="3" fillId="0" borderId="0" xfId="0" applyNumberFormat="1" applyFont="1" applyFill="1" applyBorder="1"/>
    <xf numFmtId="166" fontId="3" fillId="0" borderId="0" xfId="0" applyNumberFormat="1" applyFont="1" applyFill="1" applyBorder="1"/>
    <xf numFmtId="171" fontId="4" fillId="4" borderId="0" xfId="0" applyNumberFormat="1" applyFont="1" applyFill="1" applyBorder="1" applyAlignment="1">
      <alignment horizontal="center"/>
    </xf>
    <xf numFmtId="171" fontId="6" fillId="6" borderId="0" xfId="0" applyNumberFormat="1" applyFont="1" applyFill="1"/>
    <xf numFmtId="168" fontId="6" fillId="6" borderId="0" xfId="2" applyNumberFormat="1" applyFont="1" applyFill="1"/>
    <xf numFmtId="168" fontId="6" fillId="6" borderId="0" xfId="0" applyNumberFormat="1" applyFont="1" applyFill="1"/>
    <xf numFmtId="0" fontId="7" fillId="0" borderId="9" xfId="0" applyFont="1" applyFill="1" applyBorder="1"/>
    <xf numFmtId="0" fontId="6" fillId="0" borderId="9" xfId="0" applyFont="1" applyFill="1" applyBorder="1" applyAlignment="1">
      <alignment horizontal="center"/>
    </xf>
    <xf numFmtId="168" fontId="4" fillId="0" borderId="9" xfId="0" applyNumberFormat="1" applyFont="1" applyFill="1" applyBorder="1"/>
    <xf numFmtId="170" fontId="4" fillId="0" borderId="9" xfId="0" applyNumberFormat="1" applyFont="1" applyFill="1" applyBorder="1"/>
    <xf numFmtId="166" fontId="4" fillId="0" borderId="9" xfId="0" applyNumberFormat="1" applyFont="1" applyFill="1" applyBorder="1"/>
    <xf numFmtId="0" fontId="4" fillId="4" borderId="9" xfId="0" applyFont="1" applyFill="1" applyBorder="1" applyAlignment="1">
      <alignment horizontal="center"/>
    </xf>
    <xf numFmtId="0" fontId="6" fillId="6" borderId="0" xfId="0" applyFont="1" applyFill="1"/>
    <xf numFmtId="168" fontId="14" fillId="6" borderId="0" xfId="0" applyNumberFormat="1" applyFont="1" applyFill="1"/>
    <xf numFmtId="170" fontId="14" fillId="6" borderId="0" xfId="0" applyNumberFormat="1" applyFont="1" applyFill="1"/>
    <xf numFmtId="168" fontId="3" fillId="7" borderId="0" xfId="0" applyNumberFormat="1" applyFont="1" applyFill="1" applyBorder="1"/>
    <xf numFmtId="170" fontId="3" fillId="7" borderId="0" xfId="0" applyNumberFormat="1" applyFont="1" applyFill="1" applyBorder="1"/>
    <xf numFmtId="166" fontId="3" fillId="7" borderId="0" xfId="0" applyNumberFormat="1" applyFont="1" applyFill="1" applyBorder="1"/>
    <xf numFmtId="172" fontId="4" fillId="8" borderId="0" xfId="0" applyNumberFormat="1" applyFont="1" applyFill="1" applyBorder="1" applyAlignment="1">
      <alignment horizontal="center"/>
    </xf>
    <xf numFmtId="172" fontId="6" fillId="6" borderId="0" xfId="0" applyNumberFormat="1" applyFont="1" applyFill="1"/>
    <xf numFmtId="172" fontId="4" fillId="4" borderId="0" xfId="0" applyNumberFormat="1" applyFont="1" applyFill="1" applyBorder="1" applyAlignment="1">
      <alignment horizontal="center"/>
    </xf>
    <xf numFmtId="168" fontId="3" fillId="0" borderId="0" xfId="0" applyNumberFormat="1" applyFont="1"/>
    <xf numFmtId="0" fontId="14" fillId="6" borderId="0" xfId="0" applyFont="1" applyFill="1"/>
    <xf numFmtId="0" fontId="3" fillId="0" borderId="0" xfId="0" applyFont="1" applyBorder="1"/>
    <xf numFmtId="168" fontId="14" fillId="6" borderId="0" xfId="0" applyNumberFormat="1" applyFont="1" applyFill="1" applyBorder="1"/>
    <xf numFmtId="0" fontId="13" fillId="0" borderId="0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64" fontId="15" fillId="0" borderId="0" xfId="2" applyFont="1" applyBorder="1" applyAlignment="1">
      <alignment horizontal="right" vertical="center" wrapText="1"/>
    </xf>
    <xf numFmtId="169" fontId="15" fillId="0" borderId="0" xfId="2" applyNumberFormat="1" applyFont="1" applyBorder="1" applyAlignment="1">
      <alignment horizontal="right" vertical="center" wrapText="1"/>
    </xf>
    <xf numFmtId="168" fontId="3" fillId="0" borderId="0" xfId="2" applyNumberFormat="1" applyFont="1" applyBorder="1"/>
    <xf numFmtId="166" fontId="3" fillId="0" borderId="9" xfId="0" applyNumberFormat="1" applyFont="1" applyFill="1" applyBorder="1"/>
    <xf numFmtId="0" fontId="3" fillId="0" borderId="9" xfId="0" applyFont="1" applyFill="1" applyBorder="1"/>
    <xf numFmtId="168" fontId="7" fillId="2" borderId="7" xfId="2" applyNumberFormat="1" applyFont="1" applyFill="1" applyBorder="1"/>
    <xf numFmtId="0" fontId="7" fillId="0" borderId="0" xfId="0" applyFont="1"/>
    <xf numFmtId="0" fontId="16" fillId="0" borderId="0" xfId="0" applyFont="1" applyFill="1" applyBorder="1" applyAlignment="1">
      <alignment horizontal="left" wrapText="1"/>
    </xf>
    <xf numFmtId="0" fontId="7" fillId="3" borderId="8" xfId="0" applyFont="1" applyFill="1" applyBorder="1" applyAlignment="1">
      <alignment wrapText="1"/>
    </xf>
    <xf numFmtId="0" fontId="13" fillId="3" borderId="13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3" fillId="0" borderId="16" xfId="2" applyFont="1" applyBorder="1"/>
    <xf numFmtId="164" fontId="3" fillId="0" borderId="0" xfId="2" applyFont="1" applyBorder="1"/>
    <xf numFmtId="169" fontId="3" fillId="0" borderId="0" xfId="2" applyNumberFormat="1" applyFont="1" applyBorder="1"/>
    <xf numFmtId="0" fontId="6" fillId="0" borderId="14" xfId="0" applyFont="1" applyFill="1" applyBorder="1" applyAlignment="1">
      <alignment horizontal="center"/>
    </xf>
    <xf numFmtId="164" fontId="15" fillId="0" borderId="9" xfId="2" applyFont="1" applyBorder="1" applyAlignment="1">
      <alignment horizontal="right" vertical="center" wrapText="1"/>
    </xf>
    <xf numFmtId="169" fontId="15" fillId="0" borderId="9" xfId="2" applyNumberFormat="1" applyFont="1" applyBorder="1" applyAlignment="1">
      <alignment horizontal="right" vertical="center" wrapText="1"/>
    </xf>
    <xf numFmtId="164" fontId="3" fillId="0" borderId="17" xfId="2" applyFont="1" applyBorder="1"/>
    <xf numFmtId="164" fontId="3" fillId="0" borderId="9" xfId="2" applyFont="1" applyBorder="1"/>
    <xf numFmtId="169" fontId="3" fillId="0" borderId="9" xfId="2" applyNumberFormat="1" applyFont="1" applyBorder="1"/>
    <xf numFmtId="0" fontId="11" fillId="0" borderId="0" xfId="0" applyFont="1"/>
    <xf numFmtId="0" fontId="3" fillId="0" borderId="0" xfId="0" applyFont="1" applyAlignment="1">
      <alignment horizontal="left" indent="1"/>
    </xf>
    <xf numFmtId="0" fontId="7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17" fontId="7" fillId="3" borderId="8" xfId="0" quotePrefix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67" fontId="17" fillId="0" borderId="0" xfId="1" applyNumberFormat="1" applyFont="1" applyFill="1" applyBorder="1"/>
    <xf numFmtId="166" fontId="3" fillId="0" borderId="0" xfId="1" applyNumberFormat="1" applyFont="1" applyFill="1" applyBorder="1"/>
    <xf numFmtId="0" fontId="3" fillId="0" borderId="9" xfId="0" applyFont="1" applyFill="1" applyBorder="1" applyAlignment="1">
      <alignment horizontal="center"/>
    </xf>
    <xf numFmtId="167" fontId="17" fillId="0" borderId="9" xfId="1" applyNumberFormat="1" applyFont="1" applyFill="1" applyBorder="1"/>
    <xf numFmtId="166" fontId="3" fillId="0" borderId="9" xfId="1" applyNumberFormat="1" applyFont="1" applyFill="1" applyBorder="1"/>
    <xf numFmtId="166" fontId="3" fillId="0" borderId="0" xfId="0" applyNumberFormat="1" applyFont="1" applyFill="1"/>
    <xf numFmtId="0" fontId="18" fillId="0" borderId="0" xfId="0" applyFont="1" applyFill="1"/>
    <xf numFmtId="0" fontId="3" fillId="0" borderId="0" xfId="0" applyFont="1" applyFill="1" applyAlignment="1">
      <alignment horizontal="right"/>
    </xf>
    <xf numFmtId="0" fontId="19" fillId="0" borderId="0" xfId="0" applyFont="1"/>
    <xf numFmtId="0" fontId="7" fillId="0" borderId="10" xfId="0" applyFont="1" applyBorder="1"/>
    <xf numFmtId="0" fontId="3" fillId="0" borderId="10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6" fontId="3" fillId="0" borderId="0" xfId="1" applyNumberFormat="1" applyFont="1" applyBorder="1"/>
    <xf numFmtId="166" fontId="4" fillId="0" borderId="0" xfId="1" applyNumberFormat="1" applyFont="1" applyBorder="1"/>
    <xf numFmtId="0" fontId="4" fillId="0" borderId="11" xfId="0" applyFont="1" applyBorder="1"/>
    <xf numFmtId="166" fontId="4" fillId="0" borderId="11" xfId="1" applyNumberFormat="1" applyFont="1" applyBorder="1"/>
    <xf numFmtId="0" fontId="13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3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12" xfId="0" applyFont="1" applyBorder="1"/>
    <xf numFmtId="0" fontId="14" fillId="0" borderId="12" xfId="0" applyFont="1" applyBorder="1"/>
    <xf numFmtId="166" fontId="4" fillId="0" borderId="12" xfId="1" applyNumberFormat="1" applyFont="1" applyBorder="1"/>
    <xf numFmtId="0" fontId="14" fillId="0" borderId="11" xfId="0" applyFont="1" applyBorder="1"/>
    <xf numFmtId="0" fontId="11" fillId="0" borderId="0" xfId="0" applyFont="1" applyFill="1" applyBorder="1" applyAlignment="1">
      <alignment horizontal="left" wrapText="1"/>
    </xf>
    <xf numFmtId="0" fontId="4" fillId="0" borderId="18" xfId="0" applyNumberFormat="1" applyFont="1" applyBorder="1" applyAlignment="1">
      <alignment horizontal="center"/>
    </xf>
    <xf numFmtId="176" fontId="4" fillId="6" borderId="0" xfId="2" applyNumberFormat="1" applyFont="1" applyFill="1" applyAlignment="1">
      <alignment horizontal="center"/>
    </xf>
    <xf numFmtId="165" fontId="3" fillId="0" borderId="0" xfId="1" applyNumberFormat="1" applyFont="1" applyFill="1" applyBorder="1"/>
    <xf numFmtId="166" fontId="3" fillId="0" borderId="0" xfId="0" applyNumberFormat="1" applyFont="1"/>
    <xf numFmtId="164" fontId="3" fillId="6" borderId="0" xfId="2" applyFont="1" applyFill="1" applyBorder="1"/>
    <xf numFmtId="164" fontId="3" fillId="6" borderId="9" xfId="2" applyFont="1" applyFill="1" applyBorder="1"/>
    <xf numFmtId="169" fontId="3" fillId="6" borderId="0" xfId="2" applyNumberFormat="1" applyFont="1" applyFill="1" applyBorder="1"/>
    <xf numFmtId="169" fontId="3" fillId="6" borderId="9" xfId="2" applyNumberFormat="1" applyFont="1" applyFill="1" applyBorder="1"/>
    <xf numFmtId="0" fontId="4" fillId="0" borderId="0" xfId="0" applyFont="1" applyFill="1"/>
    <xf numFmtId="176" fontId="4" fillId="9" borderId="0" xfId="2" applyNumberFormat="1" applyFont="1" applyFill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12" fillId="5" borderId="5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6" fontId="3" fillId="3" borderId="5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58615</xdr:colOff>
      <xdr:row>0</xdr:row>
      <xdr:rowOff>21981</xdr:rowOff>
    </xdr:from>
    <xdr:to>
      <xdr:col>2</xdr:col>
      <xdr:colOff>31374</xdr:colOff>
      <xdr:row>1</xdr:row>
      <xdr:rowOff>171405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1981"/>
          <a:ext cx="1057143" cy="3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56030</xdr:rowOff>
    </xdr:from>
    <xdr:to>
      <xdr:col>1</xdr:col>
      <xdr:colOff>1099523</xdr:colOff>
      <xdr:row>1</xdr:row>
      <xdr:rowOff>202813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6" y="56030"/>
          <a:ext cx="1054699" cy="359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44823</xdr:rowOff>
    </xdr:from>
    <xdr:to>
      <xdr:col>1</xdr:col>
      <xdr:colOff>1090893</xdr:colOff>
      <xdr:row>1</xdr:row>
      <xdr:rowOff>32796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677" y="44823"/>
          <a:ext cx="1057275" cy="35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79562</xdr:colOff>
      <xdr:row>0</xdr:row>
      <xdr:rowOff>54349</xdr:rowOff>
    </xdr:from>
    <xdr:to>
      <xdr:col>1</xdr:col>
      <xdr:colOff>1134261</xdr:colOff>
      <xdr:row>1</xdr:row>
      <xdr:rowOff>201132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27" y="54349"/>
          <a:ext cx="1054699" cy="359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1104900</xdr:colOff>
      <xdr:row>1</xdr:row>
      <xdr:rowOff>14867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1057275" cy="357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44823</xdr:rowOff>
    </xdr:from>
    <xdr:to>
      <xdr:col>1</xdr:col>
      <xdr:colOff>1363943</xdr:colOff>
      <xdr:row>1</xdr:row>
      <xdr:rowOff>33617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53" y="44823"/>
          <a:ext cx="1330325" cy="358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3%20EDR%20Application/02%20Models/Settlement%20models%20October%202012/2013%20EDR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3%20EDR%20Application/02%20Models/2013%20EDR%20model%20D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6%20IRM%20Workform_PowerStream%20Inc.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%20Group/2016%20Custom%20IR/Models/DECISION%20Models_Board%20Approved/D_2016%20EDR%20Distribution%20Revenue%20Model_Nov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TB PSS and Cons "/>
      <sheetName val="TB PSN"/>
      <sheetName val="Shared Services Summary"/>
      <sheetName val="Summary PSS "/>
      <sheetName val="Summary  PSN"/>
      <sheetName val="Summary Cons"/>
      <sheetName val="Transformer Credit"/>
      <sheetName val="Distrib. Revenue summary"/>
      <sheetName val=" Other Operating Revenue 2C"/>
      <sheetName val="Account breakdown 2C"/>
      <sheetName val="Specific Service Charges"/>
      <sheetName val="Total Distrib Expenses "/>
      <sheetName val="Detailed OM&amp;A table (2F)"/>
      <sheetName val="Detailed OM&amp;A analysis "/>
      <sheetName val="FA variance analysis"/>
      <sheetName val="CAPEX "/>
      <sheetName val="App.2-E_OM&amp;A_Exp_Summary"/>
      <sheetName val="App.2-J_OM&amp;A_Variance_Analysis"/>
      <sheetName val="OM&amp;A Cost per Customer 2-I"/>
      <sheetName val=" Capital Structure"/>
      <sheetName val="App.2-N Capitalization"/>
      <sheetName val="Debt Cost"/>
      <sheetName val=" Cost of capital"/>
      <sheetName val="Rate Base"/>
      <sheetName val=" Net Income_existing rates"/>
      <sheetName val="Target Net Income "/>
      <sheetName val="Revenue Requirement"/>
      <sheetName val="Revenue deficiency surplus"/>
      <sheetName val="tables for Exhibit F"/>
      <sheetName val=" Revenue Allocation "/>
      <sheetName val=" Low voltage alloc "/>
      <sheetName val=" Rates - BRR"/>
      <sheetName val="Transformer Allowance"/>
      <sheetName val="Rates - LV"/>
      <sheetName val="Distribution Rates "/>
      <sheetName val="Cost Allocation App 2-O "/>
      <sheetName val="Cost Allocation"/>
      <sheetName val="Fixed Charges"/>
      <sheetName val="Rate Design"/>
      <sheetName val="Tables for Exhibit H"/>
      <sheetName val="Validation"/>
      <sheetName val="App.2-U_Rev_Reconciliation"/>
      <sheetName val="Proposed Rates Schedule"/>
      <sheetName val="PSS Bill Impacts  - App.2 V"/>
      <sheetName val="PSN Bill Impacts  - App.2 V"/>
      <sheetName val="PSS  Bill Impact Summary "/>
      <sheetName val="PSN  Bill Impact Summary"/>
      <sheetName val="Groups"/>
      <sheetName val="Assets Input to CA"/>
    </sheetNames>
    <sheetDataSet>
      <sheetData sheetId="0" refreshError="1"/>
      <sheetData sheetId="1" refreshError="1">
        <row r="13">
          <cell r="C13">
            <v>40908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Rates"/>
      <sheetName val="TB PSS and Cons "/>
      <sheetName val="TB PSN"/>
      <sheetName val="Shared Services Summary"/>
      <sheetName val="Summary PSS "/>
      <sheetName val="Summary  PSN"/>
      <sheetName val="Summary Cons"/>
      <sheetName val="Transformer Credit"/>
      <sheetName val="Distrib. Revenue summary"/>
      <sheetName val=" Other Operating Revenue 2C"/>
      <sheetName val="Account breakdown 2C"/>
      <sheetName val="Specific Service Charges"/>
      <sheetName val="Total Distrib Expenses "/>
      <sheetName val="Detailed OM&amp;A table (2F)"/>
      <sheetName val="Detailed OM&amp;A analysis "/>
      <sheetName val="FA variance analysis"/>
      <sheetName val="CAPEX "/>
      <sheetName val="App.2-E_OM&amp;A_Exp_Summary"/>
      <sheetName val="App.2-J_OM&amp;A_Variance_Analysis"/>
      <sheetName val="OM&amp;A Cost per Customer 2-I"/>
      <sheetName val=" Capital Structure"/>
      <sheetName val="App.2-N Capitalization"/>
      <sheetName val="Debt Cost"/>
      <sheetName val=" Cost of capital"/>
      <sheetName val="Rate Base"/>
      <sheetName val=" Net Income_existing rates"/>
      <sheetName val="Target Net Income "/>
      <sheetName val="Revenue Requirement"/>
      <sheetName val="Revenue deficiency surplus"/>
      <sheetName val="tables for Exhibit F"/>
      <sheetName val=" Revenue Allocation "/>
      <sheetName val=" Low voltage alloc "/>
      <sheetName val=" Rates - BRR"/>
      <sheetName val="Transformer Allowance"/>
      <sheetName val="Rates - LV"/>
      <sheetName val="Distribution Rates "/>
      <sheetName val="Cost Allocation App 2-O "/>
      <sheetName val="Cost Allocation"/>
      <sheetName val="Fixed Charges"/>
      <sheetName val="Rate Design"/>
      <sheetName val="Tables for Exhibit H"/>
      <sheetName val="Validation"/>
      <sheetName val="App.2-U_Rev_Reconciliation"/>
      <sheetName val="Proposed Rates Schedule"/>
      <sheetName val="PSS Bill Impacts  - App.2 V"/>
      <sheetName val="PSN Bill Impacts  - App.2 V"/>
      <sheetName val="PSS  Bill Impact Summary "/>
      <sheetName val="PSN  Bill Impact Summary"/>
      <sheetName val="Groups"/>
      <sheetName val="Assets Input to CA"/>
    </sheetNames>
    <sheetDataSet>
      <sheetData sheetId="0"/>
      <sheetData sheetId="1"/>
      <sheetData sheetId="2">
        <row r="14">
          <cell r="A14" t="str">
            <v>Fix_R</v>
          </cell>
          <cell r="B14" t="str">
            <v>Service Charge</v>
          </cell>
          <cell r="C14" t="str">
            <v>$</v>
          </cell>
          <cell r="D14">
            <v>12.34</v>
          </cell>
          <cell r="E14">
            <v>11.99</v>
          </cell>
          <cell r="F14">
            <v>11.89</v>
          </cell>
          <cell r="G14">
            <v>11.87</v>
          </cell>
          <cell r="H14">
            <v>11.85</v>
          </cell>
          <cell r="I14">
            <v>12.02</v>
          </cell>
          <cell r="J14">
            <v>15.34</v>
          </cell>
          <cell r="K14">
            <v>15.21</v>
          </cell>
          <cell r="L14">
            <v>15.34</v>
          </cell>
          <cell r="M14">
            <v>15.43</v>
          </cell>
          <cell r="N14">
            <v>15.45</v>
          </cell>
          <cell r="O14">
            <v>14.450000000000001</v>
          </cell>
        </row>
        <row r="15">
          <cell r="A15" t="str">
            <v>PPE_R</v>
          </cell>
          <cell r="B15" t="str">
            <v>Rate rider for recovery of CGAAP CWIP differential</v>
          </cell>
          <cell r="C15" t="str">
            <v>$</v>
          </cell>
          <cell r="D15">
            <v>0.2</v>
          </cell>
        </row>
        <row r="16">
          <cell r="A16" t="str">
            <v>GEA_R</v>
          </cell>
          <cell r="B16" t="str">
            <v>GEA funding rate adder</v>
          </cell>
          <cell r="C16" t="str">
            <v>$</v>
          </cell>
          <cell r="D16">
            <v>0</v>
          </cell>
        </row>
        <row r="17">
          <cell r="A17" t="str">
            <v>MDMR_R</v>
          </cell>
          <cell r="B17" t="str">
            <v>MDM/R rate rider</v>
          </cell>
          <cell r="C17" t="str">
            <v>$</v>
          </cell>
        </row>
        <row r="18">
          <cell r="A18" t="str">
            <v>SMR_R</v>
          </cell>
          <cell r="B18" t="str">
            <v>Smart Meter Rate Rider</v>
          </cell>
          <cell r="C18" t="str">
            <v>$</v>
          </cell>
          <cell r="E18">
            <v>1.28</v>
          </cell>
          <cell r="F18">
            <v>1.89</v>
          </cell>
        </row>
        <row r="19">
          <cell r="A19" t="str">
            <v>SM_R</v>
          </cell>
          <cell r="B19" t="str">
            <v>Smart Meter Rate Adder</v>
          </cell>
          <cell r="C19" t="str">
            <v>$</v>
          </cell>
          <cell r="E19">
            <v>0</v>
          </cell>
          <cell r="F19">
            <v>0</v>
          </cell>
          <cell r="G19">
            <v>1.81</v>
          </cell>
          <cell r="H19">
            <v>1.04</v>
          </cell>
          <cell r="I19">
            <v>1.21</v>
          </cell>
          <cell r="L19">
            <v>1.61</v>
          </cell>
          <cell r="M19">
            <v>1</v>
          </cell>
          <cell r="N19">
            <v>0.27</v>
          </cell>
        </row>
        <row r="20">
          <cell r="A20" t="str">
            <v>SMIRR_R</v>
          </cell>
          <cell r="B20" t="str">
            <v>Smart Incremental Revenue Requirement Rider</v>
          </cell>
          <cell r="C20" t="str">
            <v>$</v>
          </cell>
          <cell r="E20">
            <v>0.14000000000000001</v>
          </cell>
          <cell r="F20">
            <v>1.28</v>
          </cell>
          <cell r="J20">
            <v>1.78</v>
          </cell>
        </row>
        <row r="21">
          <cell r="A21" t="str">
            <v>SMCD_R</v>
          </cell>
          <cell r="B21" t="str">
            <v>Smart Meter Cost Disposition Rate Rider</v>
          </cell>
          <cell r="C21" t="str">
            <v>$</v>
          </cell>
        </row>
        <row r="22">
          <cell r="A22" t="str">
            <v>Var_R</v>
          </cell>
          <cell r="B22" t="str">
            <v>Distribution Volumetric Rate</v>
          </cell>
          <cell r="C22" t="str">
            <v>$/kWh</v>
          </cell>
          <cell r="D22">
            <v>1.3599999999999999E-2</v>
          </cell>
          <cell r="E22">
            <v>1.35E-2</v>
          </cell>
          <cell r="F22">
            <v>1.34E-2</v>
          </cell>
          <cell r="G22">
            <v>1.34E-2</v>
          </cell>
          <cell r="H22">
            <v>1.34E-2</v>
          </cell>
          <cell r="I22">
            <v>1.29E-2</v>
          </cell>
          <cell r="J22">
            <v>1.37E-2</v>
          </cell>
          <cell r="K22">
            <v>1.3599999999999999E-2</v>
          </cell>
          <cell r="L22">
            <v>1.37E-2</v>
          </cell>
          <cell r="M22">
            <v>1.38E-2</v>
          </cell>
          <cell r="N22">
            <v>1.38E-2</v>
          </cell>
          <cell r="O22">
            <v>1.29E-2</v>
          </cell>
        </row>
        <row r="23">
          <cell r="A23" t="str">
            <v>LV_R</v>
          </cell>
          <cell r="B23" t="str">
            <v>Low Voltage Charge</v>
          </cell>
          <cell r="C23" t="str">
            <v>$/kWh</v>
          </cell>
          <cell r="D23">
            <v>2.9999999999999997E-4</v>
          </cell>
          <cell r="E23">
            <v>1E-4</v>
          </cell>
          <cell r="F23">
            <v>1E-4</v>
          </cell>
          <cell r="G23">
            <v>1E-4</v>
          </cell>
          <cell r="H23">
            <v>1E-4</v>
          </cell>
          <cell r="I23">
            <v>2.0000000000000001E-4</v>
          </cell>
          <cell r="J23">
            <v>8.0000000000000004E-4</v>
          </cell>
          <cell r="K23">
            <v>8.0000000000000004E-4</v>
          </cell>
          <cell r="L23">
            <v>8.0000000000000004E-4</v>
          </cell>
          <cell r="M23">
            <v>8.0000000000000004E-4</v>
          </cell>
          <cell r="N23">
            <v>8.0000000000000004E-4</v>
          </cell>
        </row>
        <row r="24">
          <cell r="A24" t="str">
            <v>LRAM_R</v>
          </cell>
          <cell r="B24" t="str">
            <v>LRAM Rate adder</v>
          </cell>
          <cell r="C24" t="str">
            <v>$/kWh</v>
          </cell>
          <cell r="F24">
            <v>2.0000000000000001E-4</v>
          </cell>
          <cell r="J24">
            <v>4.0000000000000002E-4</v>
          </cell>
          <cell r="K24">
            <v>4.0000000000000002E-4</v>
          </cell>
        </row>
        <row r="25">
          <cell r="A25" t="str">
            <v>LR_R</v>
          </cell>
          <cell r="B25" t="str">
            <v>Foregone Revenue Rate rider</v>
          </cell>
          <cell r="C25" t="str">
            <v>$</v>
          </cell>
          <cell r="D25">
            <v>-0.14000000000000001</v>
          </cell>
        </row>
        <row r="26">
          <cell r="A26" t="str">
            <v>Reg_R</v>
          </cell>
          <cell r="B26" t="str">
            <v>Regulatory Asset Recovery</v>
          </cell>
          <cell r="C26" t="str">
            <v>$/kWh</v>
          </cell>
          <cell r="G26">
            <v>-2.3E-3</v>
          </cell>
          <cell r="H26">
            <v>-2.3E-3</v>
          </cell>
          <cell r="J26">
            <v>-5.9999999999999995E-4</v>
          </cell>
          <cell r="L26">
            <v>-4.9000000000000007E-3</v>
          </cell>
          <cell r="M26">
            <v>2.0000000000000001E-4</v>
          </cell>
          <cell r="N26">
            <v>2.0000000000000001E-4</v>
          </cell>
          <cell r="O26">
            <v>3.3E-3</v>
          </cell>
        </row>
        <row r="27">
          <cell r="A27" t="str">
            <v>TaxF_R</v>
          </cell>
          <cell r="B27" t="str">
            <v>Tax change/Fixed</v>
          </cell>
          <cell r="C27" t="str">
            <v>$</v>
          </cell>
          <cell r="M27">
            <v>-0.01</v>
          </cell>
        </row>
        <row r="28">
          <cell r="A28" t="str">
            <v>Tax_R</v>
          </cell>
          <cell r="B28" t="str">
            <v xml:space="preserve">Tax change </v>
          </cell>
          <cell r="C28" t="str">
            <v>$/kWh</v>
          </cell>
          <cell r="E28">
            <v>-4.0000000000000002E-4</v>
          </cell>
          <cell r="F28">
            <v>-2.9999999999999997E-4</v>
          </cell>
          <cell r="G28">
            <v>-2.0000000000000001E-4</v>
          </cell>
          <cell r="J28">
            <v>-5.9999999999999995E-4</v>
          </cell>
          <cell r="K28">
            <v>-5.0000000000000001E-4</v>
          </cell>
          <cell r="L28">
            <v>-2.9999999999999997E-4</v>
          </cell>
        </row>
        <row r="29">
          <cell r="A29" t="str">
            <v>Late_R</v>
          </cell>
          <cell r="B29" t="str">
            <v>Late payment charge</v>
          </cell>
          <cell r="C29" t="str">
            <v>$</v>
          </cell>
          <cell r="F29">
            <v>0.16</v>
          </cell>
          <cell r="K29">
            <v>0.16</v>
          </cell>
        </row>
        <row r="30">
          <cell r="A30" t="str">
            <v>TN_R</v>
          </cell>
          <cell r="B30" t="str">
            <v>Retail Transmission Rate – Network Service Rate</v>
          </cell>
          <cell r="C30" t="str">
            <v>$/kWh</v>
          </cell>
          <cell r="D30">
            <v>7.4000000000000003E-3</v>
          </cell>
          <cell r="E30">
            <v>7.3000000000000001E-3</v>
          </cell>
          <cell r="F30">
            <v>6.4000000000000003E-3</v>
          </cell>
          <cell r="G30">
            <v>5.8999999999999999E-3</v>
          </cell>
          <cell r="H30">
            <v>5.3E-3</v>
          </cell>
          <cell r="I30">
            <v>4.8999999999999998E-3</v>
          </cell>
          <cell r="J30">
            <v>6.8999999999999999E-3</v>
          </cell>
          <cell r="K30">
            <v>6.4999999999999997E-3</v>
          </cell>
          <cell r="L30">
            <v>6.1000000000000004E-3</v>
          </cell>
          <cell r="M30">
            <v>5.3E-3</v>
          </cell>
          <cell r="N30">
            <v>4.7999999999999996E-3</v>
          </cell>
          <cell r="O30">
            <v>5.7000000000000002E-3</v>
          </cell>
        </row>
        <row r="31">
          <cell r="A31" t="str">
            <v>TC_R</v>
          </cell>
          <cell r="B31" t="str">
            <v>Retail Transmission Rate – Connection</v>
          </cell>
          <cell r="C31" t="str">
            <v>$/kWh</v>
          </cell>
          <cell r="D31">
            <v>3.2000000000000002E-3</v>
          </cell>
          <cell r="E31">
            <v>2.7000000000000001E-3</v>
          </cell>
          <cell r="F31">
            <v>2.5999999999999999E-3</v>
          </cell>
          <cell r="G31">
            <v>2.5000000000000001E-3</v>
          </cell>
          <cell r="H31">
            <v>2.3999999999999998E-3</v>
          </cell>
          <cell r="I31">
            <v>2.3E-3</v>
          </cell>
          <cell r="J31">
            <v>5.4000000000000003E-3</v>
          </cell>
          <cell r="K31">
            <v>5.4999999999999997E-3</v>
          </cell>
          <cell r="L31">
            <v>5.3E-3</v>
          </cell>
          <cell r="M31">
            <v>5.0000000000000001E-3</v>
          </cell>
          <cell r="N31">
            <v>4.7999999999999996E-3</v>
          </cell>
          <cell r="O31">
            <v>5.0000000000000001E-3</v>
          </cell>
        </row>
        <row r="32">
          <cell r="A32" t="str">
            <v>TR_R</v>
          </cell>
          <cell r="D32">
            <v>1.06E-2</v>
          </cell>
          <cell r="E32">
            <v>0.01</v>
          </cell>
          <cell r="F32">
            <v>9.0000000000000011E-3</v>
          </cell>
          <cell r="G32">
            <v>8.3999999999999995E-3</v>
          </cell>
          <cell r="H32">
            <v>7.7000000000000002E-3</v>
          </cell>
          <cell r="I32">
            <v>7.1999999999999998E-3</v>
          </cell>
          <cell r="J32">
            <v>1.23E-2</v>
          </cell>
          <cell r="K32">
            <v>1.2E-2</v>
          </cell>
          <cell r="L32">
            <v>1.14E-2</v>
          </cell>
          <cell r="M32">
            <v>1.03E-2</v>
          </cell>
          <cell r="N32">
            <v>9.5999999999999992E-3</v>
          </cell>
          <cell r="O32">
            <v>1.0700000000000001E-2</v>
          </cell>
        </row>
        <row r="33">
          <cell r="B33" t="str">
            <v>General Service Less Than 50 kW</v>
          </cell>
        </row>
        <row r="34">
          <cell r="A34" t="str">
            <v>Fix_GS</v>
          </cell>
          <cell r="B34" t="str">
            <v>Service Charge</v>
          </cell>
          <cell r="C34" t="str">
            <v>$</v>
          </cell>
          <cell r="D34">
            <v>25.39</v>
          </cell>
          <cell r="E34">
            <v>28.64</v>
          </cell>
          <cell r="F34">
            <v>28.39</v>
          </cell>
          <cell r="G34">
            <v>28.34</v>
          </cell>
          <cell r="H34">
            <v>28.29</v>
          </cell>
          <cell r="I34">
            <v>28.7</v>
          </cell>
          <cell r="J34">
            <v>16.11</v>
          </cell>
          <cell r="K34">
            <v>15.97</v>
          </cell>
          <cell r="L34">
            <v>15.94</v>
          </cell>
          <cell r="M34">
            <v>15.88</v>
          </cell>
          <cell r="N34">
            <v>15.74</v>
          </cell>
          <cell r="O34">
            <v>14.32</v>
          </cell>
        </row>
        <row r="35">
          <cell r="A35" t="str">
            <v>PPE_GS</v>
          </cell>
          <cell r="B35" t="str">
            <v>Rate rider for recovery of CGAAP CWIP differential</v>
          </cell>
          <cell r="C35" t="str">
            <v>$</v>
          </cell>
          <cell r="D35">
            <v>0.55000000000000004</v>
          </cell>
        </row>
        <row r="36">
          <cell r="A36" t="str">
            <v>GEA_GS</v>
          </cell>
          <cell r="B36" t="str">
            <v>GEA funding rate adder</v>
          </cell>
          <cell r="C36" t="str">
            <v>$</v>
          </cell>
          <cell r="D36">
            <v>0</v>
          </cell>
        </row>
        <row r="37">
          <cell r="A37" t="str">
            <v>MDMR_GS</v>
          </cell>
          <cell r="B37" t="str">
            <v>MDM/R rate rider</v>
          </cell>
          <cell r="C37" t="str">
            <v>$</v>
          </cell>
        </row>
        <row r="38">
          <cell r="A38" t="str">
            <v>SMR_GS</v>
          </cell>
          <cell r="B38" t="str">
            <v>Smart Meter Rate Rider</v>
          </cell>
          <cell r="C38" t="str">
            <v>$</v>
          </cell>
          <cell r="E38">
            <v>1.01</v>
          </cell>
          <cell r="F38">
            <v>1.49</v>
          </cell>
          <cell r="J38">
            <v>7.81</v>
          </cell>
        </row>
        <row r="39">
          <cell r="A39" t="str">
            <v>SM_GS</v>
          </cell>
          <cell r="B39" t="str">
            <v>Smart Meter Rate Adder</v>
          </cell>
          <cell r="C39" t="str">
            <v>$</v>
          </cell>
          <cell r="E39">
            <v>0</v>
          </cell>
          <cell r="F39">
            <v>0</v>
          </cell>
          <cell r="G39">
            <v>1.81</v>
          </cell>
          <cell r="H39">
            <v>1.04</v>
          </cell>
          <cell r="I39">
            <v>1.21</v>
          </cell>
          <cell r="L39">
            <v>1.61</v>
          </cell>
          <cell r="M39">
            <v>1</v>
          </cell>
          <cell r="N39">
            <v>0.27</v>
          </cell>
        </row>
        <row r="40">
          <cell r="A40" t="str">
            <v>SMIRR_GS</v>
          </cell>
          <cell r="B40" t="str">
            <v>Smart Incremental Revenue Requirement Rider</v>
          </cell>
          <cell r="C40" t="str">
            <v>$</v>
          </cell>
          <cell r="E40">
            <v>3.37</v>
          </cell>
          <cell r="F40">
            <v>1.01</v>
          </cell>
          <cell r="J40">
            <v>4.7300000000000004</v>
          </cell>
        </row>
        <row r="41">
          <cell r="A41" t="str">
            <v>SMCD_GS</v>
          </cell>
          <cell r="B41" t="str">
            <v>Smart Meter Cost Disposition Rate Rider</v>
          </cell>
          <cell r="C41" t="str">
            <v>$</v>
          </cell>
        </row>
        <row r="42">
          <cell r="A42" t="str">
            <v>Var_GS</v>
          </cell>
          <cell r="B42" t="str">
            <v>Distribution Volumetric Rate</v>
          </cell>
          <cell r="C42" t="str">
            <v>$/kWh</v>
          </cell>
          <cell r="D42">
            <v>1.35E-2</v>
          </cell>
          <cell r="E42">
            <v>1.1599999999999999E-2</v>
          </cell>
          <cell r="F42">
            <v>1.15E-2</v>
          </cell>
          <cell r="G42">
            <v>1.15E-2</v>
          </cell>
          <cell r="H42">
            <v>1.15E-2</v>
          </cell>
          <cell r="I42">
            <v>1.12E-2</v>
          </cell>
          <cell r="J42">
            <v>1.6400000000000001E-2</v>
          </cell>
          <cell r="K42">
            <v>1.6299999999999999E-2</v>
          </cell>
          <cell r="L42">
            <v>1.6299999999999999E-2</v>
          </cell>
          <cell r="M42">
            <v>1.6299999999999999E-2</v>
          </cell>
          <cell r="N42">
            <v>1.61E-2</v>
          </cell>
          <cell r="O42">
            <v>1.46E-2</v>
          </cell>
        </row>
        <row r="43">
          <cell r="A43" t="str">
            <v>LV_GS</v>
          </cell>
          <cell r="B43" t="str">
            <v>Low Voltage Charge</v>
          </cell>
          <cell r="C43" t="str">
            <v>$/kWh</v>
          </cell>
          <cell r="D43">
            <v>2.9999999999999997E-4</v>
          </cell>
          <cell r="E43">
            <v>1E-4</v>
          </cell>
          <cell r="F43">
            <v>1E-4</v>
          </cell>
          <cell r="G43">
            <v>1E-4</v>
          </cell>
          <cell r="H43">
            <v>1E-4</v>
          </cell>
          <cell r="I43">
            <v>2.0000000000000001E-4</v>
          </cell>
          <cell r="J43">
            <v>6.9999999999999999E-4</v>
          </cell>
          <cell r="K43">
            <v>6.9999999999999999E-4</v>
          </cell>
          <cell r="L43">
            <v>6.9999999999999999E-4</v>
          </cell>
          <cell r="M43">
            <v>6.9999999999999999E-4</v>
          </cell>
          <cell r="N43">
            <v>6.9999999999999999E-4</v>
          </cell>
        </row>
        <row r="44">
          <cell r="A44" t="str">
            <v>LRAM_GS</v>
          </cell>
          <cell r="B44" t="str">
            <v>LRAM Rate adder</v>
          </cell>
          <cell r="C44" t="str">
            <v>$/kWh</v>
          </cell>
          <cell r="F44">
            <v>1E-4</v>
          </cell>
          <cell r="J44">
            <v>6.9999999999999999E-4</v>
          </cell>
          <cell r="K44">
            <v>1E-4</v>
          </cell>
        </row>
        <row r="45">
          <cell r="A45" t="str">
            <v>Reg_GS</v>
          </cell>
          <cell r="B45" t="str">
            <v>Regulatory Asset Recovery</v>
          </cell>
          <cell r="C45" t="str">
            <v>$/kWh</v>
          </cell>
          <cell r="G45">
            <v>-2.3999999999999998E-3</v>
          </cell>
          <cell r="H45">
            <v>-2.3999999999999998E-3</v>
          </cell>
          <cell r="J45">
            <v>-4.0000000000000002E-4</v>
          </cell>
          <cell r="L45">
            <v>-4.8000000000000004E-3</v>
          </cell>
          <cell r="M45">
            <v>2.0000000000000001E-4</v>
          </cell>
          <cell r="N45">
            <v>2.0000000000000001E-4</v>
          </cell>
          <cell r="O45">
            <v>2E-3</v>
          </cell>
        </row>
        <row r="46">
          <cell r="A46" t="str">
            <v>LR_GS</v>
          </cell>
          <cell r="B46" t="str">
            <v>Foregone Revenue Rate rider</v>
          </cell>
          <cell r="C46" t="str">
            <v>$</v>
          </cell>
          <cell r="D46">
            <v>-0.14000000000000001</v>
          </cell>
        </row>
        <row r="47">
          <cell r="A47" t="str">
            <v>TaxF_GS</v>
          </cell>
          <cell r="B47" t="str">
            <v>Tax change/Fixed</v>
          </cell>
          <cell r="C47" t="str">
            <v>$</v>
          </cell>
          <cell r="M47">
            <v>-0.01</v>
          </cell>
        </row>
        <row r="48">
          <cell r="A48" t="str">
            <v>tax_GS</v>
          </cell>
          <cell r="B48" t="str">
            <v>Tax change</v>
          </cell>
          <cell r="C48" t="str">
            <v>$/kWh</v>
          </cell>
          <cell r="E48">
            <v>-2.9999999999999997E-4</v>
          </cell>
          <cell r="F48">
            <v>-2.0000000000000001E-4</v>
          </cell>
          <cell r="G48">
            <v>-1E-4</v>
          </cell>
          <cell r="J48">
            <v>-4.0000000000000002E-4</v>
          </cell>
          <cell r="K48">
            <v>-2.9999999999999997E-4</v>
          </cell>
          <cell r="L48">
            <v>-2.0000000000000001E-4</v>
          </cell>
        </row>
        <row r="49">
          <cell r="A49" t="str">
            <v>Late_GS</v>
          </cell>
          <cell r="B49" t="str">
            <v>Late payment charge</v>
          </cell>
          <cell r="C49" t="str">
            <v>$</v>
          </cell>
          <cell r="F49">
            <v>0.43</v>
          </cell>
          <cell r="K49">
            <v>0.43</v>
          </cell>
        </row>
        <row r="50">
          <cell r="A50" t="str">
            <v>TN_GS</v>
          </cell>
          <cell r="B50" t="str">
            <v>Retail Transmission Rate – Network Service Rate</v>
          </cell>
          <cell r="C50" t="str">
            <v>$/kWh</v>
          </cell>
          <cell r="D50">
            <v>6.7000000000000002E-3</v>
          </cell>
          <cell r="E50">
            <v>6.6E-3</v>
          </cell>
          <cell r="F50">
            <v>5.7999999999999996E-3</v>
          </cell>
          <cell r="G50">
            <v>5.3E-3</v>
          </cell>
          <cell r="H50">
            <v>4.7999999999999996E-3</v>
          </cell>
          <cell r="I50">
            <v>4.4000000000000003E-3</v>
          </cell>
          <cell r="J50">
            <v>6.3E-3</v>
          </cell>
          <cell r="K50">
            <v>6.0000000000000001E-3</v>
          </cell>
          <cell r="L50">
            <v>5.7000000000000002E-3</v>
          </cell>
          <cell r="M50">
            <v>4.8999999999999998E-3</v>
          </cell>
          <cell r="N50">
            <v>4.4000000000000003E-3</v>
          </cell>
          <cell r="O50">
            <v>5.1999999999999998E-3</v>
          </cell>
        </row>
        <row r="51">
          <cell r="A51" t="str">
            <v>TC_GS</v>
          </cell>
          <cell r="B51" t="str">
            <v>Retail Transmission Rate – Connection</v>
          </cell>
          <cell r="C51" t="str">
            <v>$/kWh</v>
          </cell>
          <cell r="D51">
            <v>2.8E-3</v>
          </cell>
          <cell r="E51">
            <v>2.3999999999999998E-3</v>
          </cell>
          <cell r="F51">
            <v>2.3E-3</v>
          </cell>
          <cell r="G51">
            <v>2.3E-3</v>
          </cell>
          <cell r="H51">
            <v>2.2000000000000001E-3</v>
          </cell>
          <cell r="I51">
            <v>2.0999999999999999E-3</v>
          </cell>
          <cell r="J51">
            <v>4.7999999999999996E-3</v>
          </cell>
          <cell r="K51">
            <v>4.8999999999999998E-3</v>
          </cell>
          <cell r="L51">
            <v>4.7000000000000002E-3</v>
          </cell>
          <cell r="M51">
            <v>4.4999999999999997E-3</v>
          </cell>
          <cell r="N51">
            <v>4.3E-3</v>
          </cell>
          <cell r="O51">
            <v>4.4999999999999997E-3</v>
          </cell>
        </row>
        <row r="52">
          <cell r="A52" t="str">
            <v>TR_GS</v>
          </cell>
          <cell r="D52">
            <v>9.4999999999999998E-3</v>
          </cell>
          <cell r="E52">
            <v>8.9999999999999993E-3</v>
          </cell>
          <cell r="F52">
            <v>8.0999999999999996E-3</v>
          </cell>
          <cell r="G52">
            <v>7.6E-3</v>
          </cell>
          <cell r="H52">
            <v>6.9999999999999993E-3</v>
          </cell>
          <cell r="I52">
            <v>6.5000000000000006E-3</v>
          </cell>
          <cell r="J52">
            <v>1.1099999999999999E-2</v>
          </cell>
          <cell r="K52">
            <v>1.09E-2</v>
          </cell>
          <cell r="L52">
            <v>1.04E-2</v>
          </cell>
          <cell r="M52">
            <v>9.3999999999999986E-3</v>
          </cell>
          <cell r="N52">
            <v>8.6999999999999994E-3</v>
          </cell>
          <cell r="O52">
            <v>9.7000000000000003E-3</v>
          </cell>
        </row>
        <row r="53">
          <cell r="B53" t="str">
            <v>General Service 50 to 4,999 kW</v>
          </cell>
        </row>
        <row r="54">
          <cell r="A54" t="str">
            <v>Fix_GSL</v>
          </cell>
          <cell r="B54" t="str">
            <v>Service Charge</v>
          </cell>
          <cell r="C54" t="str">
            <v>$</v>
          </cell>
          <cell r="D54">
            <v>134.81</v>
          </cell>
          <cell r="E54">
            <v>84.45</v>
          </cell>
          <cell r="F54">
            <v>83.71</v>
          </cell>
          <cell r="G54">
            <v>83.56</v>
          </cell>
          <cell r="H54">
            <v>83.41</v>
          </cell>
          <cell r="I54">
            <v>301.73</v>
          </cell>
          <cell r="J54">
            <v>395.68</v>
          </cell>
          <cell r="K54">
            <v>392.23</v>
          </cell>
          <cell r="L54">
            <v>392.52</v>
          </cell>
          <cell r="M54">
            <v>391.05</v>
          </cell>
          <cell r="N54">
            <v>387.56</v>
          </cell>
          <cell r="O54">
            <v>357.85</v>
          </cell>
        </row>
        <row r="55">
          <cell r="A55" t="str">
            <v>PPE_GSL</v>
          </cell>
          <cell r="B55" t="str">
            <v>Rate rider for recovery of CGAAP CWIP differential</v>
          </cell>
          <cell r="C55" t="str">
            <v>$</v>
          </cell>
          <cell r="D55">
            <v>6.99</v>
          </cell>
        </row>
        <row r="56">
          <cell r="A56" t="str">
            <v>GEA_GSL</v>
          </cell>
          <cell r="B56" t="str">
            <v>GEA funding rate adder</v>
          </cell>
          <cell r="C56" t="str">
            <v>$</v>
          </cell>
          <cell r="D56">
            <v>0</v>
          </cell>
        </row>
        <row r="57">
          <cell r="A57" t="str">
            <v>MDMR_GSL</v>
          </cell>
          <cell r="B57" t="str">
            <v>MDM/R rate rider</v>
          </cell>
          <cell r="C57" t="str">
            <v>$</v>
          </cell>
        </row>
        <row r="58">
          <cell r="A58" t="str">
            <v>SM_GSL</v>
          </cell>
          <cell r="B58" t="str">
            <v>Smart Meter Rate Adder</v>
          </cell>
          <cell r="C58" t="str">
            <v>$</v>
          </cell>
          <cell r="G58">
            <v>1.81</v>
          </cell>
          <cell r="H58">
            <v>1.04</v>
          </cell>
          <cell r="I58">
            <v>1.21</v>
          </cell>
          <cell r="L58">
            <v>1.61</v>
          </cell>
          <cell r="M58">
            <v>1</v>
          </cell>
          <cell r="N58">
            <v>0.27</v>
          </cell>
        </row>
        <row r="59">
          <cell r="A59" t="str">
            <v>Var_GSL</v>
          </cell>
          <cell r="B59" t="str">
            <v>Distribution Volumetric Rate</v>
          </cell>
          <cell r="C59" t="str">
            <v>$/kW</v>
          </cell>
          <cell r="D59">
            <v>3.2397</v>
          </cell>
          <cell r="E59">
            <v>3.5036</v>
          </cell>
          <cell r="F59">
            <v>3.4729999999999999</v>
          </cell>
          <cell r="G59">
            <v>3.4668000000000001</v>
          </cell>
          <cell r="H59">
            <v>3.4605999999999999</v>
          </cell>
          <cell r="I59">
            <v>2.2713000000000001</v>
          </cell>
          <cell r="J59">
            <v>1.8392999999999999</v>
          </cell>
          <cell r="K59">
            <v>1.8232999999999999</v>
          </cell>
          <cell r="L59">
            <v>1.82</v>
          </cell>
          <cell r="M59">
            <v>1.8125</v>
          </cell>
          <cell r="N59">
            <v>1.7969999999999999</v>
          </cell>
          <cell r="O59">
            <v>1.4111</v>
          </cell>
        </row>
        <row r="60">
          <cell r="A60" t="str">
            <v>LV_GSL</v>
          </cell>
          <cell r="B60" t="str">
            <v>Low Voltage Charge</v>
          </cell>
          <cell r="C60" t="str">
            <v>$/kW</v>
          </cell>
          <cell r="D60">
            <v>0.11890000000000001</v>
          </cell>
          <cell r="E60">
            <v>4.7199999999999999E-2</v>
          </cell>
          <cell r="F60">
            <v>4.7199999999999999E-2</v>
          </cell>
          <cell r="G60">
            <v>4.7199999999999999E-2</v>
          </cell>
          <cell r="H60">
            <v>4.7199999999999999E-2</v>
          </cell>
          <cell r="I60">
            <v>9.1399999999999995E-2</v>
          </cell>
          <cell r="J60">
            <v>0.2913</v>
          </cell>
          <cell r="K60">
            <v>0.2913</v>
          </cell>
          <cell r="L60">
            <v>0.2913</v>
          </cell>
          <cell r="M60">
            <v>0.2913</v>
          </cell>
          <cell r="N60">
            <v>0.28799999999999998</v>
          </cell>
        </row>
        <row r="61">
          <cell r="A61" t="str">
            <v>LRAM_GSL</v>
          </cell>
          <cell r="B61" t="str">
            <v>LRAM Rate adder</v>
          </cell>
          <cell r="C61" t="str">
            <v>$/kW</v>
          </cell>
          <cell r="F61">
            <v>1E-4</v>
          </cell>
          <cell r="J61">
            <v>1.1999999999999999E-3</v>
          </cell>
        </row>
        <row r="62">
          <cell r="A62" t="str">
            <v>TRC_GSL</v>
          </cell>
          <cell r="B62" t="str">
            <v>Transmission allowance</v>
          </cell>
          <cell r="C62" t="str">
            <v>$/kW</v>
          </cell>
          <cell r="D62">
            <v>-0.6</v>
          </cell>
          <cell r="E62">
            <v>-0.6</v>
          </cell>
          <cell r="F62">
            <v>-0.6</v>
          </cell>
          <cell r="G62">
            <v>-0.6</v>
          </cell>
          <cell r="H62">
            <v>-0.6</v>
          </cell>
          <cell r="I62">
            <v>-0.6</v>
          </cell>
          <cell r="J62">
            <v>-0.6</v>
          </cell>
          <cell r="K62">
            <v>-0.6</v>
          </cell>
          <cell r="L62">
            <v>-0.6</v>
          </cell>
          <cell r="M62">
            <v>-0.6</v>
          </cell>
          <cell r="N62">
            <v>-0.6</v>
          </cell>
          <cell r="O62">
            <v>-0.6</v>
          </cell>
        </row>
        <row r="63">
          <cell r="A63" t="str">
            <v>Reg_GSL</v>
          </cell>
          <cell r="B63" t="str">
            <v>Regulatory Asset Recovery</v>
          </cell>
          <cell r="C63" t="str">
            <v>$/kW</v>
          </cell>
          <cell r="G63">
            <v>-0.99709999999999999</v>
          </cell>
          <cell r="H63">
            <v>-0.99709999999999999</v>
          </cell>
          <cell r="J63">
            <v>-7.0499999999999993E-2</v>
          </cell>
          <cell r="L63">
            <v>-1.8206</v>
          </cell>
          <cell r="M63">
            <v>7.5200000000000003E-2</v>
          </cell>
          <cell r="N63">
            <v>7.5200000000000003E-2</v>
          </cell>
          <cell r="O63">
            <v>0.69230000000000003</v>
          </cell>
        </row>
        <row r="64">
          <cell r="A64" t="str">
            <v>LR_GSL</v>
          </cell>
          <cell r="B64" t="str">
            <v>Foregone Revenue Rate rider</v>
          </cell>
          <cell r="C64" t="str">
            <v>$</v>
          </cell>
          <cell r="D64">
            <v>0.72</v>
          </cell>
        </row>
        <row r="65">
          <cell r="A65" t="str">
            <v>Tax_GSL</v>
          </cell>
          <cell r="B65" t="str">
            <v>Tax change</v>
          </cell>
          <cell r="C65" t="str">
            <v>$/kW</v>
          </cell>
          <cell r="E65">
            <v>-5.0099999999999999E-2</v>
          </cell>
          <cell r="F65">
            <v>-4.1700000000000001E-2</v>
          </cell>
          <cell r="G65">
            <v>-2.3300000000000001E-2</v>
          </cell>
          <cell r="J65">
            <v>-6.5000000000000002E-2</v>
          </cell>
          <cell r="K65">
            <v>-5.04E-2</v>
          </cell>
          <cell r="L65">
            <v>-2.8000000000000001E-2</v>
          </cell>
          <cell r="M65">
            <v>-1.8E-3</v>
          </cell>
        </row>
        <row r="66">
          <cell r="A66" t="str">
            <v>TaxF_GSL</v>
          </cell>
          <cell r="B66" t="str">
            <v>Tax change/fixed</v>
          </cell>
          <cell r="C66" t="str">
            <v>$</v>
          </cell>
          <cell r="M66">
            <v>-0.34</v>
          </cell>
        </row>
        <row r="67">
          <cell r="A67" t="str">
            <v>Late_GSL</v>
          </cell>
          <cell r="B67" t="str">
            <v>Late payment charge</v>
          </cell>
          <cell r="C67" t="str">
            <v>$</v>
          </cell>
          <cell r="F67">
            <v>5.38</v>
          </cell>
          <cell r="K67">
            <v>5.38</v>
          </cell>
        </row>
        <row r="68">
          <cell r="A68" t="str">
            <v>TN_GSL</v>
          </cell>
          <cell r="B68" t="str">
            <v>Retail Transmission Rate – Network Service Rate</v>
          </cell>
          <cell r="C68" t="str">
            <v>$/kW</v>
          </cell>
          <cell r="D68">
            <v>2.7151000000000001</v>
          </cell>
          <cell r="E68">
            <v>2.6667000000000001</v>
          </cell>
          <cell r="F68">
            <v>2.351</v>
          </cell>
          <cell r="G68">
            <v>2.1613000000000002</v>
          </cell>
          <cell r="H68">
            <v>1.9489000000000001</v>
          </cell>
          <cell r="I68">
            <v>1.8008999999999999</v>
          </cell>
          <cell r="J68">
            <v>2.4796</v>
          </cell>
          <cell r="K68">
            <v>2.3431999999999999</v>
          </cell>
          <cell r="L68">
            <v>2.2121</v>
          </cell>
          <cell r="M68">
            <v>1.9136</v>
          </cell>
          <cell r="N68">
            <v>1.724</v>
          </cell>
          <cell r="O68">
            <v>2.0459000000000001</v>
          </cell>
        </row>
        <row r="69">
          <cell r="A69" t="str">
            <v>TC_GSL</v>
          </cell>
          <cell r="B69" t="str">
            <v>Retail Transmission Rate – Connection</v>
          </cell>
          <cell r="C69" t="str">
            <v>$/kW</v>
          </cell>
          <cell r="D69">
            <v>1.0903</v>
          </cell>
          <cell r="E69">
            <v>0.97550000000000003</v>
          </cell>
          <cell r="F69">
            <v>0.92989999999999995</v>
          </cell>
          <cell r="G69">
            <v>0.91069999999999995</v>
          </cell>
          <cell r="H69">
            <v>0.87649999999999995</v>
          </cell>
          <cell r="I69">
            <v>0.83909999999999996</v>
          </cell>
          <cell r="J69">
            <v>1.8993</v>
          </cell>
          <cell r="K69">
            <v>1.9362999999999999</v>
          </cell>
          <cell r="L69">
            <v>1.8702000000000001</v>
          </cell>
          <cell r="M69">
            <v>1.7778</v>
          </cell>
          <cell r="N69">
            <v>1.6931</v>
          </cell>
          <cell r="O69">
            <v>1.7796000000000001</v>
          </cell>
        </row>
        <row r="70">
          <cell r="A70" t="str">
            <v>TR_GSL</v>
          </cell>
          <cell r="D70">
            <v>3.8054000000000001</v>
          </cell>
          <cell r="E70">
            <v>3.6421999999999999</v>
          </cell>
          <cell r="F70">
            <v>3.2808999999999999</v>
          </cell>
          <cell r="G70">
            <v>3.0720000000000001</v>
          </cell>
          <cell r="H70">
            <v>2.8254000000000001</v>
          </cell>
          <cell r="I70">
            <v>2.6399999999999997</v>
          </cell>
          <cell r="J70">
            <v>4.3788999999999998</v>
          </cell>
          <cell r="K70">
            <v>4.2794999999999996</v>
          </cell>
          <cell r="L70">
            <v>4.0823</v>
          </cell>
          <cell r="M70">
            <v>3.6913999999999998</v>
          </cell>
          <cell r="N70">
            <v>3.4171</v>
          </cell>
          <cell r="O70">
            <v>3.8254999999999999</v>
          </cell>
        </row>
        <row r="71">
          <cell r="B71" t="str">
            <v>Large Use</v>
          </cell>
        </row>
        <row r="72">
          <cell r="A72" t="str">
            <v>Fix_LU</v>
          </cell>
          <cell r="B72" t="str">
            <v>Service Charge</v>
          </cell>
          <cell r="C72" t="str">
            <v>$</v>
          </cell>
          <cell r="D72">
            <v>5808.4</v>
          </cell>
          <cell r="E72">
            <v>2173.63</v>
          </cell>
          <cell r="F72">
            <v>2154.67</v>
          </cell>
          <cell r="G72">
            <v>2150.8000000000002</v>
          </cell>
          <cell r="H72">
            <v>2146.94</v>
          </cell>
          <cell r="I72">
            <v>8978.09</v>
          </cell>
          <cell r="J72">
            <v>9690.24</v>
          </cell>
          <cell r="K72">
            <v>9605.7099999999991</v>
          </cell>
          <cell r="L72">
            <v>9558.4500000000007</v>
          </cell>
          <cell r="M72">
            <v>9552.7099999999991</v>
          </cell>
          <cell r="N72">
            <v>9467.7099999999991</v>
          </cell>
          <cell r="O72">
            <v>8746.31</v>
          </cell>
        </row>
        <row r="73">
          <cell r="A73" t="str">
            <v>PPE_LU</v>
          </cell>
          <cell r="B73" t="str">
            <v>Rate rider for recovery of CGAAP CWIP differential</v>
          </cell>
          <cell r="C73" t="str">
            <v>$</v>
          </cell>
          <cell r="D73">
            <v>104.59</v>
          </cell>
        </row>
        <row r="74">
          <cell r="A74" t="str">
            <v>GEA_LU</v>
          </cell>
          <cell r="B74" t="str">
            <v>GEA funding rate adder</v>
          </cell>
          <cell r="C74" t="str">
            <v>$</v>
          </cell>
          <cell r="D74">
            <v>0</v>
          </cell>
        </row>
        <row r="75">
          <cell r="A75" t="str">
            <v>SM_LU</v>
          </cell>
          <cell r="B75" t="str">
            <v>Smart Meter Rate Adder</v>
          </cell>
          <cell r="C75" t="str">
            <v>$</v>
          </cell>
          <cell r="G75">
            <v>1.81</v>
          </cell>
          <cell r="L75">
            <v>1.61</v>
          </cell>
          <cell r="M75">
            <v>1</v>
          </cell>
          <cell r="N75">
            <v>0.27</v>
          </cell>
        </row>
        <row r="76">
          <cell r="A76" t="str">
            <v>Var_LU</v>
          </cell>
          <cell r="B76" t="str">
            <v>Distribution Volumetric Rate</v>
          </cell>
          <cell r="C76" t="str">
            <v>$/kW</v>
          </cell>
          <cell r="D76">
            <v>1.3784000000000001</v>
          </cell>
          <cell r="E76">
            <v>1.0484</v>
          </cell>
          <cell r="F76">
            <v>1.0392999999999999</v>
          </cell>
          <cell r="G76">
            <v>0.98160000000000014</v>
          </cell>
          <cell r="H76">
            <v>1.0354999999999999</v>
          </cell>
          <cell r="I76">
            <v>1.1989000000000001</v>
          </cell>
          <cell r="J76">
            <v>0.59179999999999999</v>
          </cell>
          <cell r="K76">
            <v>0.58860000000000001</v>
          </cell>
          <cell r="L76">
            <v>0.58550000000000002</v>
          </cell>
          <cell r="M76">
            <v>0.58349999999999991</v>
          </cell>
          <cell r="N76">
            <v>0.57809999999999995</v>
          </cell>
          <cell r="O76">
            <v>0.53400000000000003</v>
          </cell>
        </row>
        <row r="77">
          <cell r="A77" t="str">
            <v>LV_LU</v>
          </cell>
          <cell r="B77" t="str">
            <v>Low Voltage Charge</v>
          </cell>
          <cell r="C77" t="str">
            <v>$/kW</v>
          </cell>
          <cell r="D77">
            <v>0.14369999999999999</v>
          </cell>
          <cell r="E77">
            <v>5.5800000000000002E-2</v>
          </cell>
          <cell r="F77">
            <v>5.5800000000000002E-2</v>
          </cell>
          <cell r="G77">
            <v>5.5800000000000002E-2</v>
          </cell>
          <cell r="H77">
            <v>5.5800000000000002E-2</v>
          </cell>
          <cell r="I77">
            <v>0.1047</v>
          </cell>
          <cell r="J77">
            <v>0.3886</v>
          </cell>
          <cell r="K77">
            <v>0.3886</v>
          </cell>
          <cell r="L77">
            <v>0.3866</v>
          </cell>
          <cell r="M77">
            <v>0.3866</v>
          </cell>
          <cell r="N77">
            <v>0.38329999999999997</v>
          </cell>
        </row>
        <row r="78">
          <cell r="A78" t="str">
            <v>TRC_LU</v>
          </cell>
          <cell r="B78" t="str">
            <v>Transmission allowance</v>
          </cell>
          <cell r="D78">
            <v>-0.6</v>
          </cell>
          <cell r="E78">
            <v>-0.6</v>
          </cell>
          <cell r="F78">
            <v>-0.6</v>
          </cell>
          <cell r="G78">
            <v>-0.6</v>
          </cell>
          <cell r="H78">
            <v>-0.6</v>
          </cell>
          <cell r="I78">
            <v>-0.6</v>
          </cell>
          <cell r="J78">
            <v>-0.6</v>
          </cell>
          <cell r="K78">
            <v>-0.6</v>
          </cell>
          <cell r="L78">
            <v>-0.6</v>
          </cell>
          <cell r="M78">
            <v>-0.6</v>
          </cell>
          <cell r="N78">
            <v>-0.6</v>
          </cell>
          <cell r="O78">
            <v>-0.6</v>
          </cell>
        </row>
        <row r="79">
          <cell r="A79" t="str">
            <v>Reg_LU</v>
          </cell>
          <cell r="B79" t="str">
            <v>Regulatory Asset Recovery</v>
          </cell>
          <cell r="C79" t="str">
            <v>$/kW</v>
          </cell>
          <cell r="G79">
            <v>-1.71</v>
          </cell>
          <cell r="H79">
            <v>0</v>
          </cell>
          <cell r="L79">
            <v>0</v>
          </cell>
        </row>
        <row r="80">
          <cell r="A80" t="str">
            <v>LR_LU</v>
          </cell>
          <cell r="B80" t="str">
            <v>Foregone Revenue Rate rider</v>
          </cell>
          <cell r="C80" t="str">
            <v>$</v>
          </cell>
          <cell r="D80">
            <v>587.71</v>
          </cell>
        </row>
        <row r="81">
          <cell r="A81" t="str">
            <v>Tax_LU</v>
          </cell>
          <cell r="B81" t="str">
            <v>Tax Change</v>
          </cell>
          <cell r="C81" t="str">
            <v>$/kW</v>
          </cell>
          <cell r="E81">
            <v>-1.7500000000000002E-2</v>
          </cell>
          <cell r="F81">
            <v>-1.46E-2</v>
          </cell>
          <cell r="G81">
            <v>-8.2000000000000007E-3</v>
          </cell>
          <cell r="J81">
            <v>-7.6399999999999996E-2</v>
          </cell>
          <cell r="K81">
            <v>-5.9200000000000003E-2</v>
          </cell>
          <cell r="L81">
            <v>-3.2800000000000003E-2</v>
          </cell>
          <cell r="M81">
            <v>-8.0000000000000004E-4</v>
          </cell>
        </row>
        <row r="82">
          <cell r="A82" t="str">
            <v>Late_LU</v>
          </cell>
          <cell r="B82" t="str">
            <v>Late payment charge</v>
          </cell>
          <cell r="C82" t="str">
            <v>$</v>
          </cell>
          <cell r="F82">
            <v>138.96</v>
          </cell>
          <cell r="K82">
            <v>138.96</v>
          </cell>
        </row>
        <row r="83">
          <cell r="A83" t="str">
            <v>TN_LU</v>
          </cell>
          <cell r="B83" t="str">
            <v>Retail Transmission Rate – Network Service Rate</v>
          </cell>
          <cell r="C83" t="str">
            <v>$/kW</v>
          </cell>
          <cell r="D83">
            <v>3.2216</v>
          </cell>
          <cell r="E83">
            <v>3.1284999999999998</v>
          </cell>
          <cell r="F83">
            <v>2.7582</v>
          </cell>
          <cell r="G83">
            <v>2.5356000000000001</v>
          </cell>
          <cell r="H83">
            <v>2.2864</v>
          </cell>
          <cell r="I83">
            <v>2.1128</v>
          </cell>
          <cell r="J83">
            <v>3.1192000000000002</v>
          </cell>
          <cell r="K83">
            <v>3.1192000000000002</v>
          </cell>
          <cell r="L83">
            <v>2.9447000000000001</v>
          </cell>
          <cell r="M83">
            <v>2.5472999999999999</v>
          </cell>
          <cell r="N83">
            <v>2.2949000000000002</v>
          </cell>
          <cell r="O83">
            <v>2.7233000000000001</v>
          </cell>
        </row>
        <row r="84">
          <cell r="A84" t="str">
            <v>TC_LU</v>
          </cell>
          <cell r="B84" t="str">
            <v>Retail Transmission Rate – Connection</v>
          </cell>
          <cell r="C84" t="str">
            <v>$/kW</v>
          </cell>
          <cell r="D84">
            <v>1.1183000000000001</v>
          </cell>
          <cell r="E84">
            <v>1.1529</v>
          </cell>
          <cell r="F84">
            <v>1.099</v>
          </cell>
          <cell r="G84">
            <v>1.0763</v>
          </cell>
          <cell r="H84">
            <v>1.0359</v>
          </cell>
          <cell r="I84">
            <v>0.99170000000000003</v>
          </cell>
          <cell r="J84">
            <v>2.5775000000000001</v>
          </cell>
          <cell r="K84">
            <v>2.5775000000000001</v>
          </cell>
          <cell r="L84">
            <v>2.4895999999999998</v>
          </cell>
          <cell r="M84">
            <v>2.3664999999999998</v>
          </cell>
          <cell r="N84">
            <v>2.2538</v>
          </cell>
          <cell r="O84">
            <v>2.3689</v>
          </cell>
        </row>
        <row r="85">
          <cell r="A85" t="str">
            <v>TR_LU</v>
          </cell>
          <cell r="D85">
            <v>4.3399000000000001</v>
          </cell>
          <cell r="E85">
            <v>4.2813999999999997</v>
          </cell>
          <cell r="F85">
            <v>3.8571999999999997</v>
          </cell>
          <cell r="G85">
            <v>3.6119000000000003</v>
          </cell>
          <cell r="H85">
            <v>3.3223000000000003</v>
          </cell>
          <cell r="I85">
            <v>3.1044999999999998</v>
          </cell>
          <cell r="J85">
            <v>5.6966999999999999</v>
          </cell>
          <cell r="K85">
            <v>5.6966999999999999</v>
          </cell>
          <cell r="L85">
            <v>5.4343000000000004</v>
          </cell>
          <cell r="M85">
            <v>4.9138000000000002</v>
          </cell>
          <cell r="N85">
            <v>4.5487000000000002</v>
          </cell>
          <cell r="O85">
            <v>5.0922000000000001</v>
          </cell>
        </row>
        <row r="86">
          <cell r="B86" t="str">
            <v>General Service 50 to 4,999 kW – Time of Use</v>
          </cell>
        </row>
        <row r="87">
          <cell r="A87" t="str">
            <v>Fix_TOU</v>
          </cell>
          <cell r="B87" t="str">
            <v>Service Charge</v>
          </cell>
          <cell r="C87" t="str">
            <v>$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3313.25</v>
          </cell>
          <cell r="J87">
            <v>395.68</v>
          </cell>
          <cell r="K87">
            <v>393.23</v>
          </cell>
          <cell r="L87">
            <v>392.52</v>
          </cell>
          <cell r="M87">
            <v>391.05</v>
          </cell>
          <cell r="N87">
            <v>387.56</v>
          </cell>
          <cell r="O87">
            <v>357.85</v>
          </cell>
        </row>
        <row r="88">
          <cell r="A88" t="str">
            <v>LRAM_TOU</v>
          </cell>
          <cell r="B88" t="str">
            <v>LRAM Rate adder</v>
          </cell>
          <cell r="C88" t="str">
            <v>$</v>
          </cell>
          <cell r="J88">
            <v>1.1999999999999999E-3</v>
          </cell>
          <cell r="L88">
            <v>1.61</v>
          </cell>
          <cell r="M88">
            <v>1</v>
          </cell>
          <cell r="N88">
            <v>0.27</v>
          </cell>
        </row>
        <row r="89">
          <cell r="A89" t="str">
            <v>Var_TOU</v>
          </cell>
          <cell r="B89" t="str">
            <v>Distribution Volumetric Rate</v>
          </cell>
          <cell r="C89" t="str">
            <v>$/kW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1.5576000000000001</v>
          </cell>
          <cell r="J89">
            <v>1.8392999999999999</v>
          </cell>
          <cell r="K89">
            <v>1.8232999999999999</v>
          </cell>
          <cell r="L89">
            <v>1.82</v>
          </cell>
          <cell r="M89">
            <v>1.8125</v>
          </cell>
          <cell r="N89">
            <v>1.7969999999999999</v>
          </cell>
          <cell r="O89">
            <v>1.4111</v>
          </cell>
        </row>
        <row r="90">
          <cell r="A90" t="str">
            <v>LV_TOU</v>
          </cell>
          <cell r="B90" t="str">
            <v>Low Voltage Charge</v>
          </cell>
          <cell r="C90" t="str">
            <v>$/kW</v>
          </cell>
          <cell r="D90" t="e">
            <v>#N/A</v>
          </cell>
          <cell r="J90">
            <v>0.2913</v>
          </cell>
          <cell r="K90">
            <v>0.2913</v>
          </cell>
          <cell r="L90">
            <v>0.2913</v>
          </cell>
          <cell r="M90">
            <v>0.2913</v>
          </cell>
          <cell r="N90">
            <v>0.28799999999999998</v>
          </cell>
        </row>
        <row r="91">
          <cell r="A91" t="str">
            <v>TRC_TOU</v>
          </cell>
          <cell r="B91" t="str">
            <v>Transmission allowance</v>
          </cell>
          <cell r="J91">
            <v>-0.6</v>
          </cell>
          <cell r="K91">
            <v>-0.6</v>
          </cell>
          <cell r="L91">
            <v>-0.6</v>
          </cell>
          <cell r="M91">
            <v>-0.6</v>
          </cell>
          <cell r="N91">
            <v>-0.6</v>
          </cell>
          <cell r="O91">
            <v>-0.6</v>
          </cell>
        </row>
        <row r="92">
          <cell r="A92" t="str">
            <v>Reg_TOU</v>
          </cell>
          <cell r="B92" t="str">
            <v>Regulatory Asset Recovery</v>
          </cell>
          <cell r="C92" t="str">
            <v>$/kW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J92">
            <v>-7.0499999999999993E-2</v>
          </cell>
          <cell r="L92">
            <v>-1.8206</v>
          </cell>
          <cell r="M92">
            <v>7.5200000000000003E-2</v>
          </cell>
          <cell r="N92">
            <v>7.5200000000000003E-2</v>
          </cell>
          <cell r="O92">
            <v>0.69230000000000003</v>
          </cell>
        </row>
        <row r="93">
          <cell r="A93" t="str">
            <v>LR_TOU</v>
          </cell>
          <cell r="B93" t="str">
            <v>Foregone Revenue Rate rider</v>
          </cell>
          <cell r="C93" t="str">
            <v>$</v>
          </cell>
        </row>
        <row r="94">
          <cell r="A94" t="str">
            <v>Tax_TOU</v>
          </cell>
          <cell r="B94" t="str">
            <v>Tax Change</v>
          </cell>
          <cell r="C94" t="str">
            <v>$/kW</v>
          </cell>
          <cell r="J94">
            <v>-6.5000000000000002E-2</v>
          </cell>
          <cell r="K94">
            <v>-5.04E-2</v>
          </cell>
          <cell r="L94">
            <v>-2.8000000000000001E-2</v>
          </cell>
          <cell r="M94">
            <v>-1.8E-3</v>
          </cell>
        </row>
        <row r="95">
          <cell r="A95" t="str">
            <v>Late_TOU</v>
          </cell>
          <cell r="B95" t="str">
            <v>Late payment charge</v>
          </cell>
          <cell r="C95" t="str">
            <v>$</v>
          </cell>
          <cell r="K95">
            <v>5.38</v>
          </cell>
        </row>
        <row r="96">
          <cell r="A96" t="str">
            <v>TN_TOU</v>
          </cell>
          <cell r="B96" t="str">
            <v>Retail Transmission Rate – Network Service Rate</v>
          </cell>
          <cell r="C96" t="str">
            <v>$/kW</v>
          </cell>
          <cell r="D96">
            <v>2.8462000000000001</v>
          </cell>
          <cell r="G96">
            <v>2.1613000000000002</v>
          </cell>
          <cell r="H96">
            <v>0</v>
          </cell>
          <cell r="I96">
            <v>1.9080999999999999</v>
          </cell>
          <cell r="J96">
            <v>3.2917999999999998</v>
          </cell>
          <cell r="K96">
            <v>3.1107</v>
          </cell>
          <cell r="L96">
            <v>2.9365999999999999</v>
          </cell>
          <cell r="M96">
            <v>2.5402999999999998</v>
          </cell>
          <cell r="N96">
            <v>2.2886000000000002</v>
          </cell>
          <cell r="O96">
            <v>2.7159</v>
          </cell>
        </row>
        <row r="97">
          <cell r="A97" t="str">
            <v>TC_TOU</v>
          </cell>
          <cell r="B97" t="str">
            <v>Retail Transmission Rate – Connection</v>
          </cell>
          <cell r="C97" t="str">
            <v>$/kW</v>
          </cell>
          <cell r="D97">
            <v>1.1797</v>
          </cell>
          <cell r="G97">
            <v>0.91069999999999995</v>
          </cell>
          <cell r="H97">
            <v>0</v>
          </cell>
          <cell r="I97">
            <v>0.86699999999999999</v>
          </cell>
          <cell r="J97">
            <v>2.5211999999999999</v>
          </cell>
          <cell r="K97">
            <v>2.5703999999999998</v>
          </cell>
          <cell r="L97">
            <v>2.4826999999999999</v>
          </cell>
          <cell r="M97">
            <v>2.36</v>
          </cell>
          <cell r="N97">
            <v>2.2475999999999998</v>
          </cell>
          <cell r="O97">
            <v>2.3624000000000001</v>
          </cell>
        </row>
        <row r="98">
          <cell r="A98" t="str">
            <v>TR_TOU</v>
          </cell>
          <cell r="D98">
            <v>4.0259</v>
          </cell>
          <cell r="E98">
            <v>0</v>
          </cell>
          <cell r="F98">
            <v>0</v>
          </cell>
          <cell r="G98">
            <v>3.0720000000000001</v>
          </cell>
          <cell r="H98">
            <v>0</v>
          </cell>
          <cell r="I98">
            <v>2.7751000000000001</v>
          </cell>
          <cell r="J98">
            <v>5.8129999999999997</v>
          </cell>
          <cell r="K98">
            <v>5.6810999999999998</v>
          </cell>
          <cell r="L98">
            <v>5.4192999999999998</v>
          </cell>
          <cell r="M98">
            <v>4.9002999999999997</v>
          </cell>
          <cell r="N98">
            <v>4.5362</v>
          </cell>
          <cell r="O98">
            <v>5.0783000000000005</v>
          </cell>
        </row>
        <row r="99">
          <cell r="B99" t="str">
            <v>Unmetered Scattered Load</v>
          </cell>
        </row>
        <row r="100">
          <cell r="A100" t="str">
            <v>Fix_USL</v>
          </cell>
          <cell r="B100" t="str">
            <v>Service Charge</v>
          </cell>
          <cell r="C100" t="str">
            <v>$</v>
          </cell>
          <cell r="D100">
            <v>6.8199999999999994</v>
          </cell>
          <cell r="E100">
            <v>14.32</v>
          </cell>
          <cell r="F100">
            <v>14.2</v>
          </cell>
          <cell r="G100">
            <v>14.17</v>
          </cell>
          <cell r="H100">
            <v>14.14</v>
          </cell>
          <cell r="I100">
            <v>14.35</v>
          </cell>
          <cell r="J100">
            <v>7.95</v>
          </cell>
          <cell r="K100">
            <v>7.88</v>
          </cell>
          <cell r="L100">
            <v>7.87</v>
          </cell>
          <cell r="M100">
            <v>7.84</v>
          </cell>
          <cell r="N100">
            <v>7.77</v>
          </cell>
          <cell r="O100">
            <v>7.16</v>
          </cell>
        </row>
        <row r="101">
          <cell r="A101" t="str">
            <v>PPE_USL</v>
          </cell>
          <cell r="B101" t="str">
            <v>Rate rider for recovery of CGAAP CWIP differential</v>
          </cell>
          <cell r="C101" t="str">
            <v>$</v>
          </cell>
          <cell r="D101">
            <v>0.11</v>
          </cell>
        </row>
        <row r="102">
          <cell r="A102" t="str">
            <v>GEA_USL</v>
          </cell>
          <cell r="B102" t="str">
            <v>GEA funding rate adder</v>
          </cell>
          <cell r="C102" t="str">
            <v>$</v>
          </cell>
          <cell r="D102">
            <v>0</v>
          </cell>
        </row>
        <row r="103">
          <cell r="A103" t="str">
            <v>Var_USL</v>
          </cell>
          <cell r="B103" t="str">
            <v>Distribution Volumetric Rate</v>
          </cell>
          <cell r="C103" t="str">
            <v>$/kWh</v>
          </cell>
          <cell r="D103">
            <v>1.55E-2</v>
          </cell>
          <cell r="E103">
            <v>8.6999999999999994E-3</v>
          </cell>
          <cell r="F103">
            <v>8.6E-3</v>
          </cell>
          <cell r="G103">
            <v>8.6E-3</v>
          </cell>
          <cell r="H103">
            <v>8.6E-3</v>
          </cell>
          <cell r="I103">
            <v>1.11E-2</v>
          </cell>
          <cell r="J103">
            <v>1.61E-2</v>
          </cell>
          <cell r="K103">
            <v>1.6E-2</v>
          </cell>
          <cell r="L103">
            <v>1.6E-2</v>
          </cell>
          <cell r="M103">
            <v>1.5900000000000001E-2</v>
          </cell>
          <cell r="N103">
            <v>1.5800000000000002E-2</v>
          </cell>
          <cell r="O103">
            <v>1.4500000000000001E-2</v>
          </cell>
        </row>
        <row r="104">
          <cell r="A104" t="str">
            <v>LV_USL</v>
          </cell>
          <cell r="B104" t="str">
            <v>Low Voltage Charge</v>
          </cell>
          <cell r="C104" t="str">
            <v>$/kWh</v>
          </cell>
          <cell r="D104">
            <v>2.9999999999999997E-4</v>
          </cell>
          <cell r="E104">
            <v>1E-4</v>
          </cell>
          <cell r="F104">
            <v>1E-4</v>
          </cell>
          <cell r="G104">
            <v>1E-4</v>
          </cell>
          <cell r="H104">
            <v>1E-4</v>
          </cell>
          <cell r="I104">
            <v>2.9999999999999997E-4</v>
          </cell>
          <cell r="J104">
            <v>6.9999999999999999E-4</v>
          </cell>
          <cell r="K104">
            <v>6.9999999999999999E-4</v>
          </cell>
          <cell r="L104">
            <v>6.9999999999999999E-4</v>
          </cell>
          <cell r="M104">
            <v>6.9999999999999999E-4</v>
          </cell>
          <cell r="N104">
            <v>6.9999999999999999E-4</v>
          </cell>
        </row>
        <row r="105">
          <cell r="A105" t="str">
            <v>Reg_USL</v>
          </cell>
          <cell r="B105" t="str">
            <v>Regulatory Asset Recovery</v>
          </cell>
          <cell r="C105" t="str">
            <v>$/kWh</v>
          </cell>
          <cell r="G105">
            <v>1.1999999999999999E-3</v>
          </cell>
          <cell r="H105">
            <v>1.1999999999999999E-3</v>
          </cell>
          <cell r="J105">
            <v>-8.9999999999999998E-4</v>
          </cell>
          <cell r="L105">
            <v>-4.8000000000000004E-3</v>
          </cell>
          <cell r="M105">
            <v>2.0000000000000001E-4</v>
          </cell>
          <cell r="N105">
            <v>2.0000000000000001E-4</v>
          </cell>
          <cell r="O105">
            <v>2.0999999999999999E-3</v>
          </cell>
        </row>
        <row r="106">
          <cell r="A106" t="str">
            <v>LR_USL</v>
          </cell>
          <cell r="B106" t="str">
            <v>Foregone Revenue Rate rider</v>
          </cell>
          <cell r="C106" t="str">
            <v>$</v>
          </cell>
          <cell r="D106">
            <v>-0.34</v>
          </cell>
        </row>
        <row r="107">
          <cell r="A107" t="str">
            <v>Tax_USL</v>
          </cell>
          <cell r="B107" t="str">
            <v>Tax change</v>
          </cell>
          <cell r="C107" t="str">
            <v>$/kWh</v>
          </cell>
          <cell r="E107">
            <v>-6.9999999999999999E-4</v>
          </cell>
          <cell r="F107">
            <v>-5.9999999999999995E-4</v>
          </cell>
          <cell r="G107">
            <v>-2.9999999999999997E-4</v>
          </cell>
          <cell r="J107">
            <v>-5.0000000000000001E-4</v>
          </cell>
          <cell r="K107">
            <v>-4.0000000000000002E-4</v>
          </cell>
          <cell r="L107">
            <v>-2.0000000000000001E-4</v>
          </cell>
          <cell r="M107">
            <v>0</v>
          </cell>
        </row>
        <row r="108">
          <cell r="A108" t="str">
            <v>TaxF_USL</v>
          </cell>
          <cell r="B108" t="str">
            <v>Tax change/Fixed</v>
          </cell>
          <cell r="C108" t="str">
            <v>$</v>
          </cell>
          <cell r="M108">
            <v>-0.01</v>
          </cell>
        </row>
        <row r="109">
          <cell r="A109" t="str">
            <v>Late_USL</v>
          </cell>
          <cell r="B109" t="str">
            <v>Late payment charge</v>
          </cell>
          <cell r="C109" t="str">
            <v>$</v>
          </cell>
          <cell r="F109">
            <v>0.09</v>
          </cell>
          <cell r="K109">
            <v>0.09</v>
          </cell>
        </row>
        <row r="110">
          <cell r="A110" t="str">
            <v>TN_USL</v>
          </cell>
          <cell r="B110" t="str">
            <v>Retail Transmission Rate – Network Service Rate</v>
          </cell>
          <cell r="C110" t="str">
            <v>$/kWh</v>
          </cell>
          <cell r="D110">
            <v>6.7000000000000002E-3</v>
          </cell>
          <cell r="E110">
            <v>6.6E-3</v>
          </cell>
          <cell r="F110">
            <v>5.7999999999999996E-3</v>
          </cell>
          <cell r="G110">
            <v>5.3E-3</v>
          </cell>
          <cell r="H110">
            <v>4.7999999999999996E-3</v>
          </cell>
          <cell r="I110">
            <v>4.4000000000000003E-3</v>
          </cell>
          <cell r="J110">
            <v>6.3E-3</v>
          </cell>
          <cell r="K110">
            <v>6.0000000000000001E-3</v>
          </cell>
          <cell r="L110">
            <v>5.7000000000000002E-3</v>
          </cell>
          <cell r="M110">
            <v>4.9000000000000002E-2</v>
          </cell>
          <cell r="N110">
            <v>4.4000000000000003E-3</v>
          </cell>
          <cell r="O110">
            <v>5.1999999999999998E-3</v>
          </cell>
        </row>
        <row r="111">
          <cell r="A111" t="str">
            <v>TC_USL</v>
          </cell>
          <cell r="B111" t="str">
            <v>Retail Transmission Rate – Connection</v>
          </cell>
          <cell r="C111" t="str">
            <v>$/kWh</v>
          </cell>
          <cell r="D111">
            <v>3.0999999999999999E-3</v>
          </cell>
          <cell r="E111">
            <v>2.7000000000000001E-3</v>
          </cell>
          <cell r="F111">
            <v>2.5999999999999999E-3</v>
          </cell>
          <cell r="G111">
            <v>2.5000000000000001E-3</v>
          </cell>
          <cell r="H111">
            <v>2.3999999999999998E-3</v>
          </cell>
          <cell r="I111">
            <v>2.3E-3</v>
          </cell>
          <cell r="J111">
            <v>4.7999999999999996E-3</v>
          </cell>
          <cell r="K111">
            <v>4.8999999999999998E-3</v>
          </cell>
          <cell r="L111">
            <v>4.7000000000000002E-3</v>
          </cell>
          <cell r="M111">
            <v>4.4999999999999997E-3</v>
          </cell>
          <cell r="N111">
            <v>4.3E-3</v>
          </cell>
          <cell r="O111">
            <v>4.4999999999999997E-3</v>
          </cell>
        </row>
        <row r="112">
          <cell r="A112" t="str">
            <v>TR_USL</v>
          </cell>
          <cell r="D112">
            <v>9.7999999999999997E-3</v>
          </cell>
          <cell r="E112">
            <v>9.2999999999999992E-3</v>
          </cell>
          <cell r="F112">
            <v>8.3999999999999995E-3</v>
          </cell>
          <cell r="G112">
            <v>7.7999999999999996E-3</v>
          </cell>
          <cell r="H112">
            <v>7.1999999999999998E-3</v>
          </cell>
          <cell r="I112">
            <v>6.7000000000000002E-3</v>
          </cell>
          <cell r="J112">
            <v>1.1099999999999999E-2</v>
          </cell>
          <cell r="K112">
            <v>1.09E-2</v>
          </cell>
          <cell r="L112">
            <v>1.04E-2</v>
          </cell>
          <cell r="M112">
            <v>5.3499999999999999E-2</v>
          </cell>
          <cell r="N112">
            <v>8.6999999999999994E-3</v>
          </cell>
          <cell r="O112">
            <v>9.7000000000000003E-3</v>
          </cell>
        </row>
        <row r="114">
          <cell r="B114" t="str">
            <v>Sentinel Lighting</v>
          </cell>
        </row>
        <row r="115">
          <cell r="A115" t="str">
            <v>Fix_SE</v>
          </cell>
          <cell r="B115" t="str">
            <v>Service Charge</v>
          </cell>
          <cell r="C115" t="str">
            <v>$</v>
          </cell>
          <cell r="D115">
            <v>3.32</v>
          </cell>
          <cell r="E115">
            <v>2</v>
          </cell>
          <cell r="F115">
            <v>1.98</v>
          </cell>
          <cell r="G115">
            <v>1.98</v>
          </cell>
          <cell r="H115">
            <v>1.98</v>
          </cell>
          <cell r="I115">
            <v>2.0099999999999998</v>
          </cell>
        </row>
        <row r="116">
          <cell r="A116" t="str">
            <v>PPE_SE</v>
          </cell>
          <cell r="B116" t="str">
            <v>Rate rider for recovery of CGAAP CWIP differential</v>
          </cell>
          <cell r="C116" t="str">
            <v>$</v>
          </cell>
          <cell r="D116">
            <v>0.09</v>
          </cell>
        </row>
        <row r="117">
          <cell r="A117" t="str">
            <v>GEA_SE</v>
          </cell>
          <cell r="B117" t="str">
            <v>GEA funding rate adder</v>
          </cell>
          <cell r="C117" t="str">
            <v>$</v>
          </cell>
          <cell r="D117">
            <v>0</v>
          </cell>
        </row>
        <row r="118">
          <cell r="A118" t="str">
            <v>Var_SE</v>
          </cell>
          <cell r="B118" t="str">
            <v>Distribution Volumetric Rate</v>
          </cell>
          <cell r="C118" t="str">
            <v>$/kW</v>
          </cell>
          <cell r="D118">
            <v>7.8049999999999997</v>
          </cell>
          <cell r="E118">
            <v>9.3917000000000002</v>
          </cell>
          <cell r="F118">
            <v>9.3097999999999992</v>
          </cell>
          <cell r="G118">
            <v>9.2931000000000008</v>
          </cell>
          <cell r="H118">
            <v>9.2763999999999989</v>
          </cell>
          <cell r="I118">
            <v>6.0151000000000003</v>
          </cell>
        </row>
        <row r="119">
          <cell r="A119" t="str">
            <v>LV_SE</v>
          </cell>
          <cell r="B119" t="str">
            <v>Low Voltage Charge</v>
          </cell>
          <cell r="C119" t="str">
            <v>$/kW</v>
          </cell>
          <cell r="D119">
            <v>0.1031</v>
          </cell>
          <cell r="E119">
            <v>4.0099999999999997E-2</v>
          </cell>
          <cell r="F119">
            <v>4.0099999999999997E-2</v>
          </cell>
          <cell r="G119">
            <v>4.0099999999999997E-2</v>
          </cell>
          <cell r="H119">
            <v>4.0099999999999997E-2</v>
          </cell>
          <cell r="I119">
            <v>6.9099999999999995E-2</v>
          </cell>
        </row>
        <row r="120">
          <cell r="A120" t="str">
            <v>Reg_SE</v>
          </cell>
          <cell r="B120" t="str">
            <v>Regulatory Asset Recovery</v>
          </cell>
          <cell r="C120" t="str">
            <v>$/kW</v>
          </cell>
          <cell r="G120">
            <v>-2.8005</v>
          </cell>
          <cell r="H120">
            <v>-2.8005</v>
          </cell>
        </row>
        <row r="121">
          <cell r="A121" t="str">
            <v>LR_SE</v>
          </cell>
          <cell r="B121" t="str">
            <v>Foregone Revenue Rate rider</v>
          </cell>
          <cell r="C121" t="str">
            <v>$</v>
          </cell>
          <cell r="D121">
            <v>0</v>
          </cell>
        </row>
        <row r="122">
          <cell r="A122" t="str">
            <v xml:space="preserve">Tax_SE </v>
          </cell>
          <cell r="B122" t="str">
            <v>Tax Change</v>
          </cell>
          <cell r="C122" t="str">
            <v>$/kW</v>
          </cell>
          <cell r="E122">
            <v>-0.14580000000000001</v>
          </cell>
          <cell r="F122">
            <v>-0.1216</v>
          </cell>
          <cell r="G122">
            <v>-6.7900000000000002E-2</v>
          </cell>
        </row>
        <row r="123">
          <cell r="A123" t="str">
            <v>Late_SE</v>
          </cell>
          <cell r="B123" t="str">
            <v>Late payment charge</v>
          </cell>
          <cell r="C123" t="str">
            <v>$</v>
          </cell>
          <cell r="F123">
            <v>0.06</v>
          </cell>
        </row>
        <row r="124">
          <cell r="A124" t="str">
            <v>TN_SE</v>
          </cell>
          <cell r="B124" t="str">
            <v>Retail Transmission Rate – Network Service Rate</v>
          </cell>
          <cell r="C124" t="str">
            <v>$/kW</v>
          </cell>
          <cell r="D124">
            <v>2.0983999999999998</v>
          </cell>
          <cell r="E124">
            <v>2.0377999999999998</v>
          </cell>
          <cell r="F124">
            <v>1.7966</v>
          </cell>
          <cell r="G124">
            <v>1.6516</v>
          </cell>
          <cell r="H124">
            <v>1.4893000000000001</v>
          </cell>
          <cell r="I124">
            <v>1.3762000000000001</v>
          </cell>
        </row>
        <row r="125">
          <cell r="A125" t="str">
            <v>TC_SE</v>
          </cell>
          <cell r="B125" t="str">
            <v>Retail Transmission Rate – Connection</v>
          </cell>
          <cell r="C125" t="str">
            <v>$/kW</v>
          </cell>
          <cell r="D125">
            <v>0.8024</v>
          </cell>
          <cell r="E125">
            <v>0.82720000000000005</v>
          </cell>
          <cell r="F125">
            <v>0.78849999999999998</v>
          </cell>
          <cell r="G125">
            <v>0.7722</v>
          </cell>
          <cell r="H125">
            <v>0.74319999999999997</v>
          </cell>
          <cell r="I125">
            <v>0.71150000000000002</v>
          </cell>
        </row>
        <row r="126">
          <cell r="A126" t="str">
            <v>TR_SE</v>
          </cell>
          <cell r="D126">
            <v>2.9007999999999998</v>
          </cell>
          <cell r="E126">
            <v>2.4238</v>
          </cell>
          <cell r="F126">
            <v>2.4238</v>
          </cell>
          <cell r="G126">
            <v>2.4238</v>
          </cell>
          <cell r="H126">
            <v>2.2324999999999999</v>
          </cell>
          <cell r="I126">
            <v>2.0876999999999999</v>
          </cell>
        </row>
        <row r="128">
          <cell r="B128" t="str">
            <v>Street Lighting</v>
          </cell>
        </row>
        <row r="129">
          <cell r="A129" t="str">
            <v>Fix_SL</v>
          </cell>
          <cell r="B129" t="str">
            <v>Service Charge</v>
          </cell>
          <cell r="C129" t="str">
            <v>$</v>
          </cell>
          <cell r="D129">
            <v>1.22</v>
          </cell>
          <cell r="E129">
            <v>0.84</v>
          </cell>
          <cell r="F129">
            <v>0.83</v>
          </cell>
          <cell r="G129">
            <v>0.83</v>
          </cell>
          <cell r="H129">
            <v>0.83</v>
          </cell>
          <cell r="I129">
            <v>0.84</v>
          </cell>
          <cell r="J129">
            <v>3.02</v>
          </cell>
          <cell r="K129">
            <v>2.99</v>
          </cell>
          <cell r="L129">
            <v>2.3199999999999998</v>
          </cell>
          <cell r="M129">
            <v>1.58</v>
          </cell>
          <cell r="N129">
            <v>0.98</v>
          </cell>
          <cell r="O129">
            <v>0.31</v>
          </cell>
        </row>
        <row r="130">
          <cell r="A130" t="str">
            <v>PPE_SL</v>
          </cell>
          <cell r="B130" t="str">
            <v>Rate rider for recovery of CGAAP CWIP differential</v>
          </cell>
          <cell r="C130" t="str">
            <v>$</v>
          </cell>
          <cell r="D130">
            <v>0.02</v>
          </cell>
        </row>
        <row r="131">
          <cell r="A131" t="str">
            <v>Var_SL</v>
          </cell>
          <cell r="B131" t="str">
            <v>Distribution Volumetric Rate</v>
          </cell>
          <cell r="C131" t="str">
            <v>$/kW</v>
          </cell>
          <cell r="D131">
            <v>6.4785000000000004</v>
          </cell>
          <cell r="E131">
            <v>4.8616000000000001</v>
          </cell>
          <cell r="F131">
            <v>4.8192000000000004</v>
          </cell>
          <cell r="G131">
            <v>4.8105000000000002</v>
          </cell>
          <cell r="H131">
            <v>4.8018999999999998</v>
          </cell>
          <cell r="I131">
            <v>3.3980000000000001</v>
          </cell>
          <cell r="J131">
            <v>11.296099999999999</v>
          </cell>
          <cell r="K131">
            <v>11.1976</v>
          </cell>
          <cell r="L131">
            <v>8.6910000000000007</v>
          </cell>
          <cell r="M131">
            <v>6.0529000000000002</v>
          </cell>
          <cell r="N131">
            <v>3.6682999999999999</v>
          </cell>
          <cell r="O131">
            <v>1.1738999999999999</v>
          </cell>
        </row>
        <row r="132">
          <cell r="A132" t="str">
            <v>LV_SL</v>
          </cell>
          <cell r="B132" t="str">
            <v>Low Voltage Charge</v>
          </cell>
          <cell r="C132" t="str">
            <v>$/kW</v>
          </cell>
          <cell r="D132">
            <v>9.1700000000000004E-2</v>
          </cell>
          <cell r="E132">
            <v>3.6700000000000003E-2</v>
          </cell>
          <cell r="F132">
            <v>3.6700000000000003E-2</v>
          </cell>
          <cell r="G132">
            <v>3.6700000000000003E-2</v>
          </cell>
          <cell r="H132">
            <v>3.6700000000000003E-2</v>
          </cell>
          <cell r="I132">
            <v>7.0599999999999996E-2</v>
          </cell>
          <cell r="J132">
            <v>0.2301</v>
          </cell>
          <cell r="K132">
            <v>0.2301</v>
          </cell>
          <cell r="L132">
            <v>0.2301</v>
          </cell>
          <cell r="M132">
            <v>0.2301</v>
          </cell>
          <cell r="N132">
            <v>0.22750000000000001</v>
          </cell>
        </row>
        <row r="133">
          <cell r="A133" t="str">
            <v>Reg_SL</v>
          </cell>
          <cell r="B133" t="str">
            <v>Regulatory Asset Recovery</v>
          </cell>
          <cell r="C133" t="str">
            <v>$/kW</v>
          </cell>
          <cell r="G133">
            <v>-0.83169999999999999</v>
          </cell>
          <cell r="H133">
            <v>-0.83169999999999999</v>
          </cell>
          <cell r="J133">
            <v>-0.1545</v>
          </cell>
          <cell r="L133">
            <v>-1.5676000000000001</v>
          </cell>
          <cell r="M133">
            <v>6.6600000000000006E-2</v>
          </cell>
          <cell r="N133">
            <v>6.6600000000000006E-2</v>
          </cell>
          <cell r="O133">
            <v>0.2019</v>
          </cell>
        </row>
        <row r="134">
          <cell r="A134" t="str">
            <v>Tax_SL</v>
          </cell>
          <cell r="B134" t="str">
            <v>Tax Change</v>
          </cell>
          <cell r="C134" t="str">
            <v>$/kW</v>
          </cell>
          <cell r="E134">
            <v>-0.12759999999999999</v>
          </cell>
          <cell r="F134">
            <v>-0.1065</v>
          </cell>
          <cell r="G134">
            <v>-5.9499999999999997E-2</v>
          </cell>
          <cell r="J134">
            <v>-0.47799999999999998</v>
          </cell>
          <cell r="K134">
            <v>-0.32129999999999997</v>
          </cell>
          <cell r="L134">
            <v>-0.1598</v>
          </cell>
          <cell r="M134">
            <v>-5.4000000000000003E-3</v>
          </cell>
        </row>
        <row r="135">
          <cell r="A135" t="str">
            <v>LR_SL</v>
          </cell>
          <cell r="B135" t="str">
            <v>Foregone Revenue Rate rider</v>
          </cell>
          <cell r="C135" t="str">
            <v>$</v>
          </cell>
          <cell r="D135">
            <v>0</v>
          </cell>
        </row>
        <row r="136">
          <cell r="A136" t="str">
            <v>Late_SL</v>
          </cell>
          <cell r="B136" t="str">
            <v>Late payment charge</v>
          </cell>
          <cell r="C136" t="str">
            <v>$</v>
          </cell>
          <cell r="F136">
            <v>0.01</v>
          </cell>
          <cell r="K136">
            <v>0.01</v>
          </cell>
        </row>
        <row r="137">
          <cell r="A137" t="str">
            <v>TN_SL</v>
          </cell>
          <cell r="B137" t="str">
            <v>Retail Transmission Rate – Network Service Rate</v>
          </cell>
          <cell r="C137" t="str">
            <v>$/kW</v>
          </cell>
          <cell r="D137">
            <v>2.0649999999999999</v>
          </cell>
          <cell r="E137">
            <v>2.0173999999999999</v>
          </cell>
          <cell r="F137">
            <v>1.7786</v>
          </cell>
          <cell r="G137">
            <v>1.6351</v>
          </cell>
          <cell r="H137">
            <v>1.4743999999999999</v>
          </cell>
          <cell r="I137">
            <v>1.3624000000000001</v>
          </cell>
          <cell r="J137">
            <v>1.9589000000000001</v>
          </cell>
          <cell r="K137">
            <v>1.8511</v>
          </cell>
          <cell r="L137">
            <v>1.7475000000000001</v>
          </cell>
          <cell r="M137">
            <v>1.5117</v>
          </cell>
          <cell r="N137">
            <v>1.3619000000000001</v>
          </cell>
          <cell r="O137">
            <v>1.6161000000000001</v>
          </cell>
        </row>
        <row r="138">
          <cell r="A138" t="str">
            <v>TC_SL</v>
          </cell>
          <cell r="B138" t="str">
            <v>Retail Transmission Rate – Connection</v>
          </cell>
          <cell r="C138" t="str">
            <v>$/kW</v>
          </cell>
          <cell r="D138">
            <v>0.88360000000000005</v>
          </cell>
          <cell r="E138">
            <v>0.75839999999999996</v>
          </cell>
          <cell r="F138">
            <v>0.72299999999999998</v>
          </cell>
          <cell r="G138">
            <v>0.70809999999999995</v>
          </cell>
          <cell r="H138">
            <v>0.68149999999999999</v>
          </cell>
          <cell r="I138">
            <v>0.65239999999999998</v>
          </cell>
          <cell r="J138">
            <v>1.5002</v>
          </cell>
          <cell r="K138">
            <v>1.5295000000000001</v>
          </cell>
          <cell r="L138">
            <v>1.4773000000000001</v>
          </cell>
          <cell r="M138">
            <v>1.4043000000000001</v>
          </cell>
          <cell r="N138">
            <v>1.3373999999999999</v>
          </cell>
          <cell r="O138">
            <v>1.4056999999999999</v>
          </cell>
        </row>
        <row r="139">
          <cell r="A139" t="str">
            <v>TR_SL</v>
          </cell>
          <cell r="D139">
            <v>2.9485999999999999</v>
          </cell>
          <cell r="E139">
            <v>2.7757999999999998</v>
          </cell>
          <cell r="F139">
            <v>2.5015999999999998</v>
          </cell>
          <cell r="G139">
            <v>2.3431999999999999</v>
          </cell>
          <cell r="H139">
            <v>2.1558999999999999</v>
          </cell>
          <cell r="I139">
            <v>2.0148000000000001</v>
          </cell>
          <cell r="J139">
            <v>3.4591000000000003</v>
          </cell>
          <cell r="K139">
            <v>3.3806000000000003</v>
          </cell>
          <cell r="L139">
            <v>3.2248000000000001</v>
          </cell>
          <cell r="M139">
            <v>2.9160000000000004</v>
          </cell>
          <cell r="N139">
            <v>2.6993</v>
          </cell>
          <cell r="O139">
            <v>3.0217999999999998</v>
          </cell>
        </row>
        <row r="141">
          <cell r="A141" t="str">
            <v>LF</v>
          </cell>
          <cell r="B141" t="str">
            <v>Loss factor</v>
          </cell>
          <cell r="C141" t="str">
            <v>LF</v>
          </cell>
          <cell r="D141">
            <v>1.0345</v>
          </cell>
          <cell r="E141">
            <v>1.0299</v>
          </cell>
          <cell r="F141">
            <v>1.0299</v>
          </cell>
          <cell r="G141">
            <v>1.0299</v>
          </cell>
          <cell r="H141">
            <v>1.0299</v>
          </cell>
          <cell r="I141">
            <v>1.0367999999999999</v>
          </cell>
          <cell r="J141">
            <v>1.0565</v>
          </cell>
          <cell r="K141">
            <v>1.0565</v>
          </cell>
          <cell r="L141">
            <v>1.0565</v>
          </cell>
          <cell r="M141">
            <v>1.0565</v>
          </cell>
          <cell r="N141">
            <v>1.0565</v>
          </cell>
          <cell r="O141">
            <v>1.0509999999999999</v>
          </cell>
        </row>
        <row r="142">
          <cell r="A142" t="str">
            <v>LF_LU</v>
          </cell>
          <cell r="B142" t="str">
            <v>Loss factor - Large users</v>
          </cell>
          <cell r="C142" t="str">
            <v>LF LU</v>
          </cell>
          <cell r="D142">
            <v>1.0145</v>
          </cell>
          <cell r="E142">
            <v>1.0145</v>
          </cell>
          <cell r="F142">
            <v>1.0145</v>
          </cell>
          <cell r="G142">
            <v>1.0145</v>
          </cell>
          <cell r="H142">
            <v>1.0145</v>
          </cell>
          <cell r="I142">
            <v>1.0145</v>
          </cell>
          <cell r="J142">
            <v>1.0145</v>
          </cell>
          <cell r="K142">
            <v>1.0145</v>
          </cell>
          <cell r="L142">
            <v>1.0145</v>
          </cell>
          <cell r="M142">
            <v>1.0145</v>
          </cell>
          <cell r="N142">
            <v>1.0145</v>
          </cell>
          <cell r="O142">
            <v>1.0145</v>
          </cell>
        </row>
        <row r="144">
          <cell r="D144">
            <v>8.1499999999999989E-2</v>
          </cell>
          <cell r="E144">
            <v>8.1499999999999989E-2</v>
          </cell>
          <cell r="F144">
            <v>6.9000000000000006E-2</v>
          </cell>
          <cell r="G144">
            <v>7.0000000000000007E-2</v>
          </cell>
          <cell r="H144">
            <v>6.1499999999999999E-2</v>
          </cell>
          <cell r="I144">
            <v>5.45E-2</v>
          </cell>
        </row>
        <row r="145">
          <cell r="B145" t="str">
            <v>Commodity Price</v>
          </cell>
        </row>
        <row r="146">
          <cell r="D146" t="str">
            <v>May 1st, 2013</v>
          </cell>
          <cell r="E146" t="str">
            <v>May 1st, 2012</v>
          </cell>
          <cell r="F146" t="str">
            <v>May 1st, 2011</v>
          </cell>
          <cell r="G146" t="str">
            <v>May 1st, 2010</v>
          </cell>
          <cell r="H146" t="str">
            <v>May 1st, 2009</v>
          </cell>
          <cell r="I146" t="str">
            <v>May 1st, 2008</v>
          </cell>
        </row>
        <row r="147">
          <cell r="B147" t="str">
            <v xml:space="preserve"> Tier 1</v>
          </cell>
          <cell r="C147" t="str">
            <v>$/kWh</v>
          </cell>
          <cell r="D147">
            <v>7.4999999999999997E-2</v>
          </cell>
          <cell r="E147">
            <v>7.4999999999999997E-2</v>
          </cell>
          <cell r="F147">
            <v>6.4000000000000001E-2</v>
          </cell>
          <cell r="G147">
            <v>6.5000000000000002E-2</v>
          </cell>
          <cell r="H147">
            <v>5.7000000000000002E-2</v>
          </cell>
          <cell r="I147">
            <v>0.05</v>
          </cell>
        </row>
        <row r="148">
          <cell r="B148" t="str">
            <v xml:space="preserve"> Tier 2</v>
          </cell>
          <cell r="C148" t="str">
            <v>$/kWh</v>
          </cell>
          <cell r="D148">
            <v>8.7999999999999995E-2</v>
          </cell>
          <cell r="E148">
            <v>8.7999999999999995E-2</v>
          </cell>
          <cell r="F148">
            <v>7.3999999999999996E-2</v>
          </cell>
          <cell r="G148">
            <v>7.4999999999999997E-2</v>
          </cell>
          <cell r="H148">
            <v>6.6000000000000003E-2</v>
          </cell>
          <cell r="I148">
            <v>5.8999999999999997E-2</v>
          </cell>
        </row>
        <row r="149">
          <cell r="B149" t="str">
            <v>Non- RPP</v>
          </cell>
          <cell r="C149" t="str">
            <v>$/kWh</v>
          </cell>
          <cell r="D149">
            <v>8.2000000000000003E-2</v>
          </cell>
          <cell r="E149">
            <v>8.2000000000000003E-2</v>
          </cell>
          <cell r="F149">
            <v>5.5E-2</v>
          </cell>
          <cell r="G149">
            <v>5.5E-2</v>
          </cell>
          <cell r="H149">
            <v>5.5E-2</v>
          </cell>
          <cell r="I149">
            <v>5.5E-2</v>
          </cell>
        </row>
        <row r="150">
          <cell r="D150" t="str">
            <v>Nov 1st, 2013</v>
          </cell>
          <cell r="E150" t="str">
            <v>Nov 1st, 2012</v>
          </cell>
          <cell r="F150" t="str">
            <v>Nov 1st, 2011</v>
          </cell>
          <cell r="G150" t="str">
            <v>Nov 1st, 2010</v>
          </cell>
          <cell r="H150" t="str">
            <v>Nov 1st, 2009</v>
          </cell>
          <cell r="I150" t="str">
            <v>Nov 1st, 2008</v>
          </cell>
        </row>
        <row r="151">
          <cell r="D151">
            <v>7.4999999999999997E-2</v>
          </cell>
          <cell r="E151">
            <v>7.4999999999999997E-2</v>
          </cell>
          <cell r="F151">
            <v>7.0999999999999994E-2</v>
          </cell>
          <cell r="G151">
            <v>6.4000000000000001E-2</v>
          </cell>
          <cell r="H151">
            <v>5.8000000000000003E-2</v>
          </cell>
          <cell r="I151">
            <v>5.6000000000000001E-2</v>
          </cell>
        </row>
        <row r="152">
          <cell r="D152">
            <v>8.7999999999999995E-2</v>
          </cell>
          <cell r="E152">
            <v>8.7999999999999995E-2</v>
          </cell>
          <cell r="F152">
            <v>8.3000000000000004E-2</v>
          </cell>
          <cell r="G152">
            <v>7.3999999999999996E-2</v>
          </cell>
          <cell r="H152">
            <v>6.7000000000000004E-2</v>
          </cell>
          <cell r="I152">
            <v>6.5000000000000002E-2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Current Tariff Schedule"/>
      <sheetName val="3. Rev2Cost_GDPIPI"/>
      <sheetName val="4. Final Tariff Schedule"/>
    </sheetNames>
    <sheetDataSet>
      <sheetData sheetId="0"/>
      <sheetData sheetId="1"/>
      <sheetData sheetId="2">
        <row r="12">
          <cell r="G12">
            <v>12.898060000000001</v>
          </cell>
          <cell r="H12">
            <v>1.4252000000000001E-2</v>
          </cell>
        </row>
        <row r="13">
          <cell r="G13">
            <v>26.549439999999997</v>
          </cell>
          <cell r="H13">
            <v>1.41502E-2</v>
          </cell>
        </row>
        <row r="14">
          <cell r="G14">
            <v>140.97263999999998</v>
          </cell>
          <cell r="H14">
            <v>3.3877003999999999</v>
          </cell>
        </row>
        <row r="15">
          <cell r="G15">
            <v>6073.6832199999999</v>
          </cell>
          <cell r="H15">
            <v>1.4413862</v>
          </cell>
        </row>
        <row r="17">
          <cell r="G17">
            <v>7.1361799999999995</v>
          </cell>
          <cell r="H17">
            <v>1.6186200000000001E-2</v>
          </cell>
        </row>
        <row r="18">
          <cell r="G18">
            <v>3.4713800000000004</v>
          </cell>
          <cell r="H18">
            <v>8.1615096000000005</v>
          </cell>
        </row>
        <row r="19">
          <cell r="G19">
            <v>1.28268</v>
          </cell>
          <cell r="H19">
            <v>6.7743828000000006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 revenue - tables"/>
      <sheetName val="Summary tables"/>
      <sheetName val="RATES PS"/>
      <sheetName val="RATES PS 2010-2011"/>
      <sheetName val="LF DATA PS "/>
      <sheetName val="LF DATA PS 2010-2011"/>
      <sheetName val="Revenue Details PS"/>
      <sheetName val=" Revenue Details PS 2010-2011"/>
      <sheetName val="Revenue Details_TEST YEARS"/>
    </sheetNames>
    <sheetDataSet>
      <sheetData sheetId="0"/>
      <sheetData sheetId="1"/>
      <sheetData sheetId="2"/>
      <sheetData sheetId="3"/>
      <sheetData sheetId="4">
        <row r="191">
          <cell r="S191">
            <v>237195292.66254774</v>
          </cell>
          <cell r="T191">
            <v>231841533.54007772</v>
          </cell>
          <cell r="U191">
            <v>214369364.41760769</v>
          </cell>
          <cell r="V191">
            <v>182764155.29513767</v>
          </cell>
          <cell r="W191">
            <v>191658666.17266765</v>
          </cell>
          <cell r="X191">
            <v>251270687.05019766</v>
          </cell>
          <cell r="Y191">
            <v>315397527.92772764</v>
          </cell>
          <cell r="Z191">
            <v>284751248.80525762</v>
          </cell>
          <cell r="AA191">
            <v>205487299.6827876</v>
          </cell>
          <cell r="AB191">
            <v>176691960.56031758</v>
          </cell>
          <cell r="AC191">
            <v>179904351.43784758</v>
          </cell>
          <cell r="AD191">
            <v>243564582.31537756</v>
          </cell>
          <cell r="AI191">
            <v>323203</v>
          </cell>
          <cell r="AJ191">
            <v>323588</v>
          </cell>
          <cell r="AK191">
            <v>323974</v>
          </cell>
          <cell r="AL191">
            <v>324362</v>
          </cell>
          <cell r="AM191">
            <v>324752</v>
          </cell>
          <cell r="AN191">
            <v>325142</v>
          </cell>
          <cell r="AO191">
            <v>325534</v>
          </cell>
          <cell r="AP191">
            <v>325927</v>
          </cell>
          <cell r="AQ191">
            <v>326321</v>
          </cell>
          <cell r="AR191">
            <v>326716</v>
          </cell>
          <cell r="AS191">
            <v>327111</v>
          </cell>
          <cell r="AT191">
            <v>327507</v>
          </cell>
        </row>
        <row r="192">
          <cell r="S192">
            <v>94678835.423018157</v>
          </cell>
          <cell r="T192">
            <v>89520395.050742969</v>
          </cell>
          <cell r="U192">
            <v>88235665.688467786</v>
          </cell>
          <cell r="V192">
            <v>77405522.666192561</v>
          </cell>
          <cell r="W192">
            <v>79156506.193917379</v>
          </cell>
          <cell r="X192">
            <v>86208483.451642185</v>
          </cell>
          <cell r="Y192">
            <v>97600896.359366998</v>
          </cell>
          <cell r="Z192">
            <v>93013519.147091791</v>
          </cell>
          <cell r="AA192">
            <v>79322254.744816601</v>
          </cell>
          <cell r="AB192">
            <v>73365696.402541399</v>
          </cell>
          <cell r="AC192">
            <v>81511208.630266219</v>
          </cell>
          <cell r="AD192">
            <v>98562810.217991039</v>
          </cell>
          <cell r="AI192">
            <v>32233</v>
          </cell>
          <cell r="AJ192">
            <v>32263</v>
          </cell>
          <cell r="AK192">
            <v>32294</v>
          </cell>
          <cell r="AL192">
            <v>32324</v>
          </cell>
          <cell r="AM192">
            <v>32355</v>
          </cell>
          <cell r="AN192">
            <v>32386</v>
          </cell>
          <cell r="AO192">
            <v>32417</v>
          </cell>
          <cell r="AP192">
            <v>32448</v>
          </cell>
          <cell r="AQ192">
            <v>32479</v>
          </cell>
          <cell r="AR192">
            <v>32510</v>
          </cell>
          <cell r="AS192">
            <v>32541</v>
          </cell>
          <cell r="AT192">
            <v>32572</v>
          </cell>
        </row>
        <row r="193">
          <cell r="C193">
            <v>1032741.7239720122</v>
          </cell>
          <cell r="D193">
            <v>984263.61940072151</v>
          </cell>
          <cell r="E193">
            <v>1013192.9016628152</v>
          </cell>
          <cell r="F193">
            <v>963825.85012842028</v>
          </cell>
          <cell r="G193">
            <v>995066.85117116186</v>
          </cell>
          <cell r="H193">
            <v>1069652.4577993623</v>
          </cell>
          <cell r="I193">
            <v>1111139.6746939165</v>
          </cell>
          <cell r="J193">
            <v>1082677.0121660703</v>
          </cell>
          <cell r="K193">
            <v>986640.37950314034</v>
          </cell>
          <cell r="L193">
            <v>981621.71929725539</v>
          </cell>
          <cell r="M193">
            <v>977482.9456808971</v>
          </cell>
          <cell r="N193">
            <v>1021761.5813319574</v>
          </cell>
          <cell r="AI193">
            <v>4910</v>
          </cell>
          <cell r="AJ193">
            <v>4919</v>
          </cell>
          <cell r="AK193">
            <v>4930</v>
          </cell>
          <cell r="AL193">
            <v>4939</v>
          </cell>
          <cell r="AM193">
            <v>4949</v>
          </cell>
          <cell r="AN193">
            <v>4960</v>
          </cell>
          <cell r="AO193">
            <v>4969</v>
          </cell>
          <cell r="AP193">
            <v>4980</v>
          </cell>
          <cell r="AQ193">
            <v>4990</v>
          </cell>
          <cell r="AR193">
            <v>5000</v>
          </cell>
          <cell r="AS193">
            <v>5010</v>
          </cell>
          <cell r="AT193">
            <v>5020</v>
          </cell>
        </row>
        <row r="195">
          <cell r="C195">
            <v>12946.131546197867</v>
          </cell>
          <cell r="D195">
            <v>11843.700434512777</v>
          </cell>
          <cell r="E195">
            <v>12555.631519807457</v>
          </cell>
          <cell r="F195">
            <v>12021.753883191306</v>
          </cell>
          <cell r="G195">
            <v>12598.536494604354</v>
          </cell>
          <cell r="H195">
            <v>12593.399970085015</v>
          </cell>
          <cell r="I195">
            <v>13044.611844299201</v>
          </cell>
          <cell r="J195">
            <v>12980.102521300847</v>
          </cell>
          <cell r="K195">
            <v>12292.325899578884</v>
          </cell>
          <cell r="L195">
            <v>12494.310318572871</v>
          </cell>
          <cell r="M195">
            <v>12525.112273899882</v>
          </cell>
          <cell r="N195">
            <v>12911.039284411045</v>
          </cell>
          <cell r="AI195">
            <v>2</v>
          </cell>
          <cell r="AJ195">
            <v>2</v>
          </cell>
          <cell r="AK195">
            <v>2</v>
          </cell>
          <cell r="AL195">
            <v>2</v>
          </cell>
          <cell r="AM195">
            <v>2</v>
          </cell>
          <cell r="AN195">
            <v>2</v>
          </cell>
          <cell r="AO195">
            <v>2</v>
          </cell>
          <cell r="AP195">
            <v>2</v>
          </cell>
          <cell r="AQ195">
            <v>2</v>
          </cell>
          <cell r="AR195">
            <v>2</v>
          </cell>
          <cell r="AS195">
            <v>2</v>
          </cell>
          <cell r="AT195">
            <v>2</v>
          </cell>
        </row>
        <row r="196">
          <cell r="S196">
            <v>1190724.044133232</v>
          </cell>
          <cell r="T196">
            <v>1064349.0922703699</v>
          </cell>
          <cell r="U196">
            <v>1254655.9925893045</v>
          </cell>
          <cell r="V196">
            <v>1123161.0698357355</v>
          </cell>
          <cell r="W196">
            <v>1209354.9220261863</v>
          </cell>
          <cell r="X196">
            <v>1197659.5701655031</v>
          </cell>
          <cell r="Y196">
            <v>1219141.3855901479</v>
          </cell>
          <cell r="Z196">
            <v>1192654.8764193545</v>
          </cell>
          <cell r="AA196">
            <v>1105920.4507972519</v>
          </cell>
          <cell r="AB196">
            <v>1313324.2923779096</v>
          </cell>
          <cell r="AC196">
            <v>1117172.5683696931</v>
          </cell>
          <cell r="AD196">
            <v>1181629.2699196236</v>
          </cell>
          <cell r="AI196">
            <v>2948</v>
          </cell>
          <cell r="AJ196">
            <v>2953</v>
          </cell>
          <cell r="AK196">
            <v>2958</v>
          </cell>
          <cell r="AL196">
            <v>2963</v>
          </cell>
          <cell r="AM196">
            <v>2968</v>
          </cell>
          <cell r="AN196">
            <v>2973</v>
          </cell>
          <cell r="AO196">
            <v>2978</v>
          </cell>
          <cell r="AP196">
            <v>2984</v>
          </cell>
          <cell r="AQ196">
            <v>2989</v>
          </cell>
          <cell r="AR196">
            <v>2995</v>
          </cell>
          <cell r="AS196">
            <v>3000</v>
          </cell>
          <cell r="AT196">
            <v>3006</v>
          </cell>
        </row>
        <row r="197">
          <cell r="C197">
            <v>85.939222910815445</v>
          </cell>
          <cell r="D197">
            <v>76.312477027089031</v>
          </cell>
          <cell r="E197">
            <v>88.100931521642494</v>
          </cell>
          <cell r="F197">
            <v>76.295370154986671</v>
          </cell>
          <cell r="G197">
            <v>84.641512469629106</v>
          </cell>
          <cell r="H197">
            <v>76.281604120813668</v>
          </cell>
          <cell r="I197">
            <v>82.625578493193032</v>
          </cell>
          <cell r="J197">
            <v>80.853704211336847</v>
          </cell>
          <cell r="K197">
            <v>76.265827511789652</v>
          </cell>
          <cell r="L197">
            <v>85.09308144200692</v>
          </cell>
          <cell r="M197">
            <v>81.702666830454959</v>
          </cell>
          <cell r="N197">
            <v>81.176502938728206</v>
          </cell>
          <cell r="AI197">
            <v>209</v>
          </cell>
          <cell r="AJ197">
            <v>209</v>
          </cell>
          <cell r="AK197">
            <v>209</v>
          </cell>
          <cell r="AL197">
            <v>209</v>
          </cell>
          <cell r="AM197">
            <v>209</v>
          </cell>
          <cell r="AN197">
            <v>209</v>
          </cell>
          <cell r="AO197">
            <v>209</v>
          </cell>
          <cell r="AP197">
            <v>209</v>
          </cell>
          <cell r="AQ197">
            <v>209</v>
          </cell>
          <cell r="AR197">
            <v>207</v>
          </cell>
          <cell r="AS197">
            <v>207</v>
          </cell>
          <cell r="AT197">
            <v>207</v>
          </cell>
        </row>
        <row r="198">
          <cell r="C198">
            <v>14758.035731606758</v>
          </cell>
          <cell r="D198">
            <v>12654.616688954469</v>
          </cell>
          <cell r="E198">
            <v>10129.487341644863</v>
          </cell>
          <cell r="F198">
            <v>12490.586253300253</v>
          </cell>
          <cell r="G198">
            <v>9482.645853098209</v>
          </cell>
          <cell r="H198">
            <v>6682.8987838477988</v>
          </cell>
          <cell r="I198">
            <v>6497.7427111437219</v>
          </cell>
          <cell r="J198">
            <v>9836.1646285661573</v>
          </cell>
          <cell r="K198">
            <v>10003.358130457951</v>
          </cell>
          <cell r="L198">
            <v>11289.636909633215</v>
          </cell>
          <cell r="M198">
            <v>13208.54005040112</v>
          </cell>
          <cell r="N198">
            <v>16236.361311059181</v>
          </cell>
          <cell r="AI198">
            <v>87400</v>
          </cell>
          <cell r="AJ198">
            <v>87531</v>
          </cell>
          <cell r="AK198">
            <v>87662</v>
          </cell>
          <cell r="AL198">
            <v>87794</v>
          </cell>
          <cell r="AM198">
            <v>87926</v>
          </cell>
          <cell r="AN198">
            <v>88058</v>
          </cell>
          <cell r="AO198">
            <v>88191</v>
          </cell>
          <cell r="AP198">
            <v>88324</v>
          </cell>
          <cell r="AQ198">
            <v>88457</v>
          </cell>
          <cell r="AR198">
            <v>88590</v>
          </cell>
          <cell r="AS198">
            <v>88723</v>
          </cell>
          <cell r="AT198">
            <v>88857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tabSelected="1" view="pageBreakPreview" zoomScaleNormal="100" zoomScaleSheetLayoutView="100" workbookViewId="0">
      <selection activeCell="L27" sqref="L27:L28"/>
    </sheetView>
  </sheetViews>
  <sheetFormatPr defaultRowHeight="16.5" x14ac:dyDescent="0.3"/>
  <cols>
    <col min="1" max="1" width="9.140625" style="1"/>
    <col min="2" max="2" width="16.28515625" style="1" bestFit="1" customWidth="1"/>
    <col min="3" max="4" width="14.7109375" style="1" customWidth="1"/>
    <col min="5" max="16384" width="9.140625" style="1"/>
  </cols>
  <sheetData>
    <row r="3" spans="2:4" x14ac:dyDescent="0.3">
      <c r="B3" s="1" t="s">
        <v>104</v>
      </c>
    </row>
    <row r="4" spans="2:4" x14ac:dyDescent="0.3">
      <c r="B4" s="1" t="str">
        <f>'5 Consumption Demand Details'!B2</f>
        <v>PowerStream 2016 IRM - Draft Rate Order</v>
      </c>
    </row>
    <row r="6" spans="2:4" x14ac:dyDescent="0.3">
      <c r="B6" s="3" t="s">
        <v>102</v>
      </c>
    </row>
    <row r="8" spans="2:4" x14ac:dyDescent="0.3">
      <c r="C8" s="4" t="s">
        <v>83</v>
      </c>
      <c r="D8" s="4" t="s">
        <v>84</v>
      </c>
    </row>
    <row r="9" spans="2:4" x14ac:dyDescent="0.3">
      <c r="B9" s="9" t="s">
        <v>3</v>
      </c>
      <c r="C9" s="10">
        <f>ROUND('1. FRRR_Res Fixed Only'!H12,2)</f>
        <v>1.34</v>
      </c>
      <c r="D9" s="114">
        <f>ROUND('1. FRRR_Res Fixed Only'!H23,4)</f>
        <v>0</v>
      </c>
    </row>
    <row r="10" spans="2:4" x14ac:dyDescent="0.3">
      <c r="B10" s="9" t="s">
        <v>4</v>
      </c>
      <c r="C10" s="10">
        <f>ROUND('1. FRRR_Res Fixed Only'!H13,2)</f>
        <v>1.41</v>
      </c>
      <c r="D10" s="122">
        <f>ROUND('1. FRRR_Res Fixed Only'!H24,4)</f>
        <v>8.9999999999999998E-4</v>
      </c>
    </row>
    <row r="11" spans="2:4" x14ac:dyDescent="0.3">
      <c r="B11" s="9" t="s">
        <v>5</v>
      </c>
      <c r="C11" s="10">
        <f>ROUND('1. FRRR_Res Fixed Only'!H14,2)</f>
        <v>7.45</v>
      </c>
      <c r="D11" s="122">
        <f>ROUND('1. FRRR_Res Fixed Only'!H25,4)</f>
        <v>0.1857</v>
      </c>
    </row>
    <row r="12" spans="2:4" x14ac:dyDescent="0.3">
      <c r="B12" s="9" t="s">
        <v>6</v>
      </c>
      <c r="C12" s="10">
        <f>ROUND('1. FRRR_Res Fixed Only'!H15,2)</f>
        <v>322.17</v>
      </c>
      <c r="D12" s="122">
        <f>ROUND('1. FRRR_Res Fixed Only'!H26,4)</f>
        <v>7.5899999999999995E-2</v>
      </c>
    </row>
    <row r="13" spans="2:4" x14ac:dyDescent="0.3">
      <c r="B13" s="9" t="s">
        <v>9</v>
      </c>
      <c r="C13" s="10">
        <f>ROUND('1. FRRR_Res Fixed Only'!H16,2)</f>
        <v>0.39</v>
      </c>
      <c r="D13" s="122">
        <f>ROUND('1. FRRR_Res Fixed Only'!H27,4)</f>
        <v>8.9999999999999998E-4</v>
      </c>
    </row>
    <row r="14" spans="2:4" x14ac:dyDescent="0.3">
      <c r="B14" s="9" t="s">
        <v>7</v>
      </c>
      <c r="C14" s="10">
        <f>ROUND('1. FRRR_Res Fixed Only'!H17,2)</f>
        <v>0.18</v>
      </c>
      <c r="D14" s="122">
        <f>ROUND('1. FRRR_Res Fixed Only'!H28,4)</f>
        <v>0.42320000000000002</v>
      </c>
    </row>
    <row r="15" spans="2:4" x14ac:dyDescent="0.3">
      <c r="B15" s="9" t="s">
        <v>8</v>
      </c>
      <c r="C15" s="10">
        <f>ROUND('1. FRRR_Res Fixed Only'!H18,2)</f>
        <v>0.06</v>
      </c>
      <c r="D15" s="122">
        <f>ROUND('1. FRRR_Res Fixed Only'!H29,4)</f>
        <v>0.27210000000000001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0"/>
  <sheetViews>
    <sheetView tabSelected="1" view="pageBreakPreview" topLeftCell="A16" zoomScale="85" zoomScaleNormal="85" zoomScaleSheetLayoutView="85" workbookViewId="0">
      <selection activeCell="L27" sqref="L27:L28"/>
    </sheetView>
  </sheetViews>
  <sheetFormatPr defaultRowHeight="16.5" outlineLevelCol="1" x14ac:dyDescent="0.3"/>
  <cols>
    <col min="1" max="1" width="2.42578125" style="1" customWidth="1"/>
    <col min="2" max="2" width="20" style="1" customWidth="1"/>
    <col min="3" max="3" width="5" style="15" bestFit="1" customWidth="1"/>
    <col min="4" max="7" width="17" style="1" customWidth="1"/>
    <col min="8" max="8" width="15.42578125" style="1" customWidth="1"/>
    <col min="9" max="9" width="12.5703125" style="1" bestFit="1" customWidth="1"/>
    <col min="10" max="10" width="15.42578125" style="1" customWidth="1"/>
    <col min="11" max="11" width="10" style="1" customWidth="1"/>
    <col min="12" max="13" width="11.7109375" style="15" hidden="1" customWidth="1" outlineLevel="1"/>
    <col min="14" max="14" width="11.7109375" style="1" hidden="1" customWidth="1" outlineLevel="1"/>
    <col min="15" max="15" width="11.140625" style="1" bestFit="1" customWidth="1" collapsed="1"/>
    <col min="16" max="16384" width="9.140625" style="1"/>
  </cols>
  <sheetData>
    <row r="1" spans="2:14" s="11" customFormat="1" x14ac:dyDescent="0.3">
      <c r="C1" s="12"/>
      <c r="J1" s="9"/>
      <c r="L1" s="12"/>
      <c r="M1" s="12"/>
    </row>
    <row r="2" spans="2:14" s="11" customFormat="1" x14ac:dyDescent="0.3">
      <c r="C2" s="12"/>
      <c r="J2" s="9"/>
      <c r="L2" s="12"/>
      <c r="M2" s="12"/>
    </row>
    <row r="3" spans="2:14" s="11" customFormat="1" x14ac:dyDescent="0.3">
      <c r="B3" s="13" t="str">
        <f>'5 Consumption Demand Details'!B2</f>
        <v>PowerStream 2016 IRM - Draft Rate Order</v>
      </c>
      <c r="C3" s="12"/>
      <c r="J3" s="9"/>
      <c r="L3" s="12"/>
      <c r="M3" s="12"/>
    </row>
    <row r="4" spans="2:14" s="11" customFormat="1" ht="17.25" thickBot="1" x14ac:dyDescent="0.35">
      <c r="B4" s="13"/>
      <c r="C4" s="12"/>
      <c r="J4" s="9"/>
      <c r="L4" s="12"/>
      <c r="M4" s="12"/>
    </row>
    <row r="5" spans="2:14" s="11" customFormat="1" ht="19.5" thickBot="1" x14ac:dyDescent="0.35">
      <c r="B5" s="14" t="str">
        <f>CONCATENATE("Foregone Distribution Revenue"," (",Assumptions!B10,")")</f>
        <v>Foregone Distribution Revenue (January - September 2016)</v>
      </c>
      <c r="C5" s="12"/>
      <c r="G5" s="130" t="s">
        <v>80</v>
      </c>
      <c r="H5" s="131"/>
      <c r="J5" s="9"/>
      <c r="L5" s="12"/>
      <c r="M5" s="12"/>
    </row>
    <row r="6" spans="2:14" s="11" customFormat="1" ht="19.5" thickBot="1" x14ac:dyDescent="0.35">
      <c r="B6" s="14" t="s">
        <v>47</v>
      </c>
      <c r="C6" s="12"/>
      <c r="G6" s="124" t="s">
        <v>89</v>
      </c>
      <c r="H6" s="125"/>
      <c r="J6" s="9"/>
      <c r="L6" s="12"/>
      <c r="M6" s="12"/>
    </row>
    <row r="7" spans="2:14" ht="17.25" thickBot="1" x14ac:dyDescent="0.35">
      <c r="C7" s="12"/>
      <c r="D7" s="11"/>
      <c r="E7" s="11"/>
      <c r="F7" s="11"/>
      <c r="G7" s="11"/>
    </row>
    <row r="8" spans="2:14" ht="15.75" customHeight="1" thickBot="1" x14ac:dyDescent="0.35">
      <c r="B8" s="129" t="s">
        <v>50</v>
      </c>
      <c r="C8" s="129"/>
      <c r="D8" s="129"/>
      <c r="E8" s="11"/>
      <c r="F8" s="16" t="s">
        <v>48</v>
      </c>
      <c r="G8" s="17">
        <v>3</v>
      </c>
      <c r="H8" s="18" t="s">
        <v>49</v>
      </c>
    </row>
    <row r="9" spans="2:14" ht="20.25" customHeight="1" thickBot="1" x14ac:dyDescent="0.35">
      <c r="B9" s="132"/>
      <c r="C9" s="132"/>
      <c r="D9" s="19"/>
      <c r="E9" s="19"/>
      <c r="F9" s="20"/>
      <c r="G9" s="19"/>
      <c r="H9" s="19"/>
    </row>
    <row r="10" spans="2:14" ht="20.25" customHeight="1" thickBot="1" x14ac:dyDescent="0.35">
      <c r="B10" s="21"/>
      <c r="C10" s="21"/>
      <c r="D10" s="133" t="s">
        <v>81</v>
      </c>
      <c r="E10" s="134"/>
      <c r="F10" s="134"/>
      <c r="G10" s="134"/>
      <c r="H10" s="135"/>
      <c r="L10" s="123" t="s">
        <v>90</v>
      </c>
      <c r="M10" s="123"/>
      <c r="N10" s="123"/>
    </row>
    <row r="11" spans="2:14" ht="36.75" customHeight="1" x14ac:dyDescent="0.3">
      <c r="B11" s="22" t="s">
        <v>0</v>
      </c>
      <c r="C11" s="23"/>
      <c r="D11" s="24" t="s">
        <v>37</v>
      </c>
      <c r="E11" s="24" t="s">
        <v>56</v>
      </c>
      <c r="F11" s="25" t="s">
        <v>38</v>
      </c>
      <c r="G11" s="24" t="s">
        <v>39</v>
      </c>
      <c r="H11" s="26" t="s">
        <v>98</v>
      </c>
      <c r="L11" s="27" t="s">
        <v>85</v>
      </c>
      <c r="M11" s="27" t="s">
        <v>86</v>
      </c>
      <c r="N11" s="27" t="s">
        <v>92</v>
      </c>
    </row>
    <row r="12" spans="2:14" x14ac:dyDescent="0.3">
      <c r="B12" s="9" t="s">
        <v>3</v>
      </c>
      <c r="C12" s="28"/>
      <c r="D12" s="29">
        <f>J37</f>
        <v>67944880.290422335</v>
      </c>
      <c r="E12" s="29">
        <f>J50</f>
        <v>66638214.867756128</v>
      </c>
      <c r="F12" s="30">
        <f>D12-E12</f>
        <v>1306665.422666207</v>
      </c>
      <c r="G12" s="31">
        <f>'3. Billing Determinants'!D22</f>
        <v>325344.75</v>
      </c>
      <c r="H12" s="32">
        <f>+F12/G12/$G$8</f>
        <v>1.3387495599321511</v>
      </c>
      <c r="L12" s="33">
        <f>+ROUND(H12,2)</f>
        <v>1.34</v>
      </c>
      <c r="M12" s="34">
        <f>+G12*L12*$G$8</f>
        <v>1307885.895</v>
      </c>
      <c r="N12" s="35">
        <f>+M12-F12</f>
        <v>1220.4723337930627</v>
      </c>
    </row>
    <row r="13" spans="2:14" x14ac:dyDescent="0.3">
      <c r="B13" s="9" t="s">
        <v>4</v>
      </c>
      <c r="C13" s="28"/>
      <c r="D13" s="29">
        <f t="shared" ref="D13:D18" si="0">H38</f>
        <v>7731333.4500000002</v>
      </c>
      <c r="E13" s="29">
        <f t="shared" ref="E13:E18" si="1">H51</f>
        <v>7594469.9199999999</v>
      </c>
      <c r="F13" s="30">
        <f t="shared" ref="F13:F18" si="2">D13-E13</f>
        <v>136863.53000000026</v>
      </c>
      <c r="G13" s="31">
        <f>'3. Billing Determinants'!D23</f>
        <v>32401.833333333332</v>
      </c>
      <c r="H13" s="32">
        <f t="shared" ref="H13:H18" si="3">+F13/G13/$G$8</f>
        <v>1.4079813385045112</v>
      </c>
      <c r="L13" s="33">
        <f t="shared" ref="L13:L18" si="4">+ROUND(H13,2)</f>
        <v>1.41</v>
      </c>
      <c r="M13" s="34">
        <f t="shared" ref="M13:M18" si="5">+G13*L13*$G$8</f>
        <v>137059.755</v>
      </c>
      <c r="N13" s="35">
        <f t="shared" ref="N13:N18" si="6">+M13-F13</f>
        <v>196.22499999974389</v>
      </c>
    </row>
    <row r="14" spans="2:14" x14ac:dyDescent="0.3">
      <c r="B14" s="9" t="s">
        <v>5</v>
      </c>
      <c r="C14" s="28"/>
      <c r="D14" s="29">
        <f t="shared" si="0"/>
        <v>6279649.6200000001</v>
      </c>
      <c r="E14" s="29">
        <f t="shared" si="1"/>
        <v>6168730.0799999991</v>
      </c>
      <c r="F14" s="30">
        <f t="shared" si="2"/>
        <v>110919.54000000097</v>
      </c>
      <c r="G14" s="31">
        <f>'3. Billing Determinants'!D24</f>
        <v>4964.666666666667</v>
      </c>
      <c r="H14" s="32">
        <f t="shared" si="3"/>
        <v>7.4472633275144995</v>
      </c>
      <c r="L14" s="33">
        <f t="shared" si="4"/>
        <v>7.45</v>
      </c>
      <c r="M14" s="34">
        <f t="shared" si="5"/>
        <v>110960.30000000002</v>
      </c>
      <c r="N14" s="35">
        <f t="shared" si="6"/>
        <v>40.759999999048887</v>
      </c>
    </row>
    <row r="15" spans="2:14" x14ac:dyDescent="0.3">
      <c r="B15" s="9" t="s">
        <v>6</v>
      </c>
      <c r="C15" s="28"/>
      <c r="D15" s="29">
        <f t="shared" si="0"/>
        <v>109326.24</v>
      </c>
      <c r="E15" s="29">
        <f t="shared" si="1"/>
        <v>107393.22</v>
      </c>
      <c r="F15" s="30">
        <f t="shared" si="2"/>
        <v>1933.0200000000041</v>
      </c>
      <c r="G15" s="31">
        <f>'3. Billing Determinants'!D25</f>
        <v>2</v>
      </c>
      <c r="H15" s="32">
        <f t="shared" si="3"/>
        <v>322.1700000000007</v>
      </c>
      <c r="L15" s="33">
        <f t="shared" si="4"/>
        <v>322.17</v>
      </c>
      <c r="M15" s="34">
        <f t="shared" si="5"/>
        <v>1933.02</v>
      </c>
      <c r="N15" s="35">
        <f t="shared" si="6"/>
        <v>-4.0927261579781771E-12</v>
      </c>
    </row>
    <row r="16" spans="2:14" x14ac:dyDescent="0.3">
      <c r="B16" s="9" t="s">
        <v>9</v>
      </c>
      <c r="C16" s="28"/>
      <c r="D16" s="29">
        <f t="shared" si="0"/>
        <v>190737.96</v>
      </c>
      <c r="E16" s="29">
        <f t="shared" si="1"/>
        <v>187265.13999999998</v>
      </c>
      <c r="F16" s="30">
        <f t="shared" si="2"/>
        <v>3472.820000000007</v>
      </c>
      <c r="G16" s="31">
        <f>'3. Billing Determinants'!D26</f>
        <v>2976.25</v>
      </c>
      <c r="H16" s="32">
        <f t="shared" si="3"/>
        <v>0.38894806103878005</v>
      </c>
      <c r="L16" s="33">
        <f t="shared" si="4"/>
        <v>0.39</v>
      </c>
      <c r="M16" s="34">
        <f t="shared" si="5"/>
        <v>3482.2124999999996</v>
      </c>
      <c r="N16" s="35">
        <f t="shared" si="6"/>
        <v>9.3924999999926513</v>
      </c>
    </row>
    <row r="17" spans="2:14" x14ac:dyDescent="0.3">
      <c r="B17" s="9" t="s">
        <v>7</v>
      </c>
      <c r="C17" s="28"/>
      <c r="D17" s="29">
        <f t="shared" si="0"/>
        <v>6527.07</v>
      </c>
      <c r="E17" s="29">
        <f t="shared" si="1"/>
        <v>6414.2100000000009</v>
      </c>
      <c r="F17" s="30">
        <f t="shared" si="2"/>
        <v>112.85999999999876</v>
      </c>
      <c r="G17" s="31">
        <f>'3. Billing Determinants'!D27</f>
        <v>208.5</v>
      </c>
      <c r="H17" s="32">
        <f t="shared" si="3"/>
        <v>0.18043165467625702</v>
      </c>
      <c r="L17" s="33">
        <f t="shared" si="4"/>
        <v>0.18</v>
      </c>
      <c r="M17" s="34">
        <f t="shared" si="5"/>
        <v>112.59</v>
      </c>
      <c r="N17" s="35">
        <f t="shared" si="6"/>
        <v>-0.26999999999875968</v>
      </c>
    </row>
    <row r="18" spans="2:14" x14ac:dyDescent="0.3">
      <c r="B18" s="9" t="s">
        <v>8</v>
      </c>
      <c r="C18" s="28"/>
      <c r="D18" s="29">
        <f t="shared" si="0"/>
        <v>1012919.04</v>
      </c>
      <c r="E18" s="29">
        <f t="shared" si="1"/>
        <v>997092.18</v>
      </c>
      <c r="F18" s="30">
        <f t="shared" si="2"/>
        <v>15826.859999999986</v>
      </c>
      <c r="G18" s="31">
        <f>'3. Billing Determinants'!D28</f>
        <v>88126.083333333328</v>
      </c>
      <c r="H18" s="32">
        <f t="shared" si="3"/>
        <v>5.9864455566976428E-2</v>
      </c>
      <c r="L18" s="33">
        <f t="shared" si="4"/>
        <v>0.06</v>
      </c>
      <c r="M18" s="34">
        <f t="shared" si="5"/>
        <v>15862.695</v>
      </c>
      <c r="N18" s="35">
        <f t="shared" si="6"/>
        <v>35.835000000013679</v>
      </c>
    </row>
    <row r="19" spans="2:14" ht="17.25" thickBot="1" x14ac:dyDescent="0.35">
      <c r="B19" s="36" t="s">
        <v>2</v>
      </c>
      <c r="C19" s="37"/>
      <c r="D19" s="38">
        <f>SUM(D12:D18)</f>
        <v>83275373.67042233</v>
      </c>
      <c r="E19" s="38">
        <f>SUM(E12:E18)</f>
        <v>81699579.617756128</v>
      </c>
      <c r="F19" s="39">
        <f>SUM(F12:F18)</f>
        <v>1575794.0526662082</v>
      </c>
      <c r="G19" s="40">
        <f>SUM(G12:G18)</f>
        <v>454024.08333333331</v>
      </c>
      <c r="H19" s="41"/>
      <c r="L19" s="42"/>
      <c r="M19" s="43">
        <f>SUM(M12:M18)</f>
        <v>1577296.4675</v>
      </c>
      <c r="N19" s="43">
        <f>SUM(N12:N18)</f>
        <v>1502.4148337918589</v>
      </c>
    </row>
    <row r="20" spans="2:14" ht="17.25" thickBot="1" x14ac:dyDescent="0.35">
      <c r="C20" s="12"/>
      <c r="D20" s="11"/>
      <c r="E20" s="11"/>
      <c r="F20" s="11"/>
      <c r="G20" s="11"/>
      <c r="L20" s="42"/>
      <c r="M20" s="44">
        <f>M19-F19</f>
        <v>1502.4148337917868</v>
      </c>
      <c r="N20" s="42"/>
    </row>
    <row r="21" spans="2:14" ht="17.25" thickBot="1" x14ac:dyDescent="0.35">
      <c r="C21" s="12"/>
      <c r="D21" s="133" t="s">
        <v>82</v>
      </c>
      <c r="E21" s="134"/>
      <c r="F21" s="134"/>
      <c r="G21" s="134"/>
      <c r="H21" s="135"/>
      <c r="L21" s="42"/>
      <c r="M21" s="42"/>
      <c r="N21" s="42"/>
    </row>
    <row r="22" spans="2:14" ht="33" x14ac:dyDescent="0.3">
      <c r="B22" s="22" t="s">
        <v>0</v>
      </c>
      <c r="C22" s="23"/>
      <c r="D22" s="24" t="s">
        <v>37</v>
      </c>
      <c r="E22" s="24" t="s">
        <v>56</v>
      </c>
      <c r="F22" s="25" t="s">
        <v>38</v>
      </c>
      <c r="G22" s="24" t="s">
        <v>87</v>
      </c>
      <c r="H22" s="26" t="s">
        <v>98</v>
      </c>
      <c r="L22" s="42"/>
      <c r="M22" s="42"/>
      <c r="N22" s="35"/>
    </row>
    <row r="23" spans="2:14" x14ac:dyDescent="0.3">
      <c r="B23" s="9" t="s">
        <v>3</v>
      </c>
      <c r="C23" s="28"/>
      <c r="D23" s="45"/>
      <c r="E23" s="45"/>
      <c r="F23" s="46"/>
      <c r="G23" s="47"/>
      <c r="H23" s="48"/>
      <c r="L23" s="49">
        <f>+ROUND(H23,4)</f>
        <v>0</v>
      </c>
      <c r="M23" s="34">
        <f>+L23*G23</f>
        <v>0</v>
      </c>
      <c r="N23" s="35">
        <f>M23-F23</f>
        <v>0</v>
      </c>
    </row>
    <row r="24" spans="2:14" x14ac:dyDescent="0.3">
      <c r="B24" s="9" t="s">
        <v>4</v>
      </c>
      <c r="C24" s="28"/>
      <c r="D24" s="29">
        <f t="shared" ref="D24:D29" si="7">I38</f>
        <v>11149017.517898642</v>
      </c>
      <c r="E24" s="29">
        <f t="shared" ref="E24:E29" si="8">I51</f>
        <v>10913474.894281063</v>
      </c>
      <c r="F24" s="30">
        <f t="shared" ref="F24:F29" si="9">D24-E24</f>
        <v>235542.6236175783</v>
      </c>
      <c r="G24" s="31">
        <f>'3. Billing Determinants'!O11</f>
        <v>253439715.25079858</v>
      </c>
      <c r="H24" s="50">
        <f t="shared" ref="H24:H29" si="10">+F24/G24</f>
        <v>9.293832396571717E-4</v>
      </c>
      <c r="L24" s="49">
        <f t="shared" ref="L24:L29" si="11">+ROUND(H24,4)</f>
        <v>8.9999999999999998E-4</v>
      </c>
      <c r="M24" s="34">
        <f t="shared" ref="M24:M29" si="12">+L24*G24</f>
        <v>228095.74372571873</v>
      </c>
      <c r="N24" s="35">
        <f t="shared" ref="N24:N29" si="13">M24-F24</f>
        <v>-7446.8798918595712</v>
      </c>
    </row>
    <row r="25" spans="2:14" x14ac:dyDescent="0.3">
      <c r="B25" s="9" t="s">
        <v>5</v>
      </c>
      <c r="C25" s="28"/>
      <c r="D25" s="29">
        <f t="shared" si="7"/>
        <v>31299639.433904786</v>
      </c>
      <c r="E25" s="29">
        <f t="shared" si="8"/>
        <v>30746211.325721975</v>
      </c>
      <c r="F25" s="30">
        <f t="shared" si="9"/>
        <v>553428.10818281025</v>
      </c>
      <c r="G25" s="31">
        <f>'3. Billing Determinants'!O12</f>
        <v>2980866.2463101111</v>
      </c>
      <c r="H25" s="50">
        <f t="shared" si="10"/>
        <v>0.1856601613265525</v>
      </c>
      <c r="L25" s="49">
        <f t="shared" si="11"/>
        <v>0.1857</v>
      </c>
      <c r="M25" s="34">
        <f t="shared" si="12"/>
        <v>553546.86193978763</v>
      </c>
      <c r="N25" s="35">
        <f t="shared" si="13"/>
        <v>118.75375697738491</v>
      </c>
    </row>
    <row r="26" spans="2:14" x14ac:dyDescent="0.3">
      <c r="B26" s="9" t="s">
        <v>6</v>
      </c>
      <c r="C26" s="28"/>
      <c r="D26" s="29">
        <f t="shared" si="7"/>
        <v>162699.7461953109</v>
      </c>
      <c r="E26" s="29">
        <f t="shared" si="8"/>
        <v>159821.40324541467</v>
      </c>
      <c r="F26" s="30">
        <f t="shared" si="9"/>
        <v>2878.342949896236</v>
      </c>
      <c r="G26" s="31">
        <f>'3. Billing Determinants'!O13</f>
        <v>37930.461876883797</v>
      </c>
      <c r="H26" s="50">
        <f t="shared" si="10"/>
        <v>7.5884732414777237E-2</v>
      </c>
      <c r="L26" s="49">
        <f t="shared" si="11"/>
        <v>7.5899999999999995E-2</v>
      </c>
      <c r="M26" s="34">
        <f t="shared" si="12"/>
        <v>2878.9220564554798</v>
      </c>
      <c r="N26" s="35">
        <f t="shared" si="13"/>
        <v>0.57910655924388266</v>
      </c>
    </row>
    <row r="27" spans="2:14" x14ac:dyDescent="0.3">
      <c r="B27" s="9" t="s">
        <v>9</v>
      </c>
      <c r="C27" s="28"/>
      <c r="D27" s="29">
        <f t="shared" si="7"/>
        <v>171033.4667419988</v>
      </c>
      <c r="E27" s="29">
        <f t="shared" si="8"/>
        <v>167866.18032085069</v>
      </c>
      <c r="F27" s="30">
        <f t="shared" si="9"/>
        <v>3167.2864211481065</v>
      </c>
      <c r="G27" s="31">
        <f>'3. Billing Determinants'!O14</f>
        <v>3612126.1306672245</v>
      </c>
      <c r="H27" s="50">
        <f t="shared" si="10"/>
        <v>8.7684823468859652E-4</v>
      </c>
      <c r="L27" s="49">
        <f t="shared" si="11"/>
        <v>8.9999999999999998E-4</v>
      </c>
      <c r="M27" s="34">
        <f t="shared" si="12"/>
        <v>3250.913517600502</v>
      </c>
      <c r="N27" s="35">
        <f t="shared" si="13"/>
        <v>83.627096452395563</v>
      </c>
    </row>
    <row r="28" spans="2:14" x14ac:dyDescent="0.3">
      <c r="B28" s="9" t="s">
        <v>7</v>
      </c>
      <c r="C28" s="28"/>
      <c r="D28" s="29">
        <f t="shared" si="7"/>
        <v>5935.9913982604075</v>
      </c>
      <c r="E28" s="29">
        <f t="shared" si="8"/>
        <v>5831.0396664992149</v>
      </c>
      <c r="F28" s="30">
        <f t="shared" si="9"/>
        <v>104.9517317611926</v>
      </c>
      <c r="G28" s="31">
        <f>'3. Billing Determinants'!O15</f>
        <v>247.97225121119004</v>
      </c>
      <c r="H28" s="50">
        <f t="shared" si="10"/>
        <v>0.42323982320025222</v>
      </c>
      <c r="L28" s="49">
        <f t="shared" si="11"/>
        <v>0.42320000000000002</v>
      </c>
      <c r="M28" s="34">
        <f t="shared" si="12"/>
        <v>104.94185671257563</v>
      </c>
      <c r="N28" s="35">
        <f t="shared" si="13"/>
        <v>-9.8750486169763008E-3</v>
      </c>
    </row>
    <row r="29" spans="2:14" x14ac:dyDescent="0.3">
      <c r="B29" s="9" t="s">
        <v>8</v>
      </c>
      <c r="C29" s="28"/>
      <c r="D29" s="29">
        <f t="shared" si="7"/>
        <v>626872.73590907815</v>
      </c>
      <c r="E29" s="29">
        <f t="shared" si="8"/>
        <v>615786.97868158831</v>
      </c>
      <c r="F29" s="30">
        <f t="shared" si="9"/>
        <v>11085.757227489841</v>
      </c>
      <c r="G29" s="31">
        <f>'3. Billing Determinants'!O16</f>
        <v>40734.538271093523</v>
      </c>
      <c r="H29" s="50">
        <f t="shared" si="10"/>
        <v>0.27214638235771127</v>
      </c>
      <c r="L29" s="49">
        <f t="shared" si="11"/>
        <v>0.27210000000000001</v>
      </c>
      <c r="M29" s="34">
        <f t="shared" si="12"/>
        <v>11083.867863564548</v>
      </c>
      <c r="N29" s="35">
        <f t="shared" si="13"/>
        <v>-1.8893639252928551</v>
      </c>
    </row>
    <row r="30" spans="2:14" ht="17.25" thickBot="1" x14ac:dyDescent="0.35">
      <c r="B30" s="36" t="s">
        <v>2</v>
      </c>
      <c r="C30" s="37"/>
      <c r="D30" s="38">
        <f>SUM(D23:D29)</f>
        <v>43415198.892048076</v>
      </c>
      <c r="E30" s="38">
        <f>SUM(E23:E29)</f>
        <v>42608991.821917385</v>
      </c>
      <c r="F30" s="39">
        <f>SUM(F23:F29)</f>
        <v>806207.07013068395</v>
      </c>
      <c r="G30" s="40">
        <f>SUM(G23:G29)</f>
        <v>260111620.60017508</v>
      </c>
      <c r="H30" s="41"/>
      <c r="L30" s="42"/>
      <c r="M30" s="43">
        <f>SUM(M23:M29)</f>
        <v>798961.25095983944</v>
      </c>
      <c r="N30" s="43">
        <f>SUM(N23:N29)</f>
        <v>-7245.8191708444565</v>
      </c>
    </row>
    <row r="31" spans="2:14" x14ac:dyDescent="0.3">
      <c r="C31" s="12"/>
      <c r="D31" s="11"/>
      <c r="E31" s="11"/>
      <c r="F31" s="11"/>
      <c r="G31" s="11"/>
      <c r="L31" s="42"/>
      <c r="M31" s="44">
        <f>M30-F30</f>
        <v>-7245.8191708445083</v>
      </c>
      <c r="N31" s="42"/>
    </row>
    <row r="32" spans="2:14" ht="17.25" thickBot="1" x14ac:dyDescent="0.35">
      <c r="C32" s="12"/>
      <c r="D32" s="11"/>
      <c r="E32" s="11"/>
      <c r="F32" s="51">
        <f>+F19+F30</f>
        <v>2382001.1227968922</v>
      </c>
      <c r="G32" s="11"/>
      <c r="L32" s="42"/>
      <c r="M32" s="43">
        <f>+M19+M30</f>
        <v>2376257.7184598395</v>
      </c>
      <c r="N32" s="52"/>
    </row>
    <row r="33" spans="2:14" ht="15" customHeight="1" thickBot="1" x14ac:dyDescent="0.35">
      <c r="B33" s="129" t="s">
        <v>54</v>
      </c>
      <c r="C33" s="129"/>
      <c r="D33" s="129"/>
      <c r="E33" s="129"/>
      <c r="F33" s="9"/>
      <c r="G33" s="16" t="s">
        <v>91</v>
      </c>
      <c r="H33" s="17">
        <f>12-G8</f>
        <v>9</v>
      </c>
      <c r="I33" s="18" t="s">
        <v>49</v>
      </c>
      <c r="L33" s="42"/>
      <c r="M33" s="54">
        <f>M32-J60</f>
        <v>-5743.404337068554</v>
      </c>
      <c r="N33" s="43">
        <f>SUM(N19,N30)</f>
        <v>-5743.4043370525978</v>
      </c>
    </row>
    <row r="34" spans="2:14" ht="17.25" thickBot="1" x14ac:dyDescent="0.35">
      <c r="B34" s="21"/>
      <c r="C34" s="55"/>
      <c r="D34" s="9"/>
      <c r="E34" s="9"/>
      <c r="F34" s="9"/>
      <c r="G34" s="9"/>
      <c r="H34" s="53"/>
      <c r="I34" s="53"/>
      <c r="J34" s="53"/>
      <c r="M34" s="1"/>
    </row>
    <row r="35" spans="2:14" x14ac:dyDescent="0.3">
      <c r="B35" s="126"/>
      <c r="C35" s="126"/>
      <c r="D35" s="127" t="s">
        <v>33</v>
      </c>
      <c r="E35" s="127"/>
      <c r="F35" s="127" t="s">
        <v>51</v>
      </c>
      <c r="G35" s="127"/>
      <c r="H35" s="128" t="s">
        <v>52</v>
      </c>
      <c r="I35" s="128"/>
      <c r="J35" s="128"/>
      <c r="M35" s="1"/>
    </row>
    <row r="36" spans="2:14" x14ac:dyDescent="0.3">
      <c r="B36" s="56" t="s">
        <v>0</v>
      </c>
      <c r="C36" s="57" t="s">
        <v>1</v>
      </c>
      <c r="D36" s="56" t="s">
        <v>34</v>
      </c>
      <c r="E36" s="56" t="s">
        <v>35</v>
      </c>
      <c r="F36" s="56" t="s">
        <v>34</v>
      </c>
      <c r="G36" s="56" t="s">
        <v>35</v>
      </c>
      <c r="H36" s="56" t="s">
        <v>34</v>
      </c>
      <c r="I36" s="56" t="s">
        <v>35</v>
      </c>
      <c r="J36" s="56" t="s">
        <v>2</v>
      </c>
      <c r="M36" s="1"/>
    </row>
    <row r="37" spans="2:14" x14ac:dyDescent="0.3">
      <c r="B37" s="9" t="s">
        <v>3</v>
      </c>
      <c r="C37" s="28" t="s">
        <v>11</v>
      </c>
      <c r="D37" s="31">
        <f>'3. Billing Determinants'!N22</f>
        <v>324755.88888888888</v>
      </c>
      <c r="E37" s="31">
        <f>'3. Billing Determinants'!N10</f>
        <v>2114735775.554009</v>
      </c>
      <c r="F37" s="58">
        <f>'2. Rates'!D24</f>
        <v>12.9</v>
      </c>
      <c r="G37" s="59">
        <f>'2. Rates'!E24</f>
        <v>1.43E-2</v>
      </c>
      <c r="H37" s="60">
        <f>+D37*F37*$H$33</f>
        <v>37704158.700000003</v>
      </c>
      <c r="I37" s="60">
        <f>+E37*G37</f>
        <v>30240721.590422329</v>
      </c>
      <c r="J37" s="60">
        <f>SUM(H37:I37)</f>
        <v>67944880.290422335</v>
      </c>
      <c r="M37" s="1"/>
    </row>
    <row r="38" spans="2:14" x14ac:dyDescent="0.3">
      <c r="B38" s="9" t="s">
        <v>4</v>
      </c>
      <c r="C38" s="28" t="s">
        <v>11</v>
      </c>
      <c r="D38" s="31">
        <f>'3. Billing Determinants'!N23</f>
        <v>32355.444444444445</v>
      </c>
      <c r="E38" s="31">
        <f>'3. Billing Determinants'!N11</f>
        <v>785142078.72525644</v>
      </c>
      <c r="F38" s="58">
        <f>'2. Rates'!D25</f>
        <v>26.55</v>
      </c>
      <c r="G38" s="59">
        <f>'2. Rates'!E25</f>
        <v>1.4200000000000001E-2</v>
      </c>
      <c r="H38" s="60">
        <f t="shared" ref="H38:H43" si="14">+D38*F38*$H$33</f>
        <v>7731333.4500000002</v>
      </c>
      <c r="I38" s="60">
        <f t="shared" ref="I38:I43" si="15">+E38*G38</f>
        <v>11149017.517898642</v>
      </c>
      <c r="J38" s="60">
        <f t="shared" ref="J38:J43" si="16">SUM(H38:I38)</f>
        <v>18880350.967898641</v>
      </c>
      <c r="M38" s="1"/>
    </row>
    <row r="39" spans="2:14" x14ac:dyDescent="0.3">
      <c r="B39" s="9" t="s">
        <v>5</v>
      </c>
      <c r="C39" s="28" t="s">
        <v>10</v>
      </c>
      <c r="D39" s="31">
        <f>'3. Billing Determinants'!N24</f>
        <v>4949.5555555555557</v>
      </c>
      <c r="E39" s="31">
        <f>'3. Billing Determinants'!N12</f>
        <v>9239200.4704976194</v>
      </c>
      <c r="F39" s="58">
        <f>'2. Rates'!D26</f>
        <v>140.97</v>
      </c>
      <c r="G39" s="59">
        <f>'2. Rates'!E26</f>
        <v>3.3877000000000002</v>
      </c>
      <c r="H39" s="60">
        <f t="shared" si="14"/>
        <v>6279649.6200000001</v>
      </c>
      <c r="I39" s="60">
        <f t="shared" si="15"/>
        <v>31299639.433904786</v>
      </c>
      <c r="J39" s="60">
        <f t="shared" si="16"/>
        <v>37579289.053904787</v>
      </c>
      <c r="M39" s="1"/>
    </row>
    <row r="40" spans="2:14" x14ac:dyDescent="0.3">
      <c r="B40" s="9" t="s">
        <v>6</v>
      </c>
      <c r="C40" s="28" t="s">
        <v>10</v>
      </c>
      <c r="D40" s="31">
        <f>'3. Billing Determinants'!N25</f>
        <v>2</v>
      </c>
      <c r="E40" s="31">
        <f>'3. Billing Determinants'!N13</f>
        <v>112876.1941135777</v>
      </c>
      <c r="F40" s="58">
        <f>'2. Rates'!D27</f>
        <v>6073.68</v>
      </c>
      <c r="G40" s="59">
        <f>'2. Rates'!E27</f>
        <v>1.4414</v>
      </c>
      <c r="H40" s="60">
        <f t="shared" si="14"/>
        <v>109326.24</v>
      </c>
      <c r="I40" s="60">
        <f t="shared" si="15"/>
        <v>162699.7461953109</v>
      </c>
      <c r="J40" s="60">
        <f t="shared" si="16"/>
        <v>272025.98619531089</v>
      </c>
      <c r="M40" s="1"/>
    </row>
    <row r="41" spans="2:14" x14ac:dyDescent="0.3">
      <c r="B41" s="9" t="s">
        <v>9</v>
      </c>
      <c r="C41" s="28" t="s">
        <v>11</v>
      </c>
      <c r="D41" s="31">
        <f>'3. Billing Determinants'!N26</f>
        <v>2968.2222222222222</v>
      </c>
      <c r="E41" s="31">
        <f>'3. Billing Determinants'!N14</f>
        <v>10557621.403827086</v>
      </c>
      <c r="F41" s="58">
        <f>'2. Rates'!D28</f>
        <v>7.14</v>
      </c>
      <c r="G41" s="59">
        <f>'2. Rates'!E28</f>
        <v>1.6199999999999999E-2</v>
      </c>
      <c r="H41" s="60">
        <f t="shared" si="14"/>
        <v>190737.96</v>
      </c>
      <c r="I41" s="60">
        <f t="shared" si="15"/>
        <v>171033.4667419988</v>
      </c>
      <c r="J41" s="60">
        <f t="shared" si="16"/>
        <v>361771.42674199876</v>
      </c>
      <c r="M41" s="1"/>
    </row>
    <row r="42" spans="2:14" x14ac:dyDescent="0.3">
      <c r="B42" s="9" t="s">
        <v>7</v>
      </c>
      <c r="C42" s="28" t="s">
        <v>10</v>
      </c>
      <c r="D42" s="31">
        <f>'3. Billing Determinants'!N27</f>
        <v>209</v>
      </c>
      <c r="E42" s="31">
        <f>'3. Billing Determinants'!N15</f>
        <v>727.31622842129605</v>
      </c>
      <c r="F42" s="58">
        <f>'2. Rates'!D29</f>
        <v>3.47</v>
      </c>
      <c r="G42" s="59">
        <f>'2. Rates'!E29</f>
        <v>8.1615000000000002</v>
      </c>
      <c r="H42" s="60">
        <f t="shared" si="14"/>
        <v>6527.07</v>
      </c>
      <c r="I42" s="60">
        <f t="shared" si="15"/>
        <v>5935.9913982604075</v>
      </c>
      <c r="J42" s="60">
        <f t="shared" si="16"/>
        <v>12463.061398260408</v>
      </c>
      <c r="M42" s="1"/>
    </row>
    <row r="43" spans="2:14" ht="17.25" thickBot="1" x14ac:dyDescent="0.35">
      <c r="B43" s="9" t="s">
        <v>8</v>
      </c>
      <c r="C43" s="28" t="s">
        <v>10</v>
      </c>
      <c r="D43" s="31">
        <f>'3. Billing Determinants'!N28</f>
        <v>87927</v>
      </c>
      <c r="E43" s="31">
        <f>'3. Billing Determinants'!N16</f>
        <v>92535.536122620179</v>
      </c>
      <c r="F43" s="58">
        <f>'2. Rates'!D30</f>
        <v>1.28</v>
      </c>
      <c r="G43" s="59">
        <f>'2. Rates'!E30</f>
        <v>6.7744</v>
      </c>
      <c r="H43" s="60">
        <f t="shared" si="14"/>
        <v>1012919.04</v>
      </c>
      <c r="I43" s="60">
        <f t="shared" si="15"/>
        <v>626872.73590907815</v>
      </c>
      <c r="J43" s="60">
        <f t="shared" si="16"/>
        <v>1639791.7759090783</v>
      </c>
      <c r="M43" s="1"/>
    </row>
    <row r="44" spans="2:14" ht="17.25" thickBot="1" x14ac:dyDescent="0.35">
      <c r="B44" s="36" t="s">
        <v>2</v>
      </c>
      <c r="C44" s="37"/>
      <c r="D44" s="61"/>
      <c r="E44" s="61"/>
      <c r="F44" s="62"/>
      <c r="G44" s="62"/>
      <c r="H44" s="63">
        <f>SUM(H37:H43)</f>
        <v>53034652.080000006</v>
      </c>
      <c r="I44" s="63">
        <f>SUM(I37:I43)</f>
        <v>73655920.482470393</v>
      </c>
      <c r="J44" s="63">
        <f>SUM(J37:J43)</f>
        <v>126690572.56247042</v>
      </c>
      <c r="M44" s="1"/>
    </row>
    <row r="46" spans="2:14" ht="15" customHeight="1" x14ac:dyDescent="0.3">
      <c r="B46" s="129" t="s">
        <v>55</v>
      </c>
      <c r="C46" s="129"/>
      <c r="D46" s="129"/>
      <c r="E46" s="129"/>
      <c r="L46" s="1"/>
      <c r="M46" s="1"/>
    </row>
    <row r="47" spans="2:14" ht="15" customHeight="1" thickBot="1" x14ac:dyDescent="0.35">
      <c r="B47" s="21"/>
      <c r="C47" s="21"/>
      <c r="L47" s="1"/>
      <c r="M47" s="1"/>
    </row>
    <row r="48" spans="2:14" x14ac:dyDescent="0.3">
      <c r="B48" s="126"/>
      <c r="C48" s="126"/>
      <c r="D48" s="127" t="s">
        <v>33</v>
      </c>
      <c r="E48" s="127"/>
      <c r="F48" s="127" t="s">
        <v>36</v>
      </c>
      <c r="G48" s="127"/>
      <c r="H48" s="128" t="s">
        <v>53</v>
      </c>
      <c r="I48" s="128"/>
      <c r="J48" s="128"/>
      <c r="L48" s="1"/>
      <c r="M48" s="1"/>
    </row>
    <row r="49" spans="2:13" x14ac:dyDescent="0.3">
      <c r="B49" s="56" t="s">
        <v>0</v>
      </c>
      <c r="C49" s="57" t="s">
        <v>1</v>
      </c>
      <c r="D49" s="56" t="s">
        <v>34</v>
      </c>
      <c r="E49" s="56" t="s">
        <v>35</v>
      </c>
      <c r="F49" s="56" t="s">
        <v>34</v>
      </c>
      <c r="G49" s="56" t="s">
        <v>35</v>
      </c>
      <c r="H49" s="56" t="s">
        <v>34</v>
      </c>
      <c r="I49" s="56" t="s">
        <v>35</v>
      </c>
      <c r="J49" s="56" t="s">
        <v>2</v>
      </c>
      <c r="L49" s="1"/>
      <c r="M49" s="1"/>
    </row>
    <row r="50" spans="2:13" x14ac:dyDescent="0.3">
      <c r="B50" s="9" t="s">
        <v>3</v>
      </c>
      <c r="C50" s="28" t="s">
        <v>11</v>
      </c>
      <c r="D50" s="31">
        <f>D37</f>
        <v>324755.88888888888</v>
      </c>
      <c r="E50" s="31">
        <f>E37</f>
        <v>2114735775.554009</v>
      </c>
      <c r="F50" s="58">
        <f>'2. Rates'!D11</f>
        <v>12.67</v>
      </c>
      <c r="G50" s="59">
        <f>'2. Rates'!E11</f>
        <v>1.4E-2</v>
      </c>
      <c r="H50" s="60">
        <f>+D50*F50*$H$33</f>
        <v>37031914.009999998</v>
      </c>
      <c r="I50" s="60">
        <f>+E50*G50</f>
        <v>29606300.857756127</v>
      </c>
      <c r="J50" s="60">
        <f>SUM(H50:I50)</f>
        <v>66638214.867756128</v>
      </c>
      <c r="L50" s="1"/>
      <c r="M50" s="1"/>
    </row>
    <row r="51" spans="2:13" x14ac:dyDescent="0.3">
      <c r="B51" s="9" t="s">
        <v>4</v>
      </c>
      <c r="C51" s="28" t="s">
        <v>11</v>
      </c>
      <c r="D51" s="31">
        <f t="shared" ref="D51:E51" si="17">D38</f>
        <v>32355.444444444445</v>
      </c>
      <c r="E51" s="31">
        <f t="shared" si="17"/>
        <v>785142078.72525644</v>
      </c>
      <c r="F51" s="58">
        <f>'2. Rates'!D12</f>
        <v>26.08</v>
      </c>
      <c r="G51" s="59">
        <f>'2. Rates'!E12</f>
        <v>1.3899999999999999E-2</v>
      </c>
      <c r="H51" s="60">
        <f t="shared" ref="H51:H56" si="18">+D51*F51*$H$33</f>
        <v>7594469.9199999999</v>
      </c>
      <c r="I51" s="60">
        <f t="shared" ref="I51:I56" si="19">+E51*G51</f>
        <v>10913474.894281063</v>
      </c>
      <c r="J51" s="60">
        <f t="shared" ref="J51:J56" si="20">SUM(H51:I51)</f>
        <v>18507944.814281061</v>
      </c>
      <c r="L51" s="1"/>
      <c r="M51" s="1"/>
    </row>
    <row r="52" spans="2:13" x14ac:dyDescent="0.3">
      <c r="B52" s="9" t="s">
        <v>5</v>
      </c>
      <c r="C52" s="28" t="s">
        <v>10</v>
      </c>
      <c r="D52" s="31">
        <f t="shared" ref="D52:E52" si="21">D39</f>
        <v>4949.5555555555557</v>
      </c>
      <c r="E52" s="31">
        <f t="shared" si="21"/>
        <v>9239200.4704976194</v>
      </c>
      <c r="F52" s="58">
        <f>'2. Rates'!D13</f>
        <v>138.47999999999999</v>
      </c>
      <c r="G52" s="59">
        <f>'2. Rates'!E13</f>
        <v>3.3277999999999999</v>
      </c>
      <c r="H52" s="60">
        <f t="shared" si="18"/>
        <v>6168730.0799999991</v>
      </c>
      <c r="I52" s="60">
        <f t="shared" si="19"/>
        <v>30746211.325721975</v>
      </c>
      <c r="J52" s="60">
        <f t="shared" si="20"/>
        <v>36914941.405721977</v>
      </c>
      <c r="L52" s="1"/>
      <c r="M52" s="1"/>
    </row>
    <row r="53" spans="2:13" x14ac:dyDescent="0.3">
      <c r="B53" s="9" t="s">
        <v>6</v>
      </c>
      <c r="C53" s="28" t="s">
        <v>10</v>
      </c>
      <c r="D53" s="31">
        <f t="shared" ref="D53:E53" si="22">D40</f>
        <v>2</v>
      </c>
      <c r="E53" s="31">
        <f t="shared" si="22"/>
        <v>112876.1941135777</v>
      </c>
      <c r="F53" s="58">
        <f>'2. Rates'!D14</f>
        <v>5966.29</v>
      </c>
      <c r="G53" s="59">
        <f>'2. Rates'!E14</f>
        <v>1.4158999999999999</v>
      </c>
      <c r="H53" s="60">
        <f t="shared" si="18"/>
        <v>107393.22</v>
      </c>
      <c r="I53" s="60">
        <f t="shared" si="19"/>
        <v>159821.40324541467</v>
      </c>
      <c r="J53" s="60">
        <f t="shared" si="20"/>
        <v>267214.6232454147</v>
      </c>
      <c r="L53" s="1"/>
      <c r="M53" s="1"/>
    </row>
    <row r="54" spans="2:13" x14ac:dyDescent="0.3">
      <c r="B54" s="9" t="s">
        <v>9</v>
      </c>
      <c r="C54" s="28" t="s">
        <v>11</v>
      </c>
      <c r="D54" s="31">
        <f t="shared" ref="D54:E54" si="23">D41</f>
        <v>2968.2222222222222</v>
      </c>
      <c r="E54" s="31">
        <f t="shared" si="23"/>
        <v>10557621.403827086</v>
      </c>
      <c r="F54" s="58">
        <f>'2. Rates'!D15</f>
        <v>7.01</v>
      </c>
      <c r="G54" s="59">
        <f>'2. Rates'!E15</f>
        <v>1.5900000000000001E-2</v>
      </c>
      <c r="H54" s="60">
        <f t="shared" si="18"/>
        <v>187265.13999999998</v>
      </c>
      <c r="I54" s="60">
        <f t="shared" si="19"/>
        <v>167866.18032085069</v>
      </c>
      <c r="J54" s="60">
        <f t="shared" si="20"/>
        <v>355131.3203208507</v>
      </c>
      <c r="L54" s="1"/>
      <c r="M54" s="1"/>
    </row>
    <row r="55" spans="2:13" x14ac:dyDescent="0.3">
      <c r="B55" s="9" t="s">
        <v>7</v>
      </c>
      <c r="C55" s="28" t="s">
        <v>10</v>
      </c>
      <c r="D55" s="31">
        <f t="shared" ref="D55:E55" si="24">D42</f>
        <v>209</v>
      </c>
      <c r="E55" s="31">
        <f t="shared" si="24"/>
        <v>727.31622842129605</v>
      </c>
      <c r="F55" s="58">
        <f>'2. Rates'!D16</f>
        <v>3.41</v>
      </c>
      <c r="G55" s="59">
        <f>'2. Rates'!E16</f>
        <v>8.0172000000000008</v>
      </c>
      <c r="H55" s="60">
        <f t="shared" si="18"/>
        <v>6414.2100000000009</v>
      </c>
      <c r="I55" s="60">
        <f t="shared" si="19"/>
        <v>5831.0396664992149</v>
      </c>
      <c r="J55" s="60">
        <f t="shared" si="20"/>
        <v>12245.249666499216</v>
      </c>
      <c r="L55" s="1"/>
      <c r="M55" s="1"/>
    </row>
    <row r="56" spans="2:13" ht="17.25" thickBot="1" x14ac:dyDescent="0.35">
      <c r="B56" s="9" t="s">
        <v>8</v>
      </c>
      <c r="C56" s="28" t="s">
        <v>10</v>
      </c>
      <c r="D56" s="31">
        <f t="shared" ref="D56:E56" si="25">D43</f>
        <v>87927</v>
      </c>
      <c r="E56" s="31">
        <f t="shared" si="25"/>
        <v>92535.536122620179</v>
      </c>
      <c r="F56" s="58">
        <f>'2. Rates'!D17</f>
        <v>1.26</v>
      </c>
      <c r="G56" s="59">
        <f>'2. Rates'!E17</f>
        <v>6.6546000000000003</v>
      </c>
      <c r="H56" s="60">
        <f t="shared" si="18"/>
        <v>997092.18</v>
      </c>
      <c r="I56" s="60">
        <f t="shared" si="19"/>
        <v>615786.97868158831</v>
      </c>
      <c r="J56" s="60">
        <f t="shared" si="20"/>
        <v>1612879.1586815882</v>
      </c>
      <c r="L56" s="1"/>
      <c r="M56" s="1"/>
    </row>
    <row r="57" spans="2:13" ht="17.25" thickBot="1" x14ac:dyDescent="0.35">
      <c r="B57" s="36" t="s">
        <v>2</v>
      </c>
      <c r="C57" s="37"/>
      <c r="D57" s="61"/>
      <c r="E57" s="61"/>
      <c r="F57" s="62"/>
      <c r="G57" s="62"/>
      <c r="H57" s="63">
        <f>SUM(H50:H56)</f>
        <v>52093278.759999998</v>
      </c>
      <c r="I57" s="63">
        <f>SUM(I50:I56)</f>
        <v>72215292.679673523</v>
      </c>
      <c r="J57" s="63">
        <f>SUM(J50:J56)</f>
        <v>124308571.43967351</v>
      </c>
      <c r="L57" s="1"/>
      <c r="M57" s="1"/>
    </row>
    <row r="59" spans="2:13" ht="17.25" thickBot="1" x14ac:dyDescent="0.35">
      <c r="L59" s="1"/>
      <c r="M59" s="1"/>
    </row>
    <row r="60" spans="2:13" ht="17.25" thickBot="1" x14ac:dyDescent="0.35">
      <c r="B60" s="1" t="s">
        <v>79</v>
      </c>
      <c r="H60" s="63">
        <f>H44-H57</f>
        <v>941373.32000000775</v>
      </c>
      <c r="I60" s="63">
        <f t="shared" ref="I60:J60" si="26">I44-I57</f>
        <v>1440627.8027968705</v>
      </c>
      <c r="J60" s="63">
        <f t="shared" si="26"/>
        <v>2382001.122796908</v>
      </c>
      <c r="L60" s="1"/>
      <c r="M60" s="1"/>
    </row>
  </sheetData>
  <mergeCells count="17">
    <mergeCell ref="G5:H5"/>
    <mergeCell ref="B8:D8"/>
    <mergeCell ref="B9:C9"/>
    <mergeCell ref="D10:H10"/>
    <mergeCell ref="D21:H21"/>
    <mergeCell ref="B46:E46"/>
    <mergeCell ref="B48:C48"/>
    <mergeCell ref="D48:E48"/>
    <mergeCell ref="F48:G48"/>
    <mergeCell ref="H48:J48"/>
    <mergeCell ref="L10:N10"/>
    <mergeCell ref="G6:H6"/>
    <mergeCell ref="B35:C35"/>
    <mergeCell ref="D35:E35"/>
    <mergeCell ref="F35:G35"/>
    <mergeCell ref="H35:J35"/>
    <mergeCell ref="B33:E33"/>
  </mergeCells>
  <pageMargins left="0.7" right="0.7" top="0.75" bottom="0.75" header="0.3" footer="0.3"/>
  <pageSetup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tabSelected="1" view="pageBreakPreview" zoomScale="85" zoomScaleNormal="85" zoomScaleSheetLayoutView="85" workbookViewId="0">
      <selection activeCell="L27" sqref="L27:L28"/>
    </sheetView>
  </sheetViews>
  <sheetFormatPr defaultRowHeight="16.5" outlineLevelCol="1" x14ac:dyDescent="0.3"/>
  <cols>
    <col min="1" max="1" width="7.42578125" style="1" customWidth="1"/>
    <col min="2" max="2" width="20.85546875" style="1" customWidth="1"/>
    <col min="3" max="3" width="7" style="15" customWidth="1"/>
    <col min="4" max="6" width="17.7109375" style="1" customWidth="1"/>
    <col min="7" max="7" width="21" style="1" hidden="1" customWidth="1" outlineLevel="1"/>
    <col min="8" max="8" width="17.7109375" style="1" customWidth="1" collapsed="1"/>
    <col min="9" max="9" width="20.140625" style="1" hidden="1" customWidth="1" outlineLevel="1"/>
    <col min="10" max="10" width="4" style="1" customWidth="1" collapsed="1"/>
    <col min="11" max="16384" width="9.140625" style="1"/>
  </cols>
  <sheetData>
    <row r="1" spans="2:9" ht="29.25" customHeight="1" x14ac:dyDescent="0.3"/>
    <row r="2" spans="2:9" x14ac:dyDescent="0.3">
      <c r="B2" s="13" t="str">
        <f>'5 Consumption Demand Details'!B2</f>
        <v>PowerStream 2016 IRM - Draft Rate Order</v>
      </c>
    </row>
    <row r="3" spans="2:9" x14ac:dyDescent="0.3">
      <c r="B3" s="13"/>
    </row>
    <row r="4" spans="2:9" ht="18.75" x14ac:dyDescent="0.3">
      <c r="B4" s="14" t="str">
        <f>CONCATENATE("Foregone Distribution Revenue"," (",Assumptions!B10,")")</f>
        <v>Foregone Distribution Revenue (January - September 2016)</v>
      </c>
    </row>
    <row r="5" spans="2:9" ht="18.75" x14ac:dyDescent="0.3">
      <c r="B5" s="14" t="s">
        <v>43</v>
      </c>
    </row>
    <row r="6" spans="2:9" x14ac:dyDescent="0.3">
      <c r="B6" s="64"/>
    </row>
    <row r="7" spans="2:9" x14ac:dyDescent="0.3">
      <c r="B7" s="129" t="s">
        <v>46</v>
      </c>
      <c r="C7" s="129"/>
    </row>
    <row r="8" spans="2:9" ht="17.25" thickBot="1" x14ac:dyDescent="0.35">
      <c r="B8" s="112"/>
      <c r="C8" s="65"/>
    </row>
    <row r="9" spans="2:9" x14ac:dyDescent="0.3">
      <c r="B9" s="66"/>
      <c r="C9" s="67"/>
      <c r="D9" s="136" t="s">
        <v>36</v>
      </c>
      <c r="E9" s="136"/>
      <c r="F9" s="137" t="s">
        <v>34</v>
      </c>
      <c r="G9" s="136"/>
      <c r="H9" s="136" t="s">
        <v>35</v>
      </c>
      <c r="I9" s="136"/>
    </row>
    <row r="10" spans="2:9" x14ac:dyDescent="0.3">
      <c r="B10" s="68" t="s">
        <v>0</v>
      </c>
      <c r="C10" s="69" t="s">
        <v>1</v>
      </c>
      <c r="D10" s="68" t="s">
        <v>34</v>
      </c>
      <c r="E10" s="68" t="s">
        <v>35</v>
      </c>
      <c r="F10" s="70" t="s">
        <v>45</v>
      </c>
      <c r="G10" s="68" t="s">
        <v>94</v>
      </c>
      <c r="H10" s="68" t="s">
        <v>45</v>
      </c>
      <c r="I10" s="68" t="s">
        <v>94</v>
      </c>
    </row>
    <row r="11" spans="2:9" x14ac:dyDescent="0.3">
      <c r="B11" s="9" t="s">
        <v>3</v>
      </c>
      <c r="C11" s="71" t="s">
        <v>11</v>
      </c>
      <c r="D11" s="58">
        <f t="shared" ref="D11:D17" si="0">SUM(F11:G11)</f>
        <v>12.67</v>
      </c>
      <c r="E11" s="59">
        <f>SUM(H11:I11)</f>
        <v>1.4E-2</v>
      </c>
      <c r="F11" s="72">
        <v>12.67</v>
      </c>
      <c r="G11" s="117"/>
      <c r="H11" s="74">
        <v>1.4E-2</v>
      </c>
      <c r="I11" s="119"/>
    </row>
    <row r="12" spans="2:9" x14ac:dyDescent="0.3">
      <c r="B12" s="9" t="s">
        <v>4</v>
      </c>
      <c r="C12" s="71" t="s">
        <v>11</v>
      </c>
      <c r="D12" s="58">
        <f t="shared" si="0"/>
        <v>26.08</v>
      </c>
      <c r="E12" s="59">
        <f t="shared" ref="E12:E17" si="1">SUM(H12:I12)</f>
        <v>1.3899999999999999E-2</v>
      </c>
      <c r="F12" s="72">
        <v>26.08</v>
      </c>
      <c r="G12" s="117"/>
      <c r="H12" s="74">
        <v>1.3899999999999999E-2</v>
      </c>
      <c r="I12" s="119"/>
    </row>
    <row r="13" spans="2:9" x14ac:dyDescent="0.3">
      <c r="B13" s="9" t="s">
        <v>5</v>
      </c>
      <c r="C13" s="71" t="s">
        <v>10</v>
      </c>
      <c r="D13" s="58">
        <f t="shared" si="0"/>
        <v>138.47999999999999</v>
      </c>
      <c r="E13" s="59">
        <f t="shared" si="1"/>
        <v>3.3277999999999999</v>
      </c>
      <c r="F13" s="72">
        <v>138.47999999999999</v>
      </c>
      <c r="G13" s="117"/>
      <c r="H13" s="74">
        <v>3.3277999999999999</v>
      </c>
      <c r="I13" s="119"/>
    </row>
    <row r="14" spans="2:9" x14ac:dyDescent="0.3">
      <c r="B14" s="9" t="s">
        <v>6</v>
      </c>
      <c r="C14" s="71" t="s">
        <v>10</v>
      </c>
      <c r="D14" s="58">
        <f t="shared" si="0"/>
        <v>5966.29</v>
      </c>
      <c r="E14" s="59">
        <f t="shared" si="1"/>
        <v>1.4158999999999999</v>
      </c>
      <c r="F14" s="72">
        <v>5966.29</v>
      </c>
      <c r="G14" s="117"/>
      <c r="H14" s="74">
        <v>1.4158999999999999</v>
      </c>
      <c r="I14" s="119"/>
    </row>
    <row r="15" spans="2:9" x14ac:dyDescent="0.3">
      <c r="B15" s="9" t="s">
        <v>9</v>
      </c>
      <c r="C15" s="71" t="s">
        <v>11</v>
      </c>
      <c r="D15" s="58">
        <f t="shared" si="0"/>
        <v>7.01</v>
      </c>
      <c r="E15" s="59">
        <f t="shared" si="1"/>
        <v>1.5900000000000001E-2</v>
      </c>
      <c r="F15" s="72">
        <v>7.01</v>
      </c>
      <c r="G15" s="117"/>
      <c r="H15" s="74">
        <v>1.5900000000000001E-2</v>
      </c>
      <c r="I15" s="119"/>
    </row>
    <row r="16" spans="2:9" x14ac:dyDescent="0.3">
      <c r="B16" s="9" t="s">
        <v>7</v>
      </c>
      <c r="C16" s="71" t="s">
        <v>10</v>
      </c>
      <c r="D16" s="58">
        <f t="shared" si="0"/>
        <v>3.41</v>
      </c>
      <c r="E16" s="59">
        <f t="shared" si="1"/>
        <v>8.0172000000000008</v>
      </c>
      <c r="F16" s="72">
        <v>3.41</v>
      </c>
      <c r="G16" s="117"/>
      <c r="H16" s="74">
        <v>8.0172000000000008</v>
      </c>
      <c r="I16" s="119"/>
    </row>
    <row r="17" spans="2:9" ht="17.25" thickBot="1" x14ac:dyDescent="0.35">
      <c r="B17" s="62" t="s">
        <v>8</v>
      </c>
      <c r="C17" s="75" t="s">
        <v>10</v>
      </c>
      <c r="D17" s="76">
        <f t="shared" si="0"/>
        <v>1.26</v>
      </c>
      <c r="E17" s="77">
        <f t="shared" si="1"/>
        <v>6.6546000000000003</v>
      </c>
      <c r="F17" s="78">
        <v>1.26</v>
      </c>
      <c r="G17" s="118"/>
      <c r="H17" s="80">
        <v>6.6546000000000003</v>
      </c>
      <c r="I17" s="120"/>
    </row>
    <row r="20" spans="2:9" x14ac:dyDescent="0.3">
      <c r="B20" s="81" t="s">
        <v>78</v>
      </c>
      <c r="F20" s="121"/>
      <c r="G20" s="11"/>
      <c r="H20" s="11"/>
    </row>
    <row r="21" spans="2:9" ht="17.25" thickBot="1" x14ac:dyDescent="0.35">
      <c r="B21" s="81"/>
    </row>
    <row r="22" spans="2:9" x14ac:dyDescent="0.3">
      <c r="B22" s="66"/>
      <c r="C22" s="67"/>
      <c r="D22" s="136" t="s">
        <v>40</v>
      </c>
      <c r="E22" s="136"/>
      <c r="F22" s="137" t="s">
        <v>34</v>
      </c>
      <c r="G22" s="136"/>
      <c r="H22" s="136" t="s">
        <v>35</v>
      </c>
      <c r="I22" s="136"/>
    </row>
    <row r="23" spans="2:9" x14ac:dyDescent="0.3">
      <c r="B23" s="68" t="s">
        <v>0</v>
      </c>
      <c r="C23" s="69" t="s">
        <v>1</v>
      </c>
      <c r="D23" s="68" t="s">
        <v>34</v>
      </c>
      <c r="E23" s="68" t="s">
        <v>35</v>
      </c>
      <c r="F23" s="70" t="s">
        <v>45</v>
      </c>
      <c r="G23" s="68"/>
      <c r="H23" s="68" t="s">
        <v>45</v>
      </c>
      <c r="I23" s="68"/>
    </row>
    <row r="24" spans="2:9" x14ac:dyDescent="0.3">
      <c r="B24" s="9" t="s">
        <v>3</v>
      </c>
      <c r="C24" s="71" t="s">
        <v>11</v>
      </c>
      <c r="D24" s="58">
        <f>SUM(F24:G24)</f>
        <v>12.9</v>
      </c>
      <c r="E24" s="59">
        <f t="shared" ref="E24:E30" si="2">SUM(H24:I24)</f>
        <v>1.43E-2</v>
      </c>
      <c r="F24" s="72">
        <f>ROUND('[3]3. Rev2Cost_GDPIPI'!$G12,2)</f>
        <v>12.9</v>
      </c>
      <c r="G24" s="73"/>
      <c r="H24" s="74">
        <f>ROUND('[3]3. Rev2Cost_GDPIPI'!$H12,4)</f>
        <v>1.43E-2</v>
      </c>
      <c r="I24" s="74"/>
    </row>
    <row r="25" spans="2:9" x14ac:dyDescent="0.3">
      <c r="B25" s="9" t="s">
        <v>4</v>
      </c>
      <c r="C25" s="71" t="s">
        <v>11</v>
      </c>
      <c r="D25" s="58">
        <f t="shared" ref="D25:D30" si="3">SUM(F25:G25)</f>
        <v>26.55</v>
      </c>
      <c r="E25" s="59">
        <f t="shared" si="2"/>
        <v>1.4200000000000001E-2</v>
      </c>
      <c r="F25" s="72">
        <f>ROUND('[3]3. Rev2Cost_GDPIPI'!$G13,2)</f>
        <v>26.55</v>
      </c>
      <c r="G25" s="73"/>
      <c r="H25" s="74">
        <f>ROUND('[3]3. Rev2Cost_GDPIPI'!$H13,4)</f>
        <v>1.4200000000000001E-2</v>
      </c>
      <c r="I25" s="74"/>
    </row>
    <row r="26" spans="2:9" x14ac:dyDescent="0.3">
      <c r="B26" s="9" t="s">
        <v>5</v>
      </c>
      <c r="C26" s="71" t="s">
        <v>10</v>
      </c>
      <c r="D26" s="58">
        <f t="shared" si="3"/>
        <v>140.97</v>
      </c>
      <c r="E26" s="59">
        <f t="shared" si="2"/>
        <v>3.3877000000000002</v>
      </c>
      <c r="F26" s="72">
        <f>ROUND('[3]3. Rev2Cost_GDPIPI'!$G14,2)</f>
        <v>140.97</v>
      </c>
      <c r="G26" s="73"/>
      <c r="H26" s="74">
        <f>ROUND('[3]3. Rev2Cost_GDPIPI'!$H14,4)</f>
        <v>3.3877000000000002</v>
      </c>
      <c r="I26" s="74"/>
    </row>
    <row r="27" spans="2:9" x14ac:dyDescent="0.3">
      <c r="B27" s="9" t="s">
        <v>6</v>
      </c>
      <c r="C27" s="71" t="s">
        <v>10</v>
      </c>
      <c r="D27" s="58">
        <f t="shared" si="3"/>
        <v>6073.68</v>
      </c>
      <c r="E27" s="59">
        <f t="shared" si="2"/>
        <v>1.4414</v>
      </c>
      <c r="F27" s="72">
        <f>ROUND('[3]3. Rev2Cost_GDPIPI'!$G15,2)</f>
        <v>6073.68</v>
      </c>
      <c r="G27" s="73"/>
      <c r="H27" s="74">
        <f>ROUND('[3]3. Rev2Cost_GDPIPI'!$H15,4)</f>
        <v>1.4414</v>
      </c>
      <c r="I27" s="74"/>
    </row>
    <row r="28" spans="2:9" x14ac:dyDescent="0.3">
      <c r="B28" s="9" t="s">
        <v>9</v>
      </c>
      <c r="C28" s="71" t="s">
        <v>11</v>
      </c>
      <c r="D28" s="58">
        <f t="shared" si="3"/>
        <v>7.14</v>
      </c>
      <c r="E28" s="59">
        <f t="shared" si="2"/>
        <v>1.6199999999999999E-2</v>
      </c>
      <c r="F28" s="72">
        <f>ROUND('[3]3. Rev2Cost_GDPIPI'!$G17,2)</f>
        <v>7.14</v>
      </c>
      <c r="G28" s="73"/>
      <c r="H28" s="74">
        <f>ROUND('[3]3. Rev2Cost_GDPIPI'!$H17,4)</f>
        <v>1.6199999999999999E-2</v>
      </c>
      <c r="I28" s="74"/>
    </row>
    <row r="29" spans="2:9" x14ac:dyDescent="0.3">
      <c r="B29" s="9" t="s">
        <v>7</v>
      </c>
      <c r="C29" s="71" t="s">
        <v>10</v>
      </c>
      <c r="D29" s="58">
        <f t="shared" si="3"/>
        <v>3.47</v>
      </c>
      <c r="E29" s="59">
        <f t="shared" si="2"/>
        <v>8.1615000000000002</v>
      </c>
      <c r="F29" s="72">
        <f>ROUND('[3]3. Rev2Cost_GDPIPI'!$G18,2)</f>
        <v>3.47</v>
      </c>
      <c r="G29" s="73"/>
      <c r="H29" s="74">
        <f>ROUND('[3]3. Rev2Cost_GDPIPI'!$H18,4)</f>
        <v>8.1615000000000002</v>
      </c>
      <c r="I29" s="74"/>
    </row>
    <row r="30" spans="2:9" ht="17.25" thickBot="1" x14ac:dyDescent="0.35">
      <c r="B30" s="62" t="s">
        <v>8</v>
      </c>
      <c r="C30" s="75" t="s">
        <v>10</v>
      </c>
      <c r="D30" s="76">
        <f t="shared" si="3"/>
        <v>1.28</v>
      </c>
      <c r="E30" s="77">
        <f t="shared" si="2"/>
        <v>6.7744</v>
      </c>
      <c r="F30" s="78">
        <f>ROUND('[3]3. Rev2Cost_GDPIPI'!$G19,2)</f>
        <v>1.28</v>
      </c>
      <c r="G30" s="79"/>
      <c r="H30" s="80">
        <f>ROUND('[3]3. Rev2Cost_GDPIPI'!$H19,4)</f>
        <v>6.7744</v>
      </c>
      <c r="I30" s="80"/>
    </row>
    <row r="33" spans="2:2" x14ac:dyDescent="0.3">
      <c r="B33" s="1" t="s">
        <v>44</v>
      </c>
    </row>
    <row r="34" spans="2:2" x14ac:dyDescent="0.3">
      <c r="B34" s="82" t="s">
        <v>100</v>
      </c>
    </row>
    <row r="35" spans="2:2" x14ac:dyDescent="0.3">
      <c r="B35" s="82" t="s">
        <v>99</v>
      </c>
    </row>
    <row r="36" spans="2:2" x14ac:dyDescent="0.3">
      <c r="B36" s="82" t="s">
        <v>101</v>
      </c>
    </row>
    <row r="37" spans="2:2" x14ac:dyDescent="0.3">
      <c r="B37" s="82"/>
    </row>
  </sheetData>
  <mergeCells count="7">
    <mergeCell ref="B7:C7"/>
    <mergeCell ref="H9:I9"/>
    <mergeCell ref="F22:G22"/>
    <mergeCell ref="H22:I22"/>
    <mergeCell ref="F9:G9"/>
    <mergeCell ref="D22:E22"/>
    <mergeCell ref="D9:E9"/>
  </mergeCells>
  <phoneticPr fontId="2" type="noConversion"/>
  <pageMargins left="0.70866141732283472" right="0.70866141732283472" top="0.74803149606299213" bottom="0.74803149606299213" header="0.31496062992125984" footer="0.31496062992125984"/>
  <pageSetup scale="82" orientation="landscape" r:id="rId1"/>
  <headerFooter>
    <oddFooter>&amp;C&amp;9&amp;A</oddFooter>
  </headerFooter>
  <colBreaks count="1" manualBreakCount="1">
    <brk id="9" max="3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34"/>
  <sheetViews>
    <sheetView tabSelected="1" view="pageBreakPreview" zoomScale="85" zoomScaleNormal="85" zoomScaleSheetLayoutView="85" workbookViewId="0">
      <selection activeCell="L27" sqref="L27:L28"/>
    </sheetView>
  </sheetViews>
  <sheetFormatPr defaultRowHeight="16.5" outlineLevelRow="1" x14ac:dyDescent="0.3"/>
  <cols>
    <col min="1" max="1" width="4.7109375" style="11" customWidth="1"/>
    <col min="2" max="2" width="17.42578125" style="11" customWidth="1"/>
    <col min="3" max="3" width="5.85546875" style="11" bestFit="1" customWidth="1"/>
    <col min="4" max="4" width="13.5703125" style="11" customWidth="1"/>
    <col min="5" max="9" width="12" style="11" bestFit="1" customWidth="1"/>
    <col min="10" max="10" width="13.5703125" style="11" bestFit="1" customWidth="1"/>
    <col min="11" max="12" width="12" style="11" bestFit="1" customWidth="1"/>
    <col min="13" max="13" width="12" style="11" customWidth="1"/>
    <col min="14" max="14" width="13.5703125" style="11" bestFit="1" customWidth="1"/>
    <col min="15" max="15" width="14.5703125" style="11" bestFit="1" customWidth="1"/>
    <col min="16" max="16384" width="9.140625" style="11"/>
  </cols>
  <sheetData>
    <row r="3" spans="2:15" x14ac:dyDescent="0.3">
      <c r="B3" s="13" t="str">
        <f>'5 Consumption Demand Details'!B2</f>
        <v>PowerStream 2016 IRM - Draft Rate Order</v>
      </c>
    </row>
    <row r="4" spans="2:15" x14ac:dyDescent="0.3">
      <c r="B4" s="13"/>
    </row>
    <row r="5" spans="2:15" ht="18.75" x14ac:dyDescent="0.3">
      <c r="B5" s="14" t="str">
        <f>CONCATENATE("Foregone Distribution Revenue"," (",Assumptions!B10,")")</f>
        <v>Foregone Distribution Revenue (January - September 2016)</v>
      </c>
    </row>
    <row r="6" spans="2:15" ht="18.75" x14ac:dyDescent="0.3">
      <c r="B6" s="14" t="s">
        <v>33</v>
      </c>
    </row>
    <row r="7" spans="2:15" ht="17.25" thickBot="1" x14ac:dyDescent="0.35"/>
    <row r="8" spans="2:15" ht="17.25" thickBot="1" x14ac:dyDescent="0.35">
      <c r="C8" s="138" t="s">
        <v>74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</row>
    <row r="9" spans="2:15" ht="49.5" x14ac:dyDescent="0.3">
      <c r="B9" s="83" t="s">
        <v>0</v>
      </c>
      <c r="C9" s="83" t="s">
        <v>1</v>
      </c>
      <c r="D9" s="84" t="s">
        <v>76</v>
      </c>
      <c r="E9" s="85" t="str">
        <f>IF(E33&gt;=Assumptions!J4,Assumptions!H2,"")</f>
        <v>January</v>
      </c>
      <c r="F9" s="85" t="str">
        <f>IF(F33&lt;=Assumptions!J6,Assumptions!H3,"")</f>
        <v>February</v>
      </c>
      <c r="G9" s="85" t="str">
        <f>IF(G$33&lt;=Assumptions!$J$6,Assumptions!H$4,"")</f>
        <v>March</v>
      </c>
      <c r="H9" s="85" t="str">
        <f>IF(H$33&lt;=Assumptions!$J$6,Assumptions!H$5,"")</f>
        <v>April</v>
      </c>
      <c r="I9" s="85" t="str">
        <f>IF(I$33&lt;=Assumptions!$J$6,Assumptions!H$6,"")</f>
        <v>May</v>
      </c>
      <c r="J9" s="85" t="str">
        <f>IF(J$33&lt;=Assumptions!$J$6,Assumptions!H$7,"")</f>
        <v>June</v>
      </c>
      <c r="K9" s="85" t="s">
        <v>65</v>
      </c>
      <c r="L9" s="85" t="s">
        <v>20</v>
      </c>
      <c r="M9" s="85" t="s">
        <v>21</v>
      </c>
      <c r="N9" s="85" t="s">
        <v>95</v>
      </c>
      <c r="O9" s="84" t="s">
        <v>97</v>
      </c>
    </row>
    <row r="10" spans="2:15" x14ac:dyDescent="0.3">
      <c r="B10" s="9" t="s">
        <v>3</v>
      </c>
      <c r="C10" s="86" t="s">
        <v>11</v>
      </c>
      <c r="D10" s="87">
        <f>'5 Consumption Demand Details'!P33</f>
        <v>2714896669.8675518</v>
      </c>
      <c r="E10" s="88">
        <f>IF(E$9&lt;&gt;"",'5 Consumption Demand Details'!D33,0)</f>
        <v>237195292.66254774</v>
      </c>
      <c r="F10" s="88">
        <f>IF(F$9&lt;&gt;"",'5 Consumption Demand Details'!E33,0)</f>
        <v>231841533.54007772</v>
      </c>
      <c r="G10" s="88">
        <f>IF(G$9&lt;&gt;"",'5 Consumption Demand Details'!F33,0)</f>
        <v>214369364.41760769</v>
      </c>
      <c r="H10" s="88">
        <f>IF(H$9&lt;&gt;"",'5 Consumption Demand Details'!G33,0)</f>
        <v>182764155.29513767</v>
      </c>
      <c r="I10" s="88">
        <f>IF(I$9&lt;&gt;"",'5 Consumption Demand Details'!H33,0)</f>
        <v>191658666.17266765</v>
      </c>
      <c r="J10" s="88">
        <f>IF(J$9&lt;&gt;"",'5 Consumption Demand Details'!I33,0)</f>
        <v>251270687.05019766</v>
      </c>
      <c r="K10" s="88">
        <f>IF(K$9&lt;&gt;"",'5 Consumption Demand Details'!J33,0)</f>
        <v>315397527.92772764</v>
      </c>
      <c r="L10" s="88">
        <f>IF(L$9&lt;&gt;"",'5 Consumption Demand Details'!K33,0)</f>
        <v>284751248.80525762</v>
      </c>
      <c r="M10" s="88">
        <f>IF(M$9&lt;&gt;"",'5 Consumption Demand Details'!L33,0)</f>
        <v>205487299.6827876</v>
      </c>
      <c r="N10" s="88">
        <f>SUM(E10:M10)</f>
        <v>2114735775.554009</v>
      </c>
      <c r="O10" s="115">
        <f>+D10-N10</f>
        <v>600160894.31354284</v>
      </c>
    </row>
    <row r="11" spans="2:15" x14ac:dyDescent="0.3">
      <c r="B11" s="9" t="s">
        <v>4</v>
      </c>
      <c r="C11" s="86" t="s">
        <v>11</v>
      </c>
      <c r="D11" s="87">
        <f>'5 Consumption Demand Details'!P34</f>
        <v>1038581793.976055</v>
      </c>
      <c r="E11" s="88">
        <f>IF(E$9&lt;&gt;"",'5 Consumption Demand Details'!D34,0)</f>
        <v>94678835.423018157</v>
      </c>
      <c r="F11" s="88">
        <f>IF(F$9&lt;&gt;"",'5 Consumption Demand Details'!E34,0)</f>
        <v>89520395.050742969</v>
      </c>
      <c r="G11" s="88">
        <f>IF(G$9&lt;&gt;"",'5 Consumption Demand Details'!F34,0)</f>
        <v>88235665.688467786</v>
      </c>
      <c r="H11" s="88">
        <f>IF(H$9&lt;&gt;"",'5 Consumption Demand Details'!G34,0)</f>
        <v>77405522.666192561</v>
      </c>
      <c r="I11" s="88">
        <f>IF(I$9&lt;&gt;"",'5 Consumption Demand Details'!H34,0)</f>
        <v>79156506.193917379</v>
      </c>
      <c r="J11" s="88">
        <f>IF(J$9&lt;&gt;"",'5 Consumption Demand Details'!I34,0)</f>
        <v>86208483.451642185</v>
      </c>
      <c r="K11" s="88">
        <f>IF(K$9&lt;&gt;"",'5 Consumption Demand Details'!J34,0)</f>
        <v>97600896.359366998</v>
      </c>
      <c r="L11" s="88">
        <f>IF(L$9&lt;&gt;"",'5 Consumption Demand Details'!K34,0)</f>
        <v>93013519.147091791</v>
      </c>
      <c r="M11" s="88">
        <f>IF(M$9&lt;&gt;"",'5 Consumption Demand Details'!L34,0)</f>
        <v>79322254.744816601</v>
      </c>
      <c r="N11" s="88">
        <f t="shared" ref="N11:N16" si="0">SUM(E11:M11)</f>
        <v>785142078.72525644</v>
      </c>
      <c r="O11" s="115">
        <f t="shared" ref="O11:O16" si="1">+D11-N11</f>
        <v>253439715.25079858</v>
      </c>
    </row>
    <row r="12" spans="2:15" x14ac:dyDescent="0.3">
      <c r="B12" s="9" t="s">
        <v>5</v>
      </c>
      <c r="C12" s="86" t="s">
        <v>10</v>
      </c>
      <c r="D12" s="87">
        <f>'5 Consumption Demand Details'!P35</f>
        <v>12220066.71680773</v>
      </c>
      <c r="E12" s="88">
        <f>IF(E$9&lt;&gt;"",'5 Consumption Demand Details'!D35,0)</f>
        <v>1032741.7239720122</v>
      </c>
      <c r="F12" s="88">
        <f>IF(F$9&lt;&gt;"",'5 Consumption Demand Details'!E35,0)</f>
        <v>984263.61940072151</v>
      </c>
      <c r="G12" s="88">
        <f>IF(G$9&lt;&gt;"",'5 Consumption Demand Details'!F35,0)</f>
        <v>1013192.9016628152</v>
      </c>
      <c r="H12" s="88">
        <f>IF(H$9&lt;&gt;"",'5 Consumption Demand Details'!G35,0)</f>
        <v>963825.85012842028</v>
      </c>
      <c r="I12" s="88">
        <f>IF(I$9&lt;&gt;"",'5 Consumption Demand Details'!H35,0)</f>
        <v>995066.85117116186</v>
      </c>
      <c r="J12" s="88">
        <f>IF(J$9&lt;&gt;"",'5 Consumption Demand Details'!I35,0)</f>
        <v>1069652.4577993623</v>
      </c>
      <c r="K12" s="88">
        <f>IF(K$9&lt;&gt;"",'5 Consumption Demand Details'!J35,0)</f>
        <v>1111139.6746939165</v>
      </c>
      <c r="L12" s="88">
        <f>IF(L$9&lt;&gt;"",'5 Consumption Demand Details'!K35,0)</f>
        <v>1082677.0121660703</v>
      </c>
      <c r="M12" s="88">
        <f>IF(M$9&lt;&gt;"",'5 Consumption Demand Details'!L35,0)</f>
        <v>986640.37950314034</v>
      </c>
      <c r="N12" s="88">
        <f t="shared" si="0"/>
        <v>9239200.4704976194</v>
      </c>
      <c r="O12" s="115">
        <f t="shared" si="1"/>
        <v>2980866.2463101111</v>
      </c>
    </row>
    <row r="13" spans="2:15" x14ac:dyDescent="0.3">
      <c r="B13" s="9" t="s">
        <v>6</v>
      </c>
      <c r="C13" s="86" t="s">
        <v>10</v>
      </c>
      <c r="D13" s="87">
        <f>'5 Consumption Demand Details'!P36</f>
        <v>150806.6559904615</v>
      </c>
      <c r="E13" s="88">
        <f>IF(E$9&lt;&gt;"",'5 Consumption Demand Details'!D36,0)</f>
        <v>12946.131546197867</v>
      </c>
      <c r="F13" s="88">
        <f>IF(F$9&lt;&gt;"",'5 Consumption Demand Details'!E36,0)</f>
        <v>11843.700434512777</v>
      </c>
      <c r="G13" s="88">
        <f>IF(G$9&lt;&gt;"",'5 Consumption Demand Details'!F36,0)</f>
        <v>12555.631519807457</v>
      </c>
      <c r="H13" s="88">
        <f>IF(H$9&lt;&gt;"",'5 Consumption Demand Details'!G36,0)</f>
        <v>12021.753883191306</v>
      </c>
      <c r="I13" s="88">
        <f>IF(I$9&lt;&gt;"",'5 Consumption Demand Details'!H36,0)</f>
        <v>12598.536494604354</v>
      </c>
      <c r="J13" s="88">
        <f>IF(J$9&lt;&gt;"",'5 Consumption Demand Details'!I36,0)</f>
        <v>12593.399970085015</v>
      </c>
      <c r="K13" s="88">
        <f>IF(K$9&lt;&gt;"",'5 Consumption Demand Details'!J36,0)</f>
        <v>13044.611844299201</v>
      </c>
      <c r="L13" s="88">
        <f>IF(L$9&lt;&gt;"",'5 Consumption Demand Details'!K36,0)</f>
        <v>12980.102521300847</v>
      </c>
      <c r="M13" s="88">
        <f>IF(M$9&lt;&gt;"",'5 Consumption Demand Details'!L36,0)</f>
        <v>12292.325899578884</v>
      </c>
      <c r="N13" s="88">
        <f t="shared" si="0"/>
        <v>112876.1941135777</v>
      </c>
      <c r="O13" s="115">
        <f t="shared" si="1"/>
        <v>37930.461876883797</v>
      </c>
    </row>
    <row r="14" spans="2:15" x14ac:dyDescent="0.3">
      <c r="B14" s="9" t="s">
        <v>9</v>
      </c>
      <c r="C14" s="86" t="s">
        <v>11</v>
      </c>
      <c r="D14" s="87">
        <f>'5 Consumption Demand Details'!P37</f>
        <v>14169747.534494311</v>
      </c>
      <c r="E14" s="88">
        <f>IF(E$9&lt;&gt;"",'5 Consumption Demand Details'!D37,0)</f>
        <v>1190724.044133232</v>
      </c>
      <c r="F14" s="88">
        <f>IF(F$9&lt;&gt;"",'5 Consumption Demand Details'!E37,0)</f>
        <v>1064349.0922703699</v>
      </c>
      <c r="G14" s="88">
        <f>IF(G$9&lt;&gt;"",'5 Consumption Demand Details'!F37,0)</f>
        <v>1254655.9925893045</v>
      </c>
      <c r="H14" s="88">
        <f>IF(H$9&lt;&gt;"",'5 Consumption Demand Details'!G37,0)</f>
        <v>1123161.0698357355</v>
      </c>
      <c r="I14" s="88">
        <f>IF(I$9&lt;&gt;"",'5 Consumption Demand Details'!H37,0)</f>
        <v>1209354.9220261863</v>
      </c>
      <c r="J14" s="88">
        <f>IF(J$9&lt;&gt;"",'5 Consumption Demand Details'!I37,0)</f>
        <v>1197659.5701655031</v>
      </c>
      <c r="K14" s="88">
        <f>IF(K$9&lt;&gt;"",'5 Consumption Demand Details'!J37,0)</f>
        <v>1219141.3855901479</v>
      </c>
      <c r="L14" s="88">
        <f>IF(L$9&lt;&gt;"",'5 Consumption Demand Details'!K37,0)</f>
        <v>1192654.8764193545</v>
      </c>
      <c r="M14" s="88">
        <f>IF(M$9&lt;&gt;"",'5 Consumption Demand Details'!L37,0)</f>
        <v>1105920.4507972519</v>
      </c>
      <c r="N14" s="88">
        <f t="shared" si="0"/>
        <v>10557621.403827086</v>
      </c>
      <c r="O14" s="115">
        <f t="shared" si="1"/>
        <v>3612126.1306672245</v>
      </c>
    </row>
    <row r="15" spans="2:15" x14ac:dyDescent="0.3">
      <c r="B15" s="9" t="s">
        <v>7</v>
      </c>
      <c r="C15" s="86" t="s">
        <v>10</v>
      </c>
      <c r="D15" s="87">
        <f>'5 Consumption Demand Details'!P38</f>
        <v>975.28847963248609</v>
      </c>
      <c r="E15" s="88">
        <f>IF(E$9&lt;&gt;"",'5 Consumption Demand Details'!D38,0)</f>
        <v>85.939222910815445</v>
      </c>
      <c r="F15" s="88">
        <f>IF(F$9&lt;&gt;"",'5 Consumption Demand Details'!E38,0)</f>
        <v>76.312477027089031</v>
      </c>
      <c r="G15" s="88">
        <f>IF(G$9&lt;&gt;"",'5 Consumption Demand Details'!F38,0)</f>
        <v>88.100931521642494</v>
      </c>
      <c r="H15" s="88">
        <f>IF(H$9&lt;&gt;"",'5 Consumption Demand Details'!G38,0)</f>
        <v>76.295370154986671</v>
      </c>
      <c r="I15" s="88">
        <f>IF(I$9&lt;&gt;"",'5 Consumption Demand Details'!H38,0)</f>
        <v>84.641512469629106</v>
      </c>
      <c r="J15" s="88">
        <f>IF(J$9&lt;&gt;"",'5 Consumption Demand Details'!I38,0)</f>
        <v>76.281604120813668</v>
      </c>
      <c r="K15" s="88">
        <f>IF(K$9&lt;&gt;"",'5 Consumption Demand Details'!J38,0)</f>
        <v>82.625578493193032</v>
      </c>
      <c r="L15" s="88">
        <f>IF(L$9&lt;&gt;"",'5 Consumption Demand Details'!K38,0)</f>
        <v>80.853704211336847</v>
      </c>
      <c r="M15" s="88">
        <f>IF(M$9&lt;&gt;"",'5 Consumption Demand Details'!L38,0)</f>
        <v>76.265827511789652</v>
      </c>
      <c r="N15" s="88">
        <f t="shared" si="0"/>
        <v>727.31622842129605</v>
      </c>
      <c r="O15" s="115">
        <f t="shared" si="1"/>
        <v>247.97225121119004</v>
      </c>
    </row>
    <row r="16" spans="2:15" ht="17.25" thickBot="1" x14ac:dyDescent="0.35">
      <c r="B16" s="62" t="s">
        <v>8</v>
      </c>
      <c r="C16" s="89" t="s">
        <v>10</v>
      </c>
      <c r="D16" s="90">
        <f>'5 Consumption Demand Details'!P39</f>
        <v>133270.0743937137</v>
      </c>
      <c r="E16" s="91">
        <f>IF(E$9&lt;&gt;"",'5 Consumption Demand Details'!D39,0)</f>
        <v>14758.035731606758</v>
      </c>
      <c r="F16" s="91">
        <f>IF(F$9&lt;&gt;"",'5 Consumption Demand Details'!E39,0)</f>
        <v>12654.616688954469</v>
      </c>
      <c r="G16" s="91">
        <f>IF(G$9&lt;&gt;"",'5 Consumption Demand Details'!F39,0)</f>
        <v>10129.487341644863</v>
      </c>
      <c r="H16" s="91">
        <f>IF(H$9&lt;&gt;"",'5 Consumption Demand Details'!G39,0)</f>
        <v>12490.586253300253</v>
      </c>
      <c r="I16" s="91">
        <f>IF(I$9&lt;&gt;"",'5 Consumption Demand Details'!H39,0)</f>
        <v>9482.645853098209</v>
      </c>
      <c r="J16" s="91">
        <f>IF(J$9&lt;&gt;"",'5 Consumption Demand Details'!I39,0)</f>
        <v>6682.8987838477988</v>
      </c>
      <c r="K16" s="91">
        <f>IF(K$9&lt;&gt;"",'5 Consumption Demand Details'!J39,0)</f>
        <v>6497.7427111437219</v>
      </c>
      <c r="L16" s="91">
        <f>IF(L$9&lt;&gt;"",'5 Consumption Demand Details'!K39,0)</f>
        <v>9836.1646285661573</v>
      </c>
      <c r="M16" s="91">
        <f>IF(M$9&lt;&gt;"",'5 Consumption Demand Details'!L39,0)</f>
        <v>10003.358130457951</v>
      </c>
      <c r="N16" s="91">
        <f t="shared" si="0"/>
        <v>92535.536122620179</v>
      </c>
      <c r="O16" s="91">
        <f t="shared" si="1"/>
        <v>40734.538271093523</v>
      </c>
    </row>
    <row r="18" spans="2:15" hidden="1" outlineLevel="1" x14ac:dyDescent="0.3">
      <c r="B18" s="11" t="s">
        <v>12</v>
      </c>
      <c r="D18" s="92">
        <f>SUM(D10:D16)-'5 Consumption Demand Details'!P40-'5 Consumption Demand Details'!P41</f>
        <v>4.6007335186004639E-7</v>
      </c>
      <c r="E18" s="92">
        <f>SUM(E10:E16)-'5 Consumption Demand Details'!D40-'5 Consumption Demand Details'!D41</f>
        <v>3.9814040064811707E-8</v>
      </c>
      <c r="F18" s="92">
        <f>SUM(F10:F16)-'5 Consumption Demand Details'!E40-'5 Consumption Demand Details'!E41</f>
        <v>4.8661604523658752E-8</v>
      </c>
      <c r="G18" s="92">
        <f>SUM(G10:G16)-'5 Consumption Demand Details'!F40-'5 Consumption Demand Details'!F41</f>
        <v>0</v>
      </c>
      <c r="H18" s="92">
        <f>SUM(H10:H16)-'5 Consumption Demand Details'!G40-'5 Consumption Demand Details'!G41</f>
        <v>-2.4680048227310181E-8</v>
      </c>
      <c r="I18" s="92">
        <f>SUM(I10:I16)-'5 Consumption Demand Details'!H40-'5 Consumption Demand Details'!H41</f>
        <v>-2.9685907065868378E-8</v>
      </c>
      <c r="J18" s="92">
        <f>SUM(J10:J16)-'5 Consumption Demand Details'!I40-'5 Consumption Demand Details'!I41</f>
        <v>4.7264620661735535E-8</v>
      </c>
      <c r="K18" s="92">
        <f>SUM(K10:K16)-'5 Consumption Demand Details'!J40-'5 Consumption Demand Details'!J41</f>
        <v>4.0279701352119446E-8</v>
      </c>
      <c r="L18" s="92">
        <f>SUM(L10:L16)-'5 Consumption Demand Details'!K40-'5 Consumption Demand Details'!K41</f>
        <v>1.3969838619232178E-8</v>
      </c>
      <c r="M18" s="92">
        <f>SUM(M10:M16)-'5 Consumption Demand Details'!L40-'5 Consumption Demand Details'!L41</f>
        <v>3.457535058259964E-8</v>
      </c>
    </row>
    <row r="19" spans="2:15" ht="17.25" collapsed="1" thickBot="1" x14ac:dyDescent="0.35">
      <c r="D19" s="92"/>
      <c r="E19" s="92"/>
      <c r="F19" s="92"/>
      <c r="G19" s="92"/>
    </row>
    <row r="20" spans="2:15" ht="17.25" thickBot="1" x14ac:dyDescent="0.35">
      <c r="C20" s="138" t="s">
        <v>75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</row>
    <row r="21" spans="2:15" ht="33" x14ac:dyDescent="0.3">
      <c r="B21" s="83" t="s">
        <v>0</v>
      </c>
      <c r="C21" s="83"/>
      <c r="D21" s="84" t="s">
        <v>77</v>
      </c>
      <c r="E21" s="85" t="str">
        <f>IF(E$33&gt;=Assumptions!$J$4,Assumptions!H$2,"")</f>
        <v>January</v>
      </c>
      <c r="F21" s="85" t="str">
        <f>IF(F$33&lt;=Assumptions!$J$6,Assumptions!H$3,"")</f>
        <v>February</v>
      </c>
      <c r="G21" s="85" t="str">
        <f>IF(G$33&lt;=Assumptions!$J$6,Assumptions!H$4,"")</f>
        <v>March</v>
      </c>
      <c r="H21" s="85" t="str">
        <f>IF(H$33&lt;=Assumptions!$J$6,Assumptions!H$5,"")</f>
        <v>April</v>
      </c>
      <c r="I21" s="85" t="str">
        <f>IF(I$33&lt;=Assumptions!$J$6,Assumptions!H$6,"")</f>
        <v>May</v>
      </c>
      <c r="J21" s="85" t="str">
        <f>IF(J$33&lt;=Assumptions!$J$6,Assumptions!H$7,"")</f>
        <v>June</v>
      </c>
      <c r="K21" s="85" t="s">
        <v>65</v>
      </c>
      <c r="L21" s="85" t="s">
        <v>66</v>
      </c>
      <c r="M21" s="85" t="s">
        <v>67</v>
      </c>
      <c r="N21" s="85" t="s">
        <v>96</v>
      </c>
      <c r="O21" s="84" t="str">
        <f>O9</f>
        <v>Oct-Dec
2016</v>
      </c>
    </row>
    <row r="22" spans="2:15" x14ac:dyDescent="0.3">
      <c r="B22" s="9" t="s">
        <v>3</v>
      </c>
      <c r="C22" s="86"/>
      <c r="D22" s="87">
        <f>'4. Customer Count Details'!O33</f>
        <v>325344.75</v>
      </c>
      <c r="E22" s="88">
        <f>IF(E$21&lt;&gt;"",'4. Customer Count Details'!C33,0)</f>
        <v>323203</v>
      </c>
      <c r="F22" s="88">
        <f>IF(F$21&lt;&gt;"",'4. Customer Count Details'!D33,0)</f>
        <v>323588</v>
      </c>
      <c r="G22" s="88">
        <f>IF(G$21&lt;&gt;"",'4. Customer Count Details'!E33,0)</f>
        <v>323974</v>
      </c>
      <c r="H22" s="88">
        <f>IF(H$21&lt;&gt;"",'4. Customer Count Details'!F33,0)</f>
        <v>324362</v>
      </c>
      <c r="I22" s="88">
        <f>IF(I$21&lt;&gt;"",'4. Customer Count Details'!G33,0)</f>
        <v>324752</v>
      </c>
      <c r="J22" s="88">
        <f>IF(J$21&lt;&gt;"",'4. Customer Count Details'!H33,0)</f>
        <v>325142</v>
      </c>
      <c r="K22" s="88">
        <f>IF(K$21&lt;&gt;"",'4. Customer Count Details'!I33,0)</f>
        <v>325534</v>
      </c>
      <c r="L22" s="88">
        <f>IF(L$21&lt;&gt;"",'4. Customer Count Details'!J33,0)</f>
        <v>325927</v>
      </c>
      <c r="M22" s="88">
        <f>IF(M$21&lt;&gt;"",'4. Customer Count Details'!K33,0)</f>
        <v>326321</v>
      </c>
      <c r="N22" s="88">
        <f>AVERAGE(E22:M22)</f>
        <v>324755.88888888888</v>
      </c>
      <c r="O22" s="88">
        <f>AVERAGE('4. Customer Count Details'!L33:N33)</f>
        <v>327111.33333333331</v>
      </c>
    </row>
    <row r="23" spans="2:15" x14ac:dyDescent="0.3">
      <c r="B23" s="9" t="s">
        <v>4</v>
      </c>
      <c r="C23" s="86"/>
      <c r="D23" s="87">
        <f>'4. Customer Count Details'!O34</f>
        <v>32401.833333333332</v>
      </c>
      <c r="E23" s="88">
        <f>IF(E$21&lt;&gt;"",'4. Customer Count Details'!C34,0)</f>
        <v>32233</v>
      </c>
      <c r="F23" s="88">
        <f>IF(F$21&lt;&gt;"",'4. Customer Count Details'!D34,0)</f>
        <v>32263</v>
      </c>
      <c r="G23" s="88">
        <f>IF(G$21&lt;&gt;"",'4. Customer Count Details'!E34,0)</f>
        <v>32294</v>
      </c>
      <c r="H23" s="88">
        <f>IF(H$21&lt;&gt;"",'4. Customer Count Details'!F34,0)</f>
        <v>32324</v>
      </c>
      <c r="I23" s="88">
        <f>IF(I$21&lt;&gt;"",'4. Customer Count Details'!G34,0)</f>
        <v>32355</v>
      </c>
      <c r="J23" s="88">
        <f>IF(J$21&lt;&gt;"",'4. Customer Count Details'!H34,0)</f>
        <v>32386</v>
      </c>
      <c r="K23" s="88">
        <f>IF(K$21&lt;&gt;"",'4. Customer Count Details'!I34,0)</f>
        <v>32417</v>
      </c>
      <c r="L23" s="88">
        <f>IF(L$21&lt;&gt;"",'4. Customer Count Details'!J34,0)</f>
        <v>32448</v>
      </c>
      <c r="M23" s="88">
        <f>IF(M$21&lt;&gt;"",'4. Customer Count Details'!K34,0)</f>
        <v>32479</v>
      </c>
      <c r="N23" s="88">
        <f t="shared" ref="N23:N28" si="2">AVERAGE(E23:M23)</f>
        <v>32355.444444444445</v>
      </c>
      <c r="O23" s="88">
        <f>AVERAGE('4. Customer Count Details'!L34:N34)</f>
        <v>32541</v>
      </c>
    </row>
    <row r="24" spans="2:15" x14ac:dyDescent="0.3">
      <c r="B24" s="9" t="s">
        <v>5</v>
      </c>
      <c r="C24" s="86"/>
      <c r="D24" s="87">
        <f>'4. Customer Count Details'!O35</f>
        <v>4964.666666666667</v>
      </c>
      <c r="E24" s="88">
        <f>IF(E$21&lt;&gt;"",'4. Customer Count Details'!C35,0)</f>
        <v>4910</v>
      </c>
      <c r="F24" s="88">
        <f>IF(F$21&lt;&gt;"",'4. Customer Count Details'!D35,0)</f>
        <v>4919</v>
      </c>
      <c r="G24" s="88">
        <f>IF(G$21&lt;&gt;"",'4. Customer Count Details'!E35,0)</f>
        <v>4930</v>
      </c>
      <c r="H24" s="88">
        <f>IF(H$21&lt;&gt;"",'4. Customer Count Details'!F35,0)</f>
        <v>4939</v>
      </c>
      <c r="I24" s="88">
        <f>IF(I$21&lt;&gt;"",'4. Customer Count Details'!G35,0)</f>
        <v>4949</v>
      </c>
      <c r="J24" s="88">
        <f>IF(J$21&lt;&gt;"",'4. Customer Count Details'!H35,0)</f>
        <v>4960</v>
      </c>
      <c r="K24" s="88">
        <f>IF(K$21&lt;&gt;"",'4. Customer Count Details'!I35,0)</f>
        <v>4969</v>
      </c>
      <c r="L24" s="88">
        <f>IF(L$21&lt;&gt;"",'4. Customer Count Details'!J35,0)</f>
        <v>4980</v>
      </c>
      <c r="M24" s="88">
        <f>IF(M$21&lt;&gt;"",'4. Customer Count Details'!K35,0)</f>
        <v>4990</v>
      </c>
      <c r="N24" s="88">
        <f t="shared" si="2"/>
        <v>4949.5555555555557</v>
      </c>
      <c r="O24" s="88">
        <f>AVERAGE('4. Customer Count Details'!L35:N35)</f>
        <v>5010</v>
      </c>
    </row>
    <row r="25" spans="2:15" x14ac:dyDescent="0.3">
      <c r="B25" s="9" t="s">
        <v>6</v>
      </c>
      <c r="C25" s="86"/>
      <c r="D25" s="87">
        <f>'4. Customer Count Details'!O36</f>
        <v>2</v>
      </c>
      <c r="E25" s="88">
        <f>IF(E$21&lt;&gt;"",'4. Customer Count Details'!C36,0)</f>
        <v>2</v>
      </c>
      <c r="F25" s="88">
        <f>IF(F$21&lt;&gt;"",'4. Customer Count Details'!D36,0)</f>
        <v>2</v>
      </c>
      <c r="G25" s="88">
        <f>IF(G$21&lt;&gt;"",'4. Customer Count Details'!E36,0)</f>
        <v>2</v>
      </c>
      <c r="H25" s="88">
        <f>IF(H$21&lt;&gt;"",'4. Customer Count Details'!F36,0)</f>
        <v>2</v>
      </c>
      <c r="I25" s="88">
        <f>IF(I$21&lt;&gt;"",'4. Customer Count Details'!G36,0)</f>
        <v>2</v>
      </c>
      <c r="J25" s="88">
        <f>IF(J$21&lt;&gt;"",'4. Customer Count Details'!H36,0)</f>
        <v>2</v>
      </c>
      <c r="K25" s="88">
        <f>IF(K$21&lt;&gt;"",'4. Customer Count Details'!I36,0)</f>
        <v>2</v>
      </c>
      <c r="L25" s="88">
        <f>IF(L$21&lt;&gt;"",'4. Customer Count Details'!J36,0)</f>
        <v>2</v>
      </c>
      <c r="M25" s="88">
        <f>IF(M$21&lt;&gt;"",'4. Customer Count Details'!K36,0)</f>
        <v>2</v>
      </c>
      <c r="N25" s="88">
        <f t="shared" si="2"/>
        <v>2</v>
      </c>
      <c r="O25" s="88">
        <f>AVERAGE('4. Customer Count Details'!L36:N36)</f>
        <v>2</v>
      </c>
    </row>
    <row r="26" spans="2:15" x14ac:dyDescent="0.3">
      <c r="B26" s="9" t="s">
        <v>9</v>
      </c>
      <c r="C26" s="86"/>
      <c r="D26" s="87">
        <f>'4. Customer Count Details'!O37</f>
        <v>2976.25</v>
      </c>
      <c r="E26" s="88">
        <f>IF(E$21&lt;&gt;"",'4. Customer Count Details'!C37,0)</f>
        <v>2948</v>
      </c>
      <c r="F26" s="88">
        <f>IF(F$21&lt;&gt;"",'4. Customer Count Details'!D37,0)</f>
        <v>2953</v>
      </c>
      <c r="G26" s="88">
        <f>IF(G$21&lt;&gt;"",'4. Customer Count Details'!E37,0)</f>
        <v>2958</v>
      </c>
      <c r="H26" s="88">
        <f>IF(H$21&lt;&gt;"",'4. Customer Count Details'!F37,0)</f>
        <v>2963</v>
      </c>
      <c r="I26" s="88">
        <f>IF(I$21&lt;&gt;"",'4. Customer Count Details'!G37,0)</f>
        <v>2968</v>
      </c>
      <c r="J26" s="88">
        <f>IF(J$21&lt;&gt;"",'4. Customer Count Details'!H37,0)</f>
        <v>2973</v>
      </c>
      <c r="K26" s="88">
        <f>IF(K$21&lt;&gt;"",'4. Customer Count Details'!I37,0)</f>
        <v>2978</v>
      </c>
      <c r="L26" s="88">
        <f>IF(L$21&lt;&gt;"",'4. Customer Count Details'!J37,0)</f>
        <v>2984</v>
      </c>
      <c r="M26" s="88">
        <f>IF(M$21&lt;&gt;"",'4. Customer Count Details'!K37,0)</f>
        <v>2989</v>
      </c>
      <c r="N26" s="88">
        <f t="shared" si="2"/>
        <v>2968.2222222222222</v>
      </c>
      <c r="O26" s="88">
        <f>AVERAGE('4. Customer Count Details'!L37:N37)</f>
        <v>3000.3333333333335</v>
      </c>
    </row>
    <row r="27" spans="2:15" x14ac:dyDescent="0.3">
      <c r="B27" s="9" t="s">
        <v>7</v>
      </c>
      <c r="C27" s="86"/>
      <c r="D27" s="87">
        <f>'4. Customer Count Details'!O38</f>
        <v>208.5</v>
      </c>
      <c r="E27" s="88">
        <f>IF(E$21&lt;&gt;"",'4. Customer Count Details'!C38,0)</f>
        <v>209</v>
      </c>
      <c r="F27" s="88">
        <f>IF(F$21&lt;&gt;"",'4. Customer Count Details'!D38,0)</f>
        <v>209</v>
      </c>
      <c r="G27" s="88">
        <f>IF(G$21&lt;&gt;"",'4. Customer Count Details'!E38,0)</f>
        <v>209</v>
      </c>
      <c r="H27" s="88">
        <f>IF(H$21&lt;&gt;"",'4. Customer Count Details'!F38,0)</f>
        <v>209</v>
      </c>
      <c r="I27" s="88">
        <f>IF(I$21&lt;&gt;"",'4. Customer Count Details'!G38,0)</f>
        <v>209</v>
      </c>
      <c r="J27" s="88">
        <f>IF(J$21&lt;&gt;"",'4. Customer Count Details'!H38,0)</f>
        <v>209</v>
      </c>
      <c r="K27" s="88">
        <f>IF(K$21&lt;&gt;"",'4. Customer Count Details'!I38,0)</f>
        <v>209</v>
      </c>
      <c r="L27" s="88">
        <f>IF(L$21&lt;&gt;"",'4. Customer Count Details'!J38,0)</f>
        <v>209</v>
      </c>
      <c r="M27" s="88">
        <f>IF(M$21&lt;&gt;"",'4. Customer Count Details'!K38,0)</f>
        <v>209</v>
      </c>
      <c r="N27" s="88">
        <f t="shared" si="2"/>
        <v>209</v>
      </c>
      <c r="O27" s="88">
        <f>AVERAGE('4. Customer Count Details'!L38:N38)</f>
        <v>207</v>
      </c>
    </row>
    <row r="28" spans="2:15" ht="17.25" thickBot="1" x14ac:dyDescent="0.35">
      <c r="B28" s="62" t="s">
        <v>8</v>
      </c>
      <c r="C28" s="89"/>
      <c r="D28" s="90">
        <f>'4. Customer Count Details'!O39</f>
        <v>88126.083333333328</v>
      </c>
      <c r="E28" s="91">
        <f>IF(E$21&lt;&gt;"",'4. Customer Count Details'!C39,0)</f>
        <v>87400</v>
      </c>
      <c r="F28" s="91">
        <f>IF(F$21&lt;&gt;"",'4. Customer Count Details'!D39,0)</f>
        <v>87531</v>
      </c>
      <c r="G28" s="91">
        <f>IF(G$21&lt;&gt;"",'4. Customer Count Details'!E39,0)</f>
        <v>87662</v>
      </c>
      <c r="H28" s="91">
        <f>IF(H$21&lt;&gt;"",'4. Customer Count Details'!F39,0)</f>
        <v>87794</v>
      </c>
      <c r="I28" s="91">
        <f>IF(I$21&lt;&gt;"",'4. Customer Count Details'!G39,0)</f>
        <v>87926</v>
      </c>
      <c r="J28" s="91">
        <f>IF(J$21&lt;&gt;"",'4. Customer Count Details'!H39,0)</f>
        <v>88058</v>
      </c>
      <c r="K28" s="91">
        <f>IF(K$21&lt;&gt;"",'4. Customer Count Details'!I39,0)</f>
        <v>88191</v>
      </c>
      <c r="L28" s="91">
        <f>IF(L$21&lt;&gt;"",'4. Customer Count Details'!J39,0)</f>
        <v>88324</v>
      </c>
      <c r="M28" s="91">
        <f>IF(M$21&lt;&gt;"",'4. Customer Count Details'!K39,0)</f>
        <v>88457</v>
      </c>
      <c r="N28" s="91">
        <f t="shared" si="2"/>
        <v>87927</v>
      </c>
      <c r="O28" s="91">
        <f>AVERAGE('4. Customer Count Details'!L39:N39)</f>
        <v>88723.333333333328</v>
      </c>
    </row>
    <row r="30" spans="2:15" hidden="1" outlineLevel="1" x14ac:dyDescent="0.3">
      <c r="B30" s="11" t="s">
        <v>12</v>
      </c>
      <c r="D30" s="92">
        <f>SUM(D22:D28)-'4. Customer Count Details'!O40</f>
        <v>0</v>
      </c>
      <c r="E30" s="92">
        <f>SUM(E22:E28)-'4. Customer Count Details'!C40</f>
        <v>0</v>
      </c>
      <c r="F30" s="92">
        <f>SUM(F22:F28)-'4. Customer Count Details'!D40</f>
        <v>0</v>
      </c>
      <c r="G30" s="92">
        <f>SUM(G22:G28)-'4. Customer Count Details'!E40</f>
        <v>0</v>
      </c>
      <c r="H30" s="92">
        <f>SUM(H22:H28)-'4. Customer Count Details'!F40</f>
        <v>0</v>
      </c>
      <c r="I30" s="92">
        <f>SUM(I22:I28)-'4. Customer Count Details'!G40</f>
        <v>0</v>
      </c>
      <c r="J30" s="92">
        <f>SUM(J22:J28)-'4. Customer Count Details'!H40</f>
        <v>0</v>
      </c>
      <c r="K30" s="92">
        <f>SUM(K22:K28)-'4. Customer Count Details'!I40</f>
        <v>0</v>
      </c>
      <c r="L30" s="92">
        <f>SUM(L22:L28)-'4. Customer Count Details'!J40</f>
        <v>0</v>
      </c>
      <c r="M30" s="92">
        <f>SUM(M22:M28)-'4. Customer Count Details'!K40</f>
        <v>0</v>
      </c>
    </row>
    <row r="31" spans="2:15" collapsed="1" x14ac:dyDescent="0.3"/>
    <row r="33" spans="5:10" s="93" customFormat="1" ht="13.5" hidden="1" outlineLevel="1" x14ac:dyDescent="0.25">
      <c r="E33" s="93">
        <v>1</v>
      </c>
      <c r="F33" s="93">
        <v>2</v>
      </c>
      <c r="G33" s="93">
        <v>3</v>
      </c>
      <c r="H33" s="93">
        <v>4</v>
      </c>
      <c r="I33" s="93">
        <v>5</v>
      </c>
      <c r="J33" s="93">
        <v>6</v>
      </c>
    </row>
    <row r="34" spans="5:10" collapsed="1" x14ac:dyDescent="0.3">
      <c r="E34" s="93"/>
      <c r="F34" s="93"/>
      <c r="G34" s="93"/>
      <c r="H34" s="93"/>
      <c r="I34" s="93"/>
    </row>
  </sheetData>
  <mergeCells count="2">
    <mergeCell ref="C8:N8"/>
    <mergeCell ref="C20:O20"/>
  </mergeCells>
  <pageMargins left="0.11811023622047245" right="0.11811023622047245" top="0.74803149606299213" bottom="0.74803149606299213" header="0.31496062992125984" footer="0.31496062992125984"/>
  <pageSetup scale="77" orientation="landscape" r:id="rId1"/>
  <headerFooter>
    <oddFooter>&amp;C&amp;9&amp;A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tabSelected="1" view="pageBreakPreview" zoomScale="85" zoomScaleNormal="70" zoomScaleSheetLayoutView="85" workbookViewId="0">
      <selection activeCell="L27" sqref="L27:L28"/>
    </sheetView>
  </sheetViews>
  <sheetFormatPr defaultRowHeight="16.5" outlineLevelRow="1" x14ac:dyDescent="0.3"/>
  <cols>
    <col min="1" max="1" width="3.85546875" style="1" customWidth="1"/>
    <col min="2" max="2" width="16.7109375" style="1" customWidth="1"/>
    <col min="3" max="3" width="13.28515625" style="1" bestFit="1" customWidth="1"/>
    <col min="4" max="4" width="12.7109375" style="1" bestFit="1" customWidth="1"/>
    <col min="5" max="11" width="13.28515625" style="1" bestFit="1" customWidth="1"/>
    <col min="12" max="12" width="12.7109375" style="1" bestFit="1" customWidth="1"/>
    <col min="13" max="14" width="13.28515625" style="1" bestFit="1" customWidth="1"/>
    <col min="15" max="15" width="15.85546875" style="1" customWidth="1"/>
    <col min="16" max="16384" width="9.140625" style="1"/>
  </cols>
  <sheetData>
    <row r="1" spans="2:15" ht="29.25" customHeight="1" x14ac:dyDescent="0.3">
      <c r="N1" s="11"/>
      <c r="O1" s="94"/>
    </row>
    <row r="2" spans="2:15" x14ac:dyDescent="0.3">
      <c r="B2" s="13" t="str">
        <f>'5 Consumption Demand Details'!B2</f>
        <v>PowerStream 2016 IRM - Draft Rate Order</v>
      </c>
    </row>
    <row r="3" spans="2:15" x14ac:dyDescent="0.3">
      <c r="B3" s="13"/>
    </row>
    <row r="4" spans="2:15" ht="18.75" x14ac:dyDescent="0.3">
      <c r="B4" s="14" t="str">
        <f>CONCATENATE("Foregone Distribution Revenue"," (",Assumptions!B10,")")</f>
        <v>Foregone Distribution Revenue (January - September 2016)</v>
      </c>
    </row>
    <row r="5" spans="2:15" ht="18.75" x14ac:dyDescent="0.3">
      <c r="B5" s="95" t="s">
        <v>73</v>
      </c>
    </row>
    <row r="6" spans="2:15" ht="18.75" x14ac:dyDescent="0.3">
      <c r="B6" s="95"/>
    </row>
    <row r="7" spans="2:15" ht="17.25" hidden="1" outlineLevel="1" thickBot="1" x14ac:dyDescent="0.35">
      <c r="C7" s="139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1"/>
    </row>
    <row r="8" spans="2:15" hidden="1" outlineLevel="1" x14ac:dyDescent="0.3">
      <c r="B8" s="96" t="s">
        <v>0</v>
      </c>
      <c r="C8" s="97" t="s">
        <v>13</v>
      </c>
      <c r="D8" s="97" t="s">
        <v>14</v>
      </c>
      <c r="E8" s="97" t="s">
        <v>15</v>
      </c>
      <c r="F8" s="97" t="s">
        <v>16</v>
      </c>
      <c r="G8" s="97" t="s">
        <v>17</v>
      </c>
      <c r="H8" s="97" t="s">
        <v>18</v>
      </c>
      <c r="I8" s="97" t="s">
        <v>19</v>
      </c>
      <c r="J8" s="97" t="s">
        <v>20</v>
      </c>
      <c r="K8" s="97" t="s">
        <v>21</v>
      </c>
      <c r="L8" s="97" t="s">
        <v>22</v>
      </c>
      <c r="M8" s="97" t="s">
        <v>23</v>
      </c>
      <c r="N8" s="97" t="s">
        <v>24</v>
      </c>
      <c r="O8" s="98" t="s">
        <v>32</v>
      </c>
    </row>
    <row r="9" spans="2:15" hidden="1" outlineLevel="1" x14ac:dyDescent="0.3">
      <c r="B9" s="53" t="s">
        <v>25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100" t="e">
        <f>AVERAGE(C9:N9)</f>
        <v>#DIV/0!</v>
      </c>
    </row>
    <row r="10" spans="2:15" hidden="1" outlineLevel="1" x14ac:dyDescent="0.3">
      <c r="B10" s="53" t="s">
        <v>26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 t="e">
        <f t="shared" ref="O10:O15" si="0">AVERAGE(C10:N10)</f>
        <v>#DIV/0!</v>
      </c>
    </row>
    <row r="11" spans="2:15" hidden="1" outlineLevel="1" x14ac:dyDescent="0.3">
      <c r="B11" s="53" t="s">
        <v>27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 t="e">
        <f t="shared" si="0"/>
        <v>#DIV/0!</v>
      </c>
    </row>
    <row r="12" spans="2:15" hidden="1" outlineLevel="1" x14ac:dyDescent="0.3">
      <c r="B12" s="53" t="s">
        <v>28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0" t="e">
        <f t="shared" si="0"/>
        <v>#DIV/0!</v>
      </c>
    </row>
    <row r="13" spans="2:15" hidden="1" outlineLevel="1" x14ac:dyDescent="0.3">
      <c r="B13" s="53" t="s">
        <v>29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00" t="e">
        <f t="shared" si="0"/>
        <v>#DIV/0!</v>
      </c>
    </row>
    <row r="14" spans="2:15" hidden="1" outlineLevel="1" x14ac:dyDescent="0.3">
      <c r="B14" s="53" t="s">
        <v>30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 t="e">
        <f t="shared" si="0"/>
        <v>#DIV/0!</v>
      </c>
    </row>
    <row r="15" spans="2:15" hidden="1" outlineLevel="1" x14ac:dyDescent="0.3">
      <c r="B15" s="53" t="s">
        <v>31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00" t="e">
        <f t="shared" si="0"/>
        <v>#DIV/0!</v>
      </c>
    </row>
    <row r="16" spans="2:15" s="3" customFormat="1" ht="17.25" hidden="1" outlineLevel="1" thickBot="1" x14ac:dyDescent="0.35">
      <c r="B16" s="101" t="s">
        <v>2</v>
      </c>
      <c r="C16" s="102">
        <f>SUM(C9:C15)</f>
        <v>0</v>
      </c>
      <c r="D16" s="102">
        <f t="shared" ref="D16:N16" si="1">SUM(D9:D15)</f>
        <v>0</v>
      </c>
      <c r="E16" s="102">
        <f t="shared" si="1"/>
        <v>0</v>
      </c>
      <c r="F16" s="102">
        <f t="shared" si="1"/>
        <v>0</v>
      </c>
      <c r="G16" s="102">
        <f t="shared" si="1"/>
        <v>0</v>
      </c>
      <c r="H16" s="102">
        <f t="shared" si="1"/>
        <v>0</v>
      </c>
      <c r="I16" s="102">
        <f t="shared" si="1"/>
        <v>0</v>
      </c>
      <c r="J16" s="102">
        <f t="shared" si="1"/>
        <v>0</v>
      </c>
      <c r="K16" s="102">
        <f t="shared" si="1"/>
        <v>0</v>
      </c>
      <c r="L16" s="102">
        <f t="shared" si="1"/>
        <v>0</v>
      </c>
      <c r="M16" s="102">
        <f t="shared" si="1"/>
        <v>0</v>
      </c>
      <c r="N16" s="102">
        <f t="shared" si="1"/>
        <v>0</v>
      </c>
      <c r="O16" s="102" t="e">
        <f>SUM(O9:O15)</f>
        <v>#DIV/0!</v>
      </c>
    </row>
    <row r="17" spans="2:15" hidden="1" outlineLevel="1" x14ac:dyDescent="0.3"/>
    <row r="18" spans="2:15" ht="17.25" hidden="1" outlineLevel="1" thickBot="1" x14ac:dyDescent="0.35"/>
    <row r="19" spans="2:15" ht="17.25" hidden="1" outlineLevel="1" thickBot="1" x14ac:dyDescent="0.35"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/>
    </row>
    <row r="20" spans="2:15" hidden="1" outlineLevel="1" x14ac:dyDescent="0.3">
      <c r="B20" s="96" t="s">
        <v>0</v>
      </c>
      <c r="C20" s="97" t="s">
        <v>13</v>
      </c>
      <c r="D20" s="97" t="s">
        <v>14</v>
      </c>
      <c r="E20" s="97" t="s">
        <v>15</v>
      </c>
      <c r="F20" s="97" t="s">
        <v>16</v>
      </c>
      <c r="G20" s="97" t="s">
        <v>17</v>
      </c>
      <c r="H20" s="97" t="s">
        <v>18</v>
      </c>
      <c r="I20" s="97" t="s">
        <v>19</v>
      </c>
      <c r="J20" s="97" t="s">
        <v>20</v>
      </c>
      <c r="K20" s="97" t="s">
        <v>21</v>
      </c>
      <c r="L20" s="97" t="s">
        <v>22</v>
      </c>
      <c r="M20" s="97" t="s">
        <v>23</v>
      </c>
      <c r="N20" s="97" t="s">
        <v>24</v>
      </c>
      <c r="O20" s="98" t="s">
        <v>32</v>
      </c>
    </row>
    <row r="21" spans="2:15" hidden="1" outlineLevel="1" x14ac:dyDescent="0.3">
      <c r="B21" s="53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100" t="e">
        <f>AVERAGE(C21:N21)</f>
        <v>#DIV/0!</v>
      </c>
    </row>
    <row r="22" spans="2:15" hidden="1" outlineLevel="1" x14ac:dyDescent="0.3">
      <c r="B22" s="53" t="s">
        <v>26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100" t="e">
        <f t="shared" ref="O22:O27" si="2">AVERAGE(C22:N22)</f>
        <v>#DIV/0!</v>
      </c>
    </row>
    <row r="23" spans="2:15" hidden="1" outlineLevel="1" x14ac:dyDescent="0.3">
      <c r="B23" s="53" t="s">
        <v>27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00" t="e">
        <f t="shared" si="2"/>
        <v>#DIV/0!</v>
      </c>
    </row>
    <row r="24" spans="2:15" hidden="1" outlineLevel="1" x14ac:dyDescent="0.3">
      <c r="B24" s="53" t="s">
        <v>28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100" t="e">
        <f t="shared" si="2"/>
        <v>#DIV/0!</v>
      </c>
    </row>
    <row r="25" spans="2:15" hidden="1" outlineLevel="1" x14ac:dyDescent="0.3">
      <c r="B25" s="53" t="s">
        <v>29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 t="e">
        <f t="shared" si="2"/>
        <v>#DIV/0!</v>
      </c>
    </row>
    <row r="26" spans="2:15" hidden="1" outlineLevel="1" x14ac:dyDescent="0.3">
      <c r="B26" s="53" t="s">
        <v>30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 t="e">
        <f t="shared" si="2"/>
        <v>#DIV/0!</v>
      </c>
    </row>
    <row r="27" spans="2:15" hidden="1" outlineLevel="1" x14ac:dyDescent="0.3">
      <c r="B27" s="53" t="s">
        <v>31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100" t="e">
        <f t="shared" si="2"/>
        <v>#DIV/0!</v>
      </c>
    </row>
    <row r="28" spans="2:15" s="3" customFormat="1" ht="17.25" hidden="1" outlineLevel="1" thickBot="1" x14ac:dyDescent="0.35">
      <c r="B28" s="101" t="s">
        <v>2</v>
      </c>
      <c r="C28" s="102">
        <f>SUM(C21:C27)</f>
        <v>0</v>
      </c>
      <c r="D28" s="102">
        <f t="shared" ref="D28:N28" si="3">SUM(D21:D27)</f>
        <v>0</v>
      </c>
      <c r="E28" s="102">
        <f t="shared" si="3"/>
        <v>0</v>
      </c>
      <c r="F28" s="102">
        <f t="shared" si="3"/>
        <v>0</v>
      </c>
      <c r="G28" s="102">
        <f t="shared" si="3"/>
        <v>0</v>
      </c>
      <c r="H28" s="102">
        <f t="shared" si="3"/>
        <v>0</v>
      </c>
      <c r="I28" s="102">
        <f t="shared" si="3"/>
        <v>0</v>
      </c>
      <c r="J28" s="102">
        <f t="shared" si="3"/>
        <v>0</v>
      </c>
      <c r="K28" s="102">
        <f t="shared" si="3"/>
        <v>0</v>
      </c>
      <c r="L28" s="102">
        <f t="shared" si="3"/>
        <v>0</v>
      </c>
      <c r="M28" s="102">
        <f t="shared" si="3"/>
        <v>0</v>
      </c>
      <c r="N28" s="102">
        <f t="shared" si="3"/>
        <v>0</v>
      </c>
      <c r="O28" s="102" t="e">
        <f>SUM(O21:O27)</f>
        <v>#DIV/0!</v>
      </c>
    </row>
    <row r="29" spans="2:15" hidden="1" outlineLevel="1" x14ac:dyDescent="0.3"/>
    <row r="30" spans="2:15" ht="17.25" collapsed="1" thickBot="1" x14ac:dyDescent="0.35"/>
    <row r="31" spans="2:15" ht="17.25" thickBot="1" x14ac:dyDescent="0.35">
      <c r="C31" s="139" t="s">
        <v>88</v>
      </c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1"/>
    </row>
    <row r="32" spans="2:15" x14ac:dyDescent="0.3">
      <c r="B32" s="96" t="s">
        <v>0</v>
      </c>
      <c r="C32" s="97" t="s">
        <v>13</v>
      </c>
      <c r="D32" s="97" t="s">
        <v>14</v>
      </c>
      <c r="E32" s="97" t="s">
        <v>15</v>
      </c>
      <c r="F32" s="97" t="s">
        <v>16</v>
      </c>
      <c r="G32" s="97" t="s">
        <v>17</v>
      </c>
      <c r="H32" s="97" t="s">
        <v>18</v>
      </c>
      <c r="I32" s="97" t="s">
        <v>19</v>
      </c>
      <c r="J32" s="97" t="s">
        <v>20</v>
      </c>
      <c r="K32" s="97" t="s">
        <v>21</v>
      </c>
      <c r="L32" s="97" t="s">
        <v>22</v>
      </c>
      <c r="M32" s="97" t="s">
        <v>23</v>
      </c>
      <c r="N32" s="97" t="s">
        <v>24</v>
      </c>
      <c r="O32" s="98" t="s">
        <v>32</v>
      </c>
    </row>
    <row r="33" spans="2:15" x14ac:dyDescent="0.3">
      <c r="B33" s="53" t="s">
        <v>25</v>
      </c>
      <c r="C33" s="99">
        <f>'[4]LF DATA PS '!AI191</f>
        <v>323203</v>
      </c>
      <c r="D33" s="99">
        <f>'[4]LF DATA PS '!AJ191</f>
        <v>323588</v>
      </c>
      <c r="E33" s="99">
        <f>'[4]LF DATA PS '!AK191</f>
        <v>323974</v>
      </c>
      <c r="F33" s="99">
        <f>'[4]LF DATA PS '!AL191</f>
        <v>324362</v>
      </c>
      <c r="G33" s="99">
        <f>'[4]LF DATA PS '!AM191</f>
        <v>324752</v>
      </c>
      <c r="H33" s="99">
        <f>'[4]LF DATA PS '!AN191</f>
        <v>325142</v>
      </c>
      <c r="I33" s="99">
        <f>'[4]LF DATA PS '!AO191</f>
        <v>325534</v>
      </c>
      <c r="J33" s="99">
        <f>'[4]LF DATA PS '!AP191</f>
        <v>325927</v>
      </c>
      <c r="K33" s="99">
        <f>'[4]LF DATA PS '!AQ191</f>
        <v>326321</v>
      </c>
      <c r="L33" s="99">
        <f>'[4]LF DATA PS '!AR191</f>
        <v>326716</v>
      </c>
      <c r="M33" s="99">
        <f>'[4]LF DATA PS '!AS191</f>
        <v>327111</v>
      </c>
      <c r="N33" s="99">
        <f>'[4]LF DATA PS '!AT191</f>
        <v>327507</v>
      </c>
      <c r="O33" s="100">
        <f>AVERAGE(C33:N33)</f>
        <v>325344.75</v>
      </c>
    </row>
    <row r="34" spans="2:15" x14ac:dyDescent="0.3">
      <c r="B34" s="53" t="s">
        <v>26</v>
      </c>
      <c r="C34" s="99">
        <f>'[4]LF DATA PS '!AI192</f>
        <v>32233</v>
      </c>
      <c r="D34" s="99">
        <f>'[4]LF DATA PS '!AJ192</f>
        <v>32263</v>
      </c>
      <c r="E34" s="99">
        <f>'[4]LF DATA PS '!AK192</f>
        <v>32294</v>
      </c>
      <c r="F34" s="99">
        <f>'[4]LF DATA PS '!AL192</f>
        <v>32324</v>
      </c>
      <c r="G34" s="99">
        <f>'[4]LF DATA PS '!AM192</f>
        <v>32355</v>
      </c>
      <c r="H34" s="99">
        <f>'[4]LF DATA PS '!AN192</f>
        <v>32386</v>
      </c>
      <c r="I34" s="99">
        <f>'[4]LF DATA PS '!AO192</f>
        <v>32417</v>
      </c>
      <c r="J34" s="99">
        <f>'[4]LF DATA PS '!AP192</f>
        <v>32448</v>
      </c>
      <c r="K34" s="99">
        <f>'[4]LF DATA PS '!AQ192</f>
        <v>32479</v>
      </c>
      <c r="L34" s="99">
        <f>'[4]LF DATA PS '!AR192</f>
        <v>32510</v>
      </c>
      <c r="M34" s="99">
        <f>'[4]LF DATA PS '!AS192</f>
        <v>32541</v>
      </c>
      <c r="N34" s="99">
        <f>'[4]LF DATA PS '!AT192</f>
        <v>32572</v>
      </c>
      <c r="O34" s="100">
        <f t="shared" ref="O34:O39" si="4">AVERAGE(C34:N34)</f>
        <v>32401.833333333332</v>
      </c>
    </row>
    <row r="35" spans="2:15" x14ac:dyDescent="0.3">
      <c r="B35" s="53" t="s">
        <v>27</v>
      </c>
      <c r="C35" s="99">
        <f>'[4]LF DATA PS '!AI193</f>
        <v>4910</v>
      </c>
      <c r="D35" s="99">
        <f>'[4]LF DATA PS '!AJ193</f>
        <v>4919</v>
      </c>
      <c r="E35" s="99">
        <f>'[4]LF DATA PS '!AK193</f>
        <v>4930</v>
      </c>
      <c r="F35" s="99">
        <f>'[4]LF DATA PS '!AL193</f>
        <v>4939</v>
      </c>
      <c r="G35" s="99">
        <f>'[4]LF DATA PS '!AM193</f>
        <v>4949</v>
      </c>
      <c r="H35" s="99">
        <f>'[4]LF DATA PS '!AN193</f>
        <v>4960</v>
      </c>
      <c r="I35" s="99">
        <f>'[4]LF DATA PS '!AO193</f>
        <v>4969</v>
      </c>
      <c r="J35" s="99">
        <f>'[4]LF DATA PS '!AP193</f>
        <v>4980</v>
      </c>
      <c r="K35" s="99">
        <f>'[4]LF DATA PS '!AQ193</f>
        <v>4990</v>
      </c>
      <c r="L35" s="99">
        <f>'[4]LF DATA PS '!AR193</f>
        <v>5000</v>
      </c>
      <c r="M35" s="99">
        <f>'[4]LF DATA PS '!AS193</f>
        <v>5010</v>
      </c>
      <c r="N35" s="99">
        <f>'[4]LF DATA PS '!AT193</f>
        <v>5020</v>
      </c>
      <c r="O35" s="100">
        <f t="shared" si="4"/>
        <v>4964.666666666667</v>
      </c>
    </row>
    <row r="36" spans="2:15" x14ac:dyDescent="0.3">
      <c r="B36" s="53" t="s">
        <v>28</v>
      </c>
      <c r="C36" s="99">
        <f>'[4]LF DATA PS '!AI195</f>
        <v>2</v>
      </c>
      <c r="D36" s="99">
        <f>'[4]LF DATA PS '!AJ195</f>
        <v>2</v>
      </c>
      <c r="E36" s="99">
        <f>'[4]LF DATA PS '!AK195</f>
        <v>2</v>
      </c>
      <c r="F36" s="99">
        <f>'[4]LF DATA PS '!AL195</f>
        <v>2</v>
      </c>
      <c r="G36" s="99">
        <f>'[4]LF DATA PS '!AM195</f>
        <v>2</v>
      </c>
      <c r="H36" s="99">
        <f>'[4]LF DATA PS '!AN195</f>
        <v>2</v>
      </c>
      <c r="I36" s="99">
        <f>'[4]LF DATA PS '!AO195</f>
        <v>2</v>
      </c>
      <c r="J36" s="99">
        <f>'[4]LF DATA PS '!AP195</f>
        <v>2</v>
      </c>
      <c r="K36" s="99">
        <f>'[4]LF DATA PS '!AQ195</f>
        <v>2</v>
      </c>
      <c r="L36" s="99">
        <f>'[4]LF DATA PS '!AR195</f>
        <v>2</v>
      </c>
      <c r="M36" s="99">
        <f>'[4]LF DATA PS '!AS195</f>
        <v>2</v>
      </c>
      <c r="N36" s="99">
        <f>'[4]LF DATA PS '!AT195</f>
        <v>2</v>
      </c>
      <c r="O36" s="100">
        <f t="shared" si="4"/>
        <v>2</v>
      </c>
    </row>
    <row r="37" spans="2:15" x14ac:dyDescent="0.3">
      <c r="B37" s="53" t="s">
        <v>29</v>
      </c>
      <c r="C37" s="99">
        <f>'[4]LF DATA PS '!AI196</f>
        <v>2948</v>
      </c>
      <c r="D37" s="99">
        <f>'[4]LF DATA PS '!AJ196</f>
        <v>2953</v>
      </c>
      <c r="E37" s="99">
        <f>'[4]LF DATA PS '!AK196</f>
        <v>2958</v>
      </c>
      <c r="F37" s="99">
        <f>'[4]LF DATA PS '!AL196</f>
        <v>2963</v>
      </c>
      <c r="G37" s="99">
        <f>'[4]LF DATA PS '!AM196</f>
        <v>2968</v>
      </c>
      <c r="H37" s="99">
        <f>'[4]LF DATA PS '!AN196</f>
        <v>2973</v>
      </c>
      <c r="I37" s="99">
        <f>'[4]LF DATA PS '!AO196</f>
        <v>2978</v>
      </c>
      <c r="J37" s="99">
        <f>'[4]LF DATA PS '!AP196</f>
        <v>2984</v>
      </c>
      <c r="K37" s="99">
        <f>'[4]LF DATA PS '!AQ196</f>
        <v>2989</v>
      </c>
      <c r="L37" s="99">
        <f>'[4]LF DATA PS '!AR196</f>
        <v>2995</v>
      </c>
      <c r="M37" s="99">
        <f>'[4]LF DATA PS '!AS196</f>
        <v>3000</v>
      </c>
      <c r="N37" s="99">
        <f>'[4]LF DATA PS '!AT196</f>
        <v>3006</v>
      </c>
      <c r="O37" s="100">
        <f t="shared" si="4"/>
        <v>2976.25</v>
      </c>
    </row>
    <row r="38" spans="2:15" x14ac:dyDescent="0.3">
      <c r="B38" s="53" t="s">
        <v>30</v>
      </c>
      <c r="C38" s="99">
        <f>'[4]LF DATA PS '!AI197</f>
        <v>209</v>
      </c>
      <c r="D38" s="99">
        <f>'[4]LF DATA PS '!AJ197</f>
        <v>209</v>
      </c>
      <c r="E38" s="99">
        <f>'[4]LF DATA PS '!AK197</f>
        <v>209</v>
      </c>
      <c r="F38" s="99">
        <f>'[4]LF DATA PS '!AL197</f>
        <v>209</v>
      </c>
      <c r="G38" s="99">
        <f>'[4]LF DATA PS '!AM197</f>
        <v>209</v>
      </c>
      <c r="H38" s="99">
        <f>'[4]LF DATA PS '!AN197</f>
        <v>209</v>
      </c>
      <c r="I38" s="99">
        <f>'[4]LF DATA PS '!AO197</f>
        <v>209</v>
      </c>
      <c r="J38" s="99">
        <f>'[4]LF DATA PS '!AP197</f>
        <v>209</v>
      </c>
      <c r="K38" s="99">
        <f>'[4]LF DATA PS '!AQ197</f>
        <v>209</v>
      </c>
      <c r="L38" s="99">
        <f>'[4]LF DATA PS '!AR197</f>
        <v>207</v>
      </c>
      <c r="M38" s="99">
        <f>'[4]LF DATA PS '!AS197</f>
        <v>207</v>
      </c>
      <c r="N38" s="99">
        <f>'[4]LF DATA PS '!AT197</f>
        <v>207</v>
      </c>
      <c r="O38" s="100">
        <f t="shared" si="4"/>
        <v>208.5</v>
      </c>
    </row>
    <row r="39" spans="2:15" x14ac:dyDescent="0.3">
      <c r="B39" s="53" t="s">
        <v>31</v>
      </c>
      <c r="C39" s="99">
        <f>'[4]LF DATA PS '!AI198</f>
        <v>87400</v>
      </c>
      <c r="D39" s="99">
        <f>'[4]LF DATA PS '!AJ198</f>
        <v>87531</v>
      </c>
      <c r="E39" s="99">
        <f>'[4]LF DATA PS '!AK198</f>
        <v>87662</v>
      </c>
      <c r="F39" s="99">
        <f>'[4]LF DATA PS '!AL198</f>
        <v>87794</v>
      </c>
      <c r="G39" s="99">
        <f>'[4]LF DATA PS '!AM198</f>
        <v>87926</v>
      </c>
      <c r="H39" s="99">
        <f>'[4]LF DATA PS '!AN198</f>
        <v>88058</v>
      </c>
      <c r="I39" s="99">
        <f>'[4]LF DATA PS '!AO198</f>
        <v>88191</v>
      </c>
      <c r="J39" s="99">
        <f>'[4]LF DATA PS '!AP198</f>
        <v>88324</v>
      </c>
      <c r="K39" s="99">
        <f>'[4]LF DATA PS '!AQ198</f>
        <v>88457</v>
      </c>
      <c r="L39" s="99">
        <f>'[4]LF DATA PS '!AR198</f>
        <v>88590</v>
      </c>
      <c r="M39" s="99">
        <f>'[4]LF DATA PS '!AS198</f>
        <v>88723</v>
      </c>
      <c r="N39" s="99">
        <f>'[4]LF DATA PS '!AT198</f>
        <v>88857</v>
      </c>
      <c r="O39" s="100">
        <f t="shared" si="4"/>
        <v>88126.083333333328</v>
      </c>
    </row>
    <row r="40" spans="2:15" s="3" customFormat="1" ht="17.25" thickBot="1" x14ac:dyDescent="0.35">
      <c r="B40" s="101" t="s">
        <v>2</v>
      </c>
      <c r="C40" s="102">
        <f>SUM(C33:C39)</f>
        <v>450905</v>
      </c>
      <c r="D40" s="102">
        <f t="shared" ref="D40:N40" si="5">SUM(D33:D39)</f>
        <v>451465</v>
      </c>
      <c r="E40" s="102">
        <f t="shared" si="5"/>
        <v>452029</v>
      </c>
      <c r="F40" s="102">
        <f t="shared" si="5"/>
        <v>452593</v>
      </c>
      <c r="G40" s="102">
        <f t="shared" si="5"/>
        <v>453161</v>
      </c>
      <c r="H40" s="102">
        <f t="shared" si="5"/>
        <v>453730</v>
      </c>
      <c r="I40" s="102">
        <f t="shared" si="5"/>
        <v>454300</v>
      </c>
      <c r="J40" s="102">
        <f t="shared" si="5"/>
        <v>454874</v>
      </c>
      <c r="K40" s="102">
        <f t="shared" si="5"/>
        <v>455447</v>
      </c>
      <c r="L40" s="102">
        <f t="shared" si="5"/>
        <v>456020</v>
      </c>
      <c r="M40" s="102">
        <f t="shared" si="5"/>
        <v>456594</v>
      </c>
      <c r="N40" s="102">
        <f t="shared" si="5"/>
        <v>457171</v>
      </c>
      <c r="O40" s="102">
        <f>SUM(O33:O39)</f>
        <v>454024.08333333331</v>
      </c>
    </row>
    <row r="43" spans="2:15" x14ac:dyDescent="0.3">
      <c r="C43" s="116"/>
      <c r="D43" s="116"/>
      <c r="E43" s="116"/>
      <c r="F43" s="116"/>
      <c r="G43" s="116"/>
      <c r="H43" s="116"/>
      <c r="I43" s="116"/>
    </row>
  </sheetData>
  <mergeCells count="3">
    <mergeCell ref="C7:N7"/>
    <mergeCell ref="C19:N19"/>
    <mergeCell ref="C31:N31"/>
  </mergeCells>
  <pageMargins left="0.7" right="0.7" top="0.75" bottom="0.75" header="0.3" footer="0.3"/>
  <pageSetup scale="59" orientation="landscape" r:id="rId1"/>
  <headerFooter>
    <oddFooter>&amp;C&amp;9&amp;A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tabSelected="1" view="pageBreakPreview" zoomScale="85" zoomScaleNormal="70" zoomScaleSheetLayoutView="85" workbookViewId="0">
      <selection activeCell="L27" sqref="L27:L28"/>
    </sheetView>
  </sheetViews>
  <sheetFormatPr defaultRowHeight="16.5" outlineLevelRow="1" x14ac:dyDescent="0.3"/>
  <cols>
    <col min="1" max="1" width="3.85546875" style="1" customWidth="1"/>
    <col min="2" max="2" width="22" style="1" customWidth="1"/>
    <col min="3" max="3" width="6.85546875" style="15" customWidth="1"/>
    <col min="4" max="15" width="12.42578125" style="1" customWidth="1"/>
    <col min="16" max="16" width="15.7109375" style="1" customWidth="1"/>
    <col min="17" max="16384" width="9.140625" style="1"/>
  </cols>
  <sheetData>
    <row r="1" spans="2:16" ht="29.25" customHeight="1" x14ac:dyDescent="0.3">
      <c r="H1" s="11"/>
      <c r="I1" s="94"/>
    </row>
    <row r="2" spans="2:16" x14ac:dyDescent="0.3">
      <c r="B2" s="13" t="s">
        <v>103</v>
      </c>
      <c r="C2" s="103"/>
    </row>
    <row r="3" spans="2:16" x14ac:dyDescent="0.3">
      <c r="B3" s="13"/>
      <c r="C3" s="103"/>
    </row>
    <row r="4" spans="2:16" ht="18.75" x14ac:dyDescent="0.3">
      <c r="B4" s="14" t="str">
        <f>CONCATENATE("Foregone Distribution Revenue"," (",Assumptions!B10,")")</f>
        <v>Foregone Distribution Revenue (January - September 2016)</v>
      </c>
      <c r="C4" s="104"/>
    </row>
    <row r="5" spans="2:16" ht="18.75" x14ac:dyDescent="0.3">
      <c r="B5" s="95" t="s">
        <v>72</v>
      </c>
      <c r="C5" s="105"/>
    </row>
    <row r="6" spans="2:16" ht="18.75" x14ac:dyDescent="0.3">
      <c r="B6" s="95"/>
      <c r="C6" s="105"/>
    </row>
    <row r="7" spans="2:16" ht="17.25" hidden="1" outlineLevel="1" thickBot="1" x14ac:dyDescent="0.35">
      <c r="D7" s="139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1"/>
    </row>
    <row r="8" spans="2:16" hidden="1" outlineLevel="1" x14ac:dyDescent="0.3">
      <c r="B8" s="96" t="s">
        <v>0</v>
      </c>
      <c r="C8" s="106" t="s">
        <v>1</v>
      </c>
      <c r="D8" s="97" t="s">
        <v>13</v>
      </c>
      <c r="E8" s="97" t="s">
        <v>14</v>
      </c>
      <c r="F8" s="97" t="s">
        <v>15</v>
      </c>
      <c r="G8" s="97" t="s">
        <v>16</v>
      </c>
      <c r="H8" s="97" t="s">
        <v>17</v>
      </c>
      <c r="I8" s="97" t="s">
        <v>18</v>
      </c>
      <c r="J8" s="97" t="s">
        <v>19</v>
      </c>
      <c r="K8" s="97" t="s">
        <v>20</v>
      </c>
      <c r="L8" s="97" t="s">
        <v>21</v>
      </c>
      <c r="M8" s="97" t="s">
        <v>22</v>
      </c>
      <c r="N8" s="97" t="s">
        <v>23</v>
      </c>
      <c r="O8" s="97" t="s">
        <v>24</v>
      </c>
      <c r="P8" s="98" t="s">
        <v>2</v>
      </c>
    </row>
    <row r="9" spans="2:16" hidden="1" outlineLevel="1" x14ac:dyDescent="0.3">
      <c r="B9" s="53" t="s">
        <v>25</v>
      </c>
      <c r="C9" s="107" t="s">
        <v>11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100">
        <f>SUM(D9:O9)</f>
        <v>0</v>
      </c>
    </row>
    <row r="10" spans="2:16" hidden="1" outlineLevel="1" x14ac:dyDescent="0.3">
      <c r="B10" s="53" t="s">
        <v>26</v>
      </c>
      <c r="C10" s="107" t="s">
        <v>11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>
        <f t="shared" ref="P10:P15" si="0">SUM(D10:O10)</f>
        <v>0</v>
      </c>
    </row>
    <row r="11" spans="2:16" hidden="1" outlineLevel="1" x14ac:dyDescent="0.3">
      <c r="B11" s="53" t="s">
        <v>27</v>
      </c>
      <c r="C11" s="107" t="s">
        <v>10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100">
        <f t="shared" si="0"/>
        <v>0</v>
      </c>
    </row>
    <row r="12" spans="2:16" hidden="1" outlineLevel="1" x14ac:dyDescent="0.3">
      <c r="B12" s="53" t="s">
        <v>28</v>
      </c>
      <c r="C12" s="107" t="s">
        <v>10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100">
        <f t="shared" si="0"/>
        <v>0</v>
      </c>
    </row>
    <row r="13" spans="2:16" hidden="1" outlineLevel="1" x14ac:dyDescent="0.3">
      <c r="B13" s="53" t="s">
        <v>29</v>
      </c>
      <c r="C13" s="107" t="s">
        <v>11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>
        <f t="shared" si="0"/>
        <v>0</v>
      </c>
    </row>
    <row r="14" spans="2:16" hidden="1" outlineLevel="1" x14ac:dyDescent="0.3">
      <c r="B14" s="53" t="s">
        <v>30</v>
      </c>
      <c r="C14" s="107" t="s">
        <v>10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>
        <f t="shared" si="0"/>
        <v>0</v>
      </c>
    </row>
    <row r="15" spans="2:16" hidden="1" outlineLevel="1" x14ac:dyDescent="0.3">
      <c r="B15" s="53" t="s">
        <v>31</v>
      </c>
      <c r="C15" s="107" t="s">
        <v>10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100">
        <f t="shared" si="0"/>
        <v>0</v>
      </c>
    </row>
    <row r="16" spans="2:16" s="3" customFormat="1" hidden="1" outlineLevel="1" x14ac:dyDescent="0.3">
      <c r="B16" s="108" t="s">
        <v>41</v>
      </c>
      <c r="C16" s="109"/>
      <c r="D16" s="110">
        <f>SUM(D9:D10,D13)</f>
        <v>0</v>
      </c>
      <c r="E16" s="110">
        <f t="shared" ref="E16:P16" si="1">SUM(E9:E10,E13)</f>
        <v>0</v>
      </c>
      <c r="F16" s="110">
        <f t="shared" si="1"/>
        <v>0</v>
      </c>
      <c r="G16" s="110">
        <f t="shared" si="1"/>
        <v>0</v>
      </c>
      <c r="H16" s="110">
        <f t="shared" si="1"/>
        <v>0</v>
      </c>
      <c r="I16" s="110">
        <f t="shared" si="1"/>
        <v>0</v>
      </c>
      <c r="J16" s="110">
        <f t="shared" si="1"/>
        <v>0</v>
      </c>
      <c r="K16" s="110">
        <f t="shared" si="1"/>
        <v>0</v>
      </c>
      <c r="L16" s="110">
        <f t="shared" si="1"/>
        <v>0</v>
      </c>
      <c r="M16" s="110">
        <f t="shared" si="1"/>
        <v>0</v>
      </c>
      <c r="N16" s="110">
        <f t="shared" si="1"/>
        <v>0</v>
      </c>
      <c r="O16" s="110">
        <f t="shared" si="1"/>
        <v>0</v>
      </c>
      <c r="P16" s="110">
        <f t="shared" si="1"/>
        <v>0</v>
      </c>
    </row>
    <row r="17" spans="2:16" s="3" customFormat="1" ht="17.25" hidden="1" outlineLevel="1" thickBot="1" x14ac:dyDescent="0.35">
      <c r="B17" s="101" t="s">
        <v>42</v>
      </c>
      <c r="C17" s="111"/>
      <c r="D17" s="102">
        <f t="shared" ref="D17:P17" si="2">SUM(D11,D12,D14,D15)</f>
        <v>0</v>
      </c>
      <c r="E17" s="102">
        <f t="shared" si="2"/>
        <v>0</v>
      </c>
      <c r="F17" s="102">
        <f t="shared" si="2"/>
        <v>0</v>
      </c>
      <c r="G17" s="102">
        <f t="shared" si="2"/>
        <v>0</v>
      </c>
      <c r="H17" s="102">
        <f t="shared" si="2"/>
        <v>0</v>
      </c>
      <c r="I17" s="102">
        <f t="shared" si="2"/>
        <v>0</v>
      </c>
      <c r="J17" s="102">
        <f t="shared" si="2"/>
        <v>0</v>
      </c>
      <c r="K17" s="102">
        <f t="shared" si="2"/>
        <v>0</v>
      </c>
      <c r="L17" s="102">
        <f t="shared" si="2"/>
        <v>0</v>
      </c>
      <c r="M17" s="102">
        <f t="shared" si="2"/>
        <v>0</v>
      </c>
      <c r="N17" s="102">
        <f t="shared" si="2"/>
        <v>0</v>
      </c>
      <c r="O17" s="102">
        <f t="shared" si="2"/>
        <v>0</v>
      </c>
      <c r="P17" s="102">
        <f t="shared" si="2"/>
        <v>0</v>
      </c>
    </row>
    <row r="18" spans="2:16" ht="17.25" hidden="1" outlineLevel="1" thickBot="1" x14ac:dyDescent="0.35"/>
    <row r="19" spans="2:16" ht="17.25" hidden="1" outlineLevel="1" thickBot="1" x14ac:dyDescent="0.35">
      <c r="D19" s="139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1"/>
    </row>
    <row r="20" spans="2:16" hidden="1" outlineLevel="1" x14ac:dyDescent="0.3">
      <c r="B20" s="96" t="s">
        <v>0</v>
      </c>
      <c r="C20" s="106" t="s">
        <v>1</v>
      </c>
      <c r="D20" s="97" t="s">
        <v>13</v>
      </c>
      <c r="E20" s="97" t="s">
        <v>14</v>
      </c>
      <c r="F20" s="97" t="s">
        <v>15</v>
      </c>
      <c r="G20" s="97" t="s">
        <v>16</v>
      </c>
      <c r="H20" s="97" t="s">
        <v>17</v>
      </c>
      <c r="I20" s="97" t="s">
        <v>18</v>
      </c>
      <c r="J20" s="97" t="s">
        <v>19</v>
      </c>
      <c r="K20" s="97" t="s">
        <v>20</v>
      </c>
      <c r="L20" s="97" t="s">
        <v>21</v>
      </c>
      <c r="M20" s="97" t="s">
        <v>22</v>
      </c>
      <c r="N20" s="97" t="s">
        <v>23</v>
      </c>
      <c r="O20" s="97" t="s">
        <v>24</v>
      </c>
      <c r="P20" s="98" t="s">
        <v>2</v>
      </c>
    </row>
    <row r="21" spans="2:16" hidden="1" outlineLevel="1" x14ac:dyDescent="0.3">
      <c r="B21" s="53" t="s">
        <v>25</v>
      </c>
      <c r="C21" s="107" t="s">
        <v>11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>
        <f>SUM(D21:O21)</f>
        <v>0</v>
      </c>
    </row>
    <row r="22" spans="2:16" hidden="1" outlineLevel="1" x14ac:dyDescent="0.3">
      <c r="B22" s="53" t="s">
        <v>26</v>
      </c>
      <c r="C22" s="107" t="s">
        <v>11</v>
      </c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0">
        <f t="shared" ref="P22:P27" si="3">SUM(D22:O22)</f>
        <v>0</v>
      </c>
    </row>
    <row r="23" spans="2:16" hidden="1" outlineLevel="1" x14ac:dyDescent="0.3">
      <c r="B23" s="53" t="s">
        <v>27</v>
      </c>
      <c r="C23" s="107" t="s">
        <v>10</v>
      </c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00">
        <f t="shared" si="3"/>
        <v>0</v>
      </c>
    </row>
    <row r="24" spans="2:16" hidden="1" outlineLevel="1" x14ac:dyDescent="0.3">
      <c r="B24" s="53" t="s">
        <v>28</v>
      </c>
      <c r="C24" s="107" t="s">
        <v>10</v>
      </c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>
        <f t="shared" si="3"/>
        <v>0</v>
      </c>
    </row>
    <row r="25" spans="2:16" hidden="1" outlineLevel="1" x14ac:dyDescent="0.3">
      <c r="B25" s="53" t="s">
        <v>29</v>
      </c>
      <c r="C25" s="107" t="s">
        <v>11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>
        <f t="shared" si="3"/>
        <v>0</v>
      </c>
    </row>
    <row r="26" spans="2:16" hidden="1" outlineLevel="1" x14ac:dyDescent="0.3">
      <c r="B26" s="53" t="s">
        <v>30</v>
      </c>
      <c r="C26" s="107" t="s">
        <v>10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>
        <f t="shared" si="3"/>
        <v>0</v>
      </c>
    </row>
    <row r="27" spans="2:16" hidden="1" outlineLevel="1" x14ac:dyDescent="0.3">
      <c r="B27" s="53" t="s">
        <v>31</v>
      </c>
      <c r="C27" s="107" t="s">
        <v>10</v>
      </c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100">
        <f t="shared" si="3"/>
        <v>0</v>
      </c>
    </row>
    <row r="28" spans="2:16" s="3" customFormat="1" hidden="1" outlineLevel="1" x14ac:dyDescent="0.3">
      <c r="B28" s="108" t="s">
        <v>41</v>
      </c>
      <c r="C28" s="109"/>
      <c r="D28" s="110">
        <f>SUM(D21:D22,D25)</f>
        <v>0</v>
      </c>
      <c r="E28" s="110">
        <f t="shared" ref="E28:P28" si="4">SUM(E21:E22,E25)</f>
        <v>0</v>
      </c>
      <c r="F28" s="110">
        <f t="shared" si="4"/>
        <v>0</v>
      </c>
      <c r="G28" s="110">
        <f t="shared" si="4"/>
        <v>0</v>
      </c>
      <c r="H28" s="110">
        <f t="shared" si="4"/>
        <v>0</v>
      </c>
      <c r="I28" s="110">
        <f t="shared" si="4"/>
        <v>0</v>
      </c>
      <c r="J28" s="110">
        <f t="shared" si="4"/>
        <v>0</v>
      </c>
      <c r="K28" s="110">
        <f t="shared" si="4"/>
        <v>0</v>
      </c>
      <c r="L28" s="110">
        <f t="shared" si="4"/>
        <v>0</v>
      </c>
      <c r="M28" s="110">
        <f t="shared" si="4"/>
        <v>0</v>
      </c>
      <c r="N28" s="110">
        <f t="shared" si="4"/>
        <v>0</v>
      </c>
      <c r="O28" s="110">
        <f t="shared" si="4"/>
        <v>0</v>
      </c>
      <c r="P28" s="110">
        <f t="shared" si="4"/>
        <v>0</v>
      </c>
    </row>
    <row r="29" spans="2:16" s="3" customFormat="1" ht="17.25" hidden="1" outlineLevel="1" thickBot="1" x14ac:dyDescent="0.35">
      <c r="B29" s="101" t="s">
        <v>42</v>
      </c>
      <c r="C29" s="111"/>
      <c r="D29" s="102">
        <f t="shared" ref="D29:P29" si="5">SUM(D23,D24,D26,D27)</f>
        <v>0</v>
      </c>
      <c r="E29" s="102">
        <f t="shared" si="5"/>
        <v>0</v>
      </c>
      <c r="F29" s="102">
        <f t="shared" si="5"/>
        <v>0</v>
      </c>
      <c r="G29" s="102">
        <f t="shared" si="5"/>
        <v>0</v>
      </c>
      <c r="H29" s="102">
        <f t="shared" si="5"/>
        <v>0</v>
      </c>
      <c r="I29" s="102">
        <f t="shared" si="5"/>
        <v>0</v>
      </c>
      <c r="J29" s="102">
        <f t="shared" si="5"/>
        <v>0</v>
      </c>
      <c r="K29" s="102">
        <f t="shared" si="5"/>
        <v>0</v>
      </c>
      <c r="L29" s="102">
        <f t="shared" si="5"/>
        <v>0</v>
      </c>
      <c r="M29" s="102">
        <f t="shared" si="5"/>
        <v>0</v>
      </c>
      <c r="N29" s="102">
        <f t="shared" si="5"/>
        <v>0</v>
      </c>
      <c r="O29" s="102">
        <f t="shared" si="5"/>
        <v>0</v>
      </c>
      <c r="P29" s="102">
        <f t="shared" si="5"/>
        <v>0</v>
      </c>
    </row>
    <row r="30" spans="2:16" ht="17.25" collapsed="1" thickBot="1" x14ac:dyDescent="0.35"/>
    <row r="31" spans="2:16" ht="17.25" thickBot="1" x14ac:dyDescent="0.35">
      <c r="D31" s="139" t="s">
        <v>88</v>
      </c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1"/>
    </row>
    <row r="32" spans="2:16" x14ac:dyDescent="0.3">
      <c r="B32" s="96" t="s">
        <v>0</v>
      </c>
      <c r="C32" s="106" t="s">
        <v>1</v>
      </c>
      <c r="D32" s="97" t="s">
        <v>13</v>
      </c>
      <c r="E32" s="97" t="s">
        <v>14</v>
      </c>
      <c r="F32" s="97" t="s">
        <v>15</v>
      </c>
      <c r="G32" s="97" t="s">
        <v>16</v>
      </c>
      <c r="H32" s="97" t="s">
        <v>17</v>
      </c>
      <c r="I32" s="97" t="s">
        <v>18</v>
      </c>
      <c r="J32" s="97" t="s">
        <v>19</v>
      </c>
      <c r="K32" s="97" t="s">
        <v>20</v>
      </c>
      <c r="L32" s="97" t="s">
        <v>21</v>
      </c>
      <c r="M32" s="97" t="s">
        <v>22</v>
      </c>
      <c r="N32" s="97" t="s">
        <v>23</v>
      </c>
      <c r="O32" s="97" t="s">
        <v>24</v>
      </c>
      <c r="P32" s="98" t="s">
        <v>2</v>
      </c>
    </row>
    <row r="33" spans="2:16" x14ac:dyDescent="0.3">
      <c r="B33" s="53" t="s">
        <v>25</v>
      </c>
      <c r="C33" s="107" t="s">
        <v>11</v>
      </c>
      <c r="D33" s="99">
        <f>'[4]LF DATA PS '!S191</f>
        <v>237195292.66254774</v>
      </c>
      <c r="E33" s="99">
        <f>'[4]LF DATA PS '!T191</f>
        <v>231841533.54007772</v>
      </c>
      <c r="F33" s="99">
        <f>'[4]LF DATA PS '!U191</f>
        <v>214369364.41760769</v>
      </c>
      <c r="G33" s="99">
        <f>'[4]LF DATA PS '!V191</f>
        <v>182764155.29513767</v>
      </c>
      <c r="H33" s="99">
        <f>'[4]LF DATA PS '!W191</f>
        <v>191658666.17266765</v>
      </c>
      <c r="I33" s="99">
        <f>'[4]LF DATA PS '!X191</f>
        <v>251270687.05019766</v>
      </c>
      <c r="J33" s="99">
        <f>'[4]LF DATA PS '!Y191</f>
        <v>315397527.92772764</v>
      </c>
      <c r="K33" s="99">
        <f>'[4]LF DATA PS '!Z191</f>
        <v>284751248.80525762</v>
      </c>
      <c r="L33" s="99">
        <f>'[4]LF DATA PS '!AA191</f>
        <v>205487299.6827876</v>
      </c>
      <c r="M33" s="99">
        <f>'[4]LF DATA PS '!AB191</f>
        <v>176691960.56031758</v>
      </c>
      <c r="N33" s="99">
        <f>'[4]LF DATA PS '!AC191</f>
        <v>179904351.43784758</v>
      </c>
      <c r="O33" s="99">
        <f>'[4]LF DATA PS '!AD191</f>
        <v>243564582.31537756</v>
      </c>
      <c r="P33" s="100">
        <f>SUM(D33:O33)</f>
        <v>2714896669.8675518</v>
      </c>
    </row>
    <row r="34" spans="2:16" x14ac:dyDescent="0.3">
      <c r="B34" s="53" t="s">
        <v>26</v>
      </c>
      <c r="C34" s="107" t="s">
        <v>11</v>
      </c>
      <c r="D34" s="99">
        <f>'[4]LF DATA PS '!S192</f>
        <v>94678835.423018157</v>
      </c>
      <c r="E34" s="99">
        <f>'[4]LF DATA PS '!T192</f>
        <v>89520395.050742969</v>
      </c>
      <c r="F34" s="99">
        <f>'[4]LF DATA PS '!U192</f>
        <v>88235665.688467786</v>
      </c>
      <c r="G34" s="99">
        <f>'[4]LF DATA PS '!V192</f>
        <v>77405522.666192561</v>
      </c>
      <c r="H34" s="99">
        <f>'[4]LF DATA PS '!W192</f>
        <v>79156506.193917379</v>
      </c>
      <c r="I34" s="99">
        <f>'[4]LF DATA PS '!X192</f>
        <v>86208483.451642185</v>
      </c>
      <c r="J34" s="99">
        <f>'[4]LF DATA PS '!Y192</f>
        <v>97600896.359366998</v>
      </c>
      <c r="K34" s="99">
        <f>'[4]LF DATA PS '!Z192</f>
        <v>93013519.147091791</v>
      </c>
      <c r="L34" s="99">
        <f>'[4]LF DATA PS '!AA192</f>
        <v>79322254.744816601</v>
      </c>
      <c r="M34" s="99">
        <f>'[4]LF DATA PS '!AB192</f>
        <v>73365696.402541399</v>
      </c>
      <c r="N34" s="99">
        <f>'[4]LF DATA PS '!AC192</f>
        <v>81511208.630266219</v>
      </c>
      <c r="O34" s="99">
        <f>'[4]LF DATA PS '!AD192</f>
        <v>98562810.217991039</v>
      </c>
      <c r="P34" s="100">
        <f t="shared" ref="P34:P39" si="6">SUM(D34:O34)</f>
        <v>1038581793.976055</v>
      </c>
    </row>
    <row r="35" spans="2:16" x14ac:dyDescent="0.3">
      <c r="B35" s="53" t="s">
        <v>27</v>
      </c>
      <c r="C35" s="107" t="s">
        <v>10</v>
      </c>
      <c r="D35" s="99">
        <f>'[4]LF DATA PS '!C$193</f>
        <v>1032741.7239720122</v>
      </c>
      <c r="E35" s="99">
        <f>'[4]LF DATA PS '!D$193</f>
        <v>984263.61940072151</v>
      </c>
      <c r="F35" s="99">
        <f>'[4]LF DATA PS '!E$193</f>
        <v>1013192.9016628152</v>
      </c>
      <c r="G35" s="99">
        <f>'[4]LF DATA PS '!F$193</f>
        <v>963825.85012842028</v>
      </c>
      <c r="H35" s="99">
        <f>'[4]LF DATA PS '!G$193</f>
        <v>995066.85117116186</v>
      </c>
      <c r="I35" s="99">
        <f>'[4]LF DATA PS '!H$193</f>
        <v>1069652.4577993623</v>
      </c>
      <c r="J35" s="99">
        <f>'[4]LF DATA PS '!I$193</f>
        <v>1111139.6746939165</v>
      </c>
      <c r="K35" s="99">
        <f>'[4]LF DATA PS '!J$193</f>
        <v>1082677.0121660703</v>
      </c>
      <c r="L35" s="99">
        <f>'[4]LF DATA PS '!K$193</f>
        <v>986640.37950314034</v>
      </c>
      <c r="M35" s="99">
        <f>'[4]LF DATA PS '!L$193</f>
        <v>981621.71929725539</v>
      </c>
      <c r="N35" s="99">
        <f>'[4]LF DATA PS '!M$193</f>
        <v>977482.9456808971</v>
      </c>
      <c r="O35" s="99">
        <f>'[4]LF DATA PS '!N$193</f>
        <v>1021761.5813319574</v>
      </c>
      <c r="P35" s="100">
        <f t="shared" si="6"/>
        <v>12220066.71680773</v>
      </c>
    </row>
    <row r="36" spans="2:16" x14ac:dyDescent="0.3">
      <c r="B36" s="53" t="s">
        <v>28</v>
      </c>
      <c r="C36" s="107" t="s">
        <v>10</v>
      </c>
      <c r="D36" s="99">
        <f>'[4]LF DATA PS '!C$195</f>
        <v>12946.131546197867</v>
      </c>
      <c r="E36" s="99">
        <f>'[4]LF DATA PS '!D$195</f>
        <v>11843.700434512777</v>
      </c>
      <c r="F36" s="99">
        <f>'[4]LF DATA PS '!E$195</f>
        <v>12555.631519807457</v>
      </c>
      <c r="G36" s="99">
        <f>'[4]LF DATA PS '!F$195</f>
        <v>12021.753883191306</v>
      </c>
      <c r="H36" s="99">
        <f>'[4]LF DATA PS '!G$195</f>
        <v>12598.536494604354</v>
      </c>
      <c r="I36" s="99">
        <f>'[4]LF DATA PS '!H$195</f>
        <v>12593.399970085015</v>
      </c>
      <c r="J36" s="99">
        <f>'[4]LF DATA PS '!I$195</f>
        <v>13044.611844299201</v>
      </c>
      <c r="K36" s="99">
        <f>'[4]LF DATA PS '!J$195</f>
        <v>12980.102521300847</v>
      </c>
      <c r="L36" s="99">
        <f>'[4]LF DATA PS '!K$195</f>
        <v>12292.325899578884</v>
      </c>
      <c r="M36" s="99">
        <f>'[4]LF DATA PS '!L$195</f>
        <v>12494.310318572871</v>
      </c>
      <c r="N36" s="99">
        <f>'[4]LF DATA PS '!M$195</f>
        <v>12525.112273899882</v>
      </c>
      <c r="O36" s="99">
        <f>'[4]LF DATA PS '!N$195</f>
        <v>12911.039284411045</v>
      </c>
      <c r="P36" s="100">
        <f t="shared" si="6"/>
        <v>150806.6559904615</v>
      </c>
    </row>
    <row r="37" spans="2:16" x14ac:dyDescent="0.3">
      <c r="B37" s="53" t="s">
        <v>29</v>
      </c>
      <c r="C37" s="107" t="s">
        <v>11</v>
      </c>
      <c r="D37" s="99">
        <f>'[4]LF DATA PS '!S$196</f>
        <v>1190724.044133232</v>
      </c>
      <c r="E37" s="99">
        <f>'[4]LF DATA PS '!T$196</f>
        <v>1064349.0922703699</v>
      </c>
      <c r="F37" s="99">
        <f>'[4]LF DATA PS '!U$196</f>
        <v>1254655.9925893045</v>
      </c>
      <c r="G37" s="99">
        <f>'[4]LF DATA PS '!V$196</f>
        <v>1123161.0698357355</v>
      </c>
      <c r="H37" s="99">
        <f>'[4]LF DATA PS '!W$196</f>
        <v>1209354.9220261863</v>
      </c>
      <c r="I37" s="99">
        <f>'[4]LF DATA PS '!X$196</f>
        <v>1197659.5701655031</v>
      </c>
      <c r="J37" s="99">
        <f>'[4]LF DATA PS '!Y$196</f>
        <v>1219141.3855901479</v>
      </c>
      <c r="K37" s="99">
        <f>'[4]LF DATA PS '!Z$196</f>
        <v>1192654.8764193545</v>
      </c>
      <c r="L37" s="99">
        <f>'[4]LF DATA PS '!AA$196</f>
        <v>1105920.4507972519</v>
      </c>
      <c r="M37" s="99">
        <f>'[4]LF DATA PS '!AB$196</f>
        <v>1313324.2923779096</v>
      </c>
      <c r="N37" s="99">
        <f>'[4]LF DATA PS '!AC$196</f>
        <v>1117172.5683696931</v>
      </c>
      <c r="O37" s="99">
        <f>'[4]LF DATA PS '!AD$196</f>
        <v>1181629.2699196236</v>
      </c>
      <c r="P37" s="100">
        <f t="shared" si="6"/>
        <v>14169747.534494311</v>
      </c>
    </row>
    <row r="38" spans="2:16" x14ac:dyDescent="0.3">
      <c r="B38" s="53" t="s">
        <v>30</v>
      </c>
      <c r="C38" s="107" t="s">
        <v>10</v>
      </c>
      <c r="D38" s="99">
        <f>'[4]LF DATA PS '!C$197</f>
        <v>85.939222910815445</v>
      </c>
      <c r="E38" s="99">
        <f>'[4]LF DATA PS '!D$197</f>
        <v>76.312477027089031</v>
      </c>
      <c r="F38" s="99">
        <f>'[4]LF DATA PS '!E$197</f>
        <v>88.100931521642494</v>
      </c>
      <c r="G38" s="99">
        <f>'[4]LF DATA PS '!F$197</f>
        <v>76.295370154986671</v>
      </c>
      <c r="H38" s="99">
        <f>'[4]LF DATA PS '!G$197</f>
        <v>84.641512469629106</v>
      </c>
      <c r="I38" s="99">
        <f>'[4]LF DATA PS '!H$197</f>
        <v>76.281604120813668</v>
      </c>
      <c r="J38" s="99">
        <f>'[4]LF DATA PS '!I$197</f>
        <v>82.625578493193032</v>
      </c>
      <c r="K38" s="99">
        <f>'[4]LF DATA PS '!J$197</f>
        <v>80.853704211336847</v>
      </c>
      <c r="L38" s="99">
        <f>'[4]LF DATA PS '!K$197</f>
        <v>76.265827511789652</v>
      </c>
      <c r="M38" s="99">
        <f>'[4]LF DATA PS '!L$197</f>
        <v>85.09308144200692</v>
      </c>
      <c r="N38" s="99">
        <f>'[4]LF DATA PS '!M$197</f>
        <v>81.702666830454959</v>
      </c>
      <c r="O38" s="99">
        <f>'[4]LF DATA PS '!N$197</f>
        <v>81.176502938728206</v>
      </c>
      <c r="P38" s="100">
        <f t="shared" si="6"/>
        <v>975.28847963248609</v>
      </c>
    </row>
    <row r="39" spans="2:16" x14ac:dyDescent="0.3">
      <c r="B39" s="53" t="s">
        <v>31</v>
      </c>
      <c r="C39" s="107" t="s">
        <v>10</v>
      </c>
      <c r="D39" s="99">
        <f>'[4]LF DATA PS '!C$198</f>
        <v>14758.035731606758</v>
      </c>
      <c r="E39" s="99">
        <f>'[4]LF DATA PS '!D$198</f>
        <v>12654.616688954469</v>
      </c>
      <c r="F39" s="99">
        <f>'[4]LF DATA PS '!E$198</f>
        <v>10129.487341644863</v>
      </c>
      <c r="G39" s="99">
        <f>'[4]LF DATA PS '!F$198</f>
        <v>12490.586253300253</v>
      </c>
      <c r="H39" s="99">
        <f>'[4]LF DATA PS '!G$198</f>
        <v>9482.645853098209</v>
      </c>
      <c r="I39" s="99">
        <f>'[4]LF DATA PS '!H$198</f>
        <v>6682.8987838477988</v>
      </c>
      <c r="J39" s="99">
        <f>'[4]LF DATA PS '!I$198</f>
        <v>6497.7427111437219</v>
      </c>
      <c r="K39" s="99">
        <f>'[4]LF DATA PS '!J$198</f>
        <v>9836.1646285661573</v>
      </c>
      <c r="L39" s="99">
        <f>'[4]LF DATA PS '!K$198</f>
        <v>10003.358130457951</v>
      </c>
      <c r="M39" s="99">
        <f>'[4]LF DATA PS '!L$198</f>
        <v>11289.636909633215</v>
      </c>
      <c r="N39" s="99">
        <f>'[4]LF DATA PS '!M$198</f>
        <v>13208.54005040112</v>
      </c>
      <c r="O39" s="99">
        <f>'[4]LF DATA PS '!N$198</f>
        <v>16236.361311059181</v>
      </c>
      <c r="P39" s="100">
        <f t="shared" si="6"/>
        <v>133270.0743937137</v>
      </c>
    </row>
    <row r="40" spans="2:16" s="3" customFormat="1" x14ac:dyDescent="0.3">
      <c r="B40" s="108" t="s">
        <v>41</v>
      </c>
      <c r="C40" s="109"/>
      <c r="D40" s="110">
        <f>SUM(D33:D34,D37)</f>
        <v>333064852.12969917</v>
      </c>
      <c r="E40" s="110">
        <f t="shared" ref="E40:P40" si="7">SUM(E33:E34,E37)</f>
        <v>322426277.68309104</v>
      </c>
      <c r="F40" s="110">
        <f t="shared" si="7"/>
        <v>303859686.09866476</v>
      </c>
      <c r="G40" s="110">
        <f t="shared" si="7"/>
        <v>261292839.03116596</v>
      </c>
      <c r="H40" s="110">
        <f t="shared" si="7"/>
        <v>272024527.28861117</v>
      </c>
      <c r="I40" s="110">
        <f t="shared" si="7"/>
        <v>338676830.07200539</v>
      </c>
      <c r="J40" s="110">
        <f t="shared" si="7"/>
        <v>414217565.67268479</v>
      </c>
      <c r="K40" s="110">
        <f t="shared" si="7"/>
        <v>378957422.82876879</v>
      </c>
      <c r="L40" s="110">
        <f t="shared" si="7"/>
        <v>285915474.87840146</v>
      </c>
      <c r="M40" s="110">
        <f t="shared" si="7"/>
        <v>251370981.25523689</v>
      </c>
      <c r="N40" s="110">
        <f t="shared" si="7"/>
        <v>262532732.63648349</v>
      </c>
      <c r="O40" s="110">
        <f t="shared" si="7"/>
        <v>343309021.80328822</v>
      </c>
      <c r="P40" s="110">
        <f t="shared" si="7"/>
        <v>3767648211.3781013</v>
      </c>
    </row>
    <row r="41" spans="2:16" s="3" customFormat="1" ht="17.25" thickBot="1" x14ac:dyDescent="0.35">
      <c r="B41" s="101" t="s">
        <v>42</v>
      </c>
      <c r="C41" s="111"/>
      <c r="D41" s="102">
        <f t="shared" ref="D41:P41" si="8">SUM(D35,D36,D38,D39)</f>
        <v>1060531.8304727275</v>
      </c>
      <c r="E41" s="102">
        <f t="shared" si="8"/>
        <v>1008838.2490012159</v>
      </c>
      <c r="F41" s="102">
        <f t="shared" si="8"/>
        <v>1035966.1214557892</v>
      </c>
      <c r="G41" s="102">
        <f t="shared" si="8"/>
        <v>988414.48563506687</v>
      </c>
      <c r="H41" s="102">
        <f t="shared" si="8"/>
        <v>1017232.675031334</v>
      </c>
      <c r="I41" s="102">
        <f t="shared" si="8"/>
        <v>1089005.0381574158</v>
      </c>
      <c r="J41" s="102">
        <f t="shared" si="8"/>
        <v>1130764.6548278525</v>
      </c>
      <c r="K41" s="102">
        <f t="shared" si="8"/>
        <v>1105574.1330201486</v>
      </c>
      <c r="L41" s="102">
        <f t="shared" si="8"/>
        <v>1009012.3293606889</v>
      </c>
      <c r="M41" s="102">
        <f t="shared" si="8"/>
        <v>1005490.7596069035</v>
      </c>
      <c r="N41" s="102">
        <f t="shared" si="8"/>
        <v>1003298.3006720286</v>
      </c>
      <c r="O41" s="102">
        <f t="shared" si="8"/>
        <v>1050990.1584303663</v>
      </c>
      <c r="P41" s="102">
        <f t="shared" si="8"/>
        <v>12505118.735671537</v>
      </c>
    </row>
    <row r="44" spans="2:16" x14ac:dyDescent="0.3">
      <c r="D44" s="116"/>
      <c r="E44" s="116"/>
      <c r="F44" s="116"/>
      <c r="G44" s="116"/>
      <c r="H44" s="116"/>
      <c r="I44" s="116"/>
      <c r="J44" s="116"/>
    </row>
  </sheetData>
  <mergeCells count="3">
    <mergeCell ref="D7:O7"/>
    <mergeCell ref="D19:O19"/>
    <mergeCell ref="D31:O31"/>
  </mergeCells>
  <pageMargins left="0.7" right="0.7" top="0.75" bottom="0.75" header="0.3" footer="0.3"/>
  <pageSetup scale="44" orientation="landscape" r:id="rId1"/>
  <headerFooter>
    <oddFooter>&amp;C&amp;9&amp;A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F9" sqref="F9"/>
    </sheetView>
  </sheetViews>
  <sheetFormatPr defaultRowHeight="16.5" outlineLevelCol="1" x14ac:dyDescent="0.3"/>
  <cols>
    <col min="1" max="1" width="30.140625" style="3" bestFit="1" customWidth="1"/>
    <col min="2" max="2" width="25.42578125" style="1" customWidth="1"/>
    <col min="3" max="7" width="9.140625" style="1"/>
    <col min="8" max="10" width="9.140625" style="1" hidden="1" customWidth="1" outlineLevel="1"/>
    <col min="11" max="11" width="9.140625" style="1" collapsed="1"/>
    <col min="12" max="16384" width="9.140625" style="1"/>
  </cols>
  <sheetData>
    <row r="1" spans="1:10" ht="17.25" thickBot="1" x14ac:dyDescent="0.35">
      <c r="H1" s="1" t="s">
        <v>58</v>
      </c>
    </row>
    <row r="2" spans="1:10" ht="17.25" thickBot="1" x14ac:dyDescent="0.35">
      <c r="A2" s="3" t="s">
        <v>57</v>
      </c>
      <c r="B2" s="2">
        <v>2016</v>
      </c>
      <c r="H2" s="1" t="s">
        <v>60</v>
      </c>
      <c r="I2" s="1">
        <v>1</v>
      </c>
    </row>
    <row r="3" spans="1:10" ht="17.25" thickBot="1" x14ac:dyDescent="0.35">
      <c r="H3" s="1" t="s">
        <v>61</v>
      </c>
      <c r="I3" s="1">
        <v>2</v>
      </c>
    </row>
    <row r="4" spans="1:10" ht="17.25" thickBot="1" x14ac:dyDescent="0.35">
      <c r="A4" s="3" t="s">
        <v>59</v>
      </c>
      <c r="B4" s="7" t="s">
        <v>60</v>
      </c>
      <c r="H4" s="1" t="s">
        <v>62</v>
      </c>
      <c r="I4" s="1">
        <v>3</v>
      </c>
      <c r="J4" s="5">
        <f>SUMIF($H$2:$H$13,B4,$I$2:$I$13)</f>
        <v>1</v>
      </c>
    </row>
    <row r="5" spans="1:10" ht="17.25" thickBot="1" x14ac:dyDescent="0.35">
      <c r="B5" s="8"/>
      <c r="H5" s="1" t="s">
        <v>63</v>
      </c>
      <c r="I5" s="1">
        <v>4</v>
      </c>
      <c r="J5" s="5"/>
    </row>
    <row r="6" spans="1:10" ht="17.25" thickBot="1" x14ac:dyDescent="0.35">
      <c r="A6" s="3" t="s">
        <v>93</v>
      </c>
      <c r="B6" s="7" t="s">
        <v>67</v>
      </c>
      <c r="H6" s="1" t="s">
        <v>17</v>
      </c>
      <c r="I6" s="1">
        <v>5</v>
      </c>
      <c r="J6" s="5">
        <f>SUMIF($H$2:$H$13,B6,$I$2:$I$13)</f>
        <v>9</v>
      </c>
    </row>
    <row r="7" spans="1:10" ht="17.25" thickBot="1" x14ac:dyDescent="0.35">
      <c r="H7" s="1" t="s">
        <v>64</v>
      </c>
      <c r="I7" s="1">
        <v>6</v>
      </c>
    </row>
    <row r="8" spans="1:10" ht="17.25" thickBot="1" x14ac:dyDescent="0.35">
      <c r="A8" s="3" t="s">
        <v>48</v>
      </c>
      <c r="B8" s="113">
        <v>3</v>
      </c>
      <c r="H8" s="1" t="s">
        <v>65</v>
      </c>
      <c r="I8" s="1">
        <v>7</v>
      </c>
    </row>
    <row r="9" spans="1:10" x14ac:dyDescent="0.3">
      <c r="H9" s="1" t="s">
        <v>66</v>
      </c>
      <c r="I9" s="1">
        <v>8</v>
      </c>
    </row>
    <row r="10" spans="1:10" x14ac:dyDescent="0.3">
      <c r="A10" s="3" t="s">
        <v>71</v>
      </c>
      <c r="B10" s="4" t="str">
        <f>IF(B4="","",CONCATENATE(B4," - ",B6," ",B2))</f>
        <v>January - September 2016</v>
      </c>
      <c r="H10" s="1" t="s">
        <v>67</v>
      </c>
      <c r="I10" s="1">
        <v>9</v>
      </c>
    </row>
    <row r="11" spans="1:10" x14ac:dyDescent="0.3">
      <c r="H11" s="1" t="s">
        <v>68</v>
      </c>
      <c r="I11" s="1">
        <v>10</v>
      </c>
    </row>
    <row r="12" spans="1:10" x14ac:dyDescent="0.3">
      <c r="H12" s="1" t="s">
        <v>69</v>
      </c>
      <c r="I12" s="1">
        <v>11</v>
      </c>
    </row>
    <row r="13" spans="1:10" x14ac:dyDescent="0.3">
      <c r="H13" s="1" t="s">
        <v>70</v>
      </c>
      <c r="I13" s="1">
        <v>12</v>
      </c>
    </row>
    <row r="15" spans="1:10" x14ac:dyDescent="0.3">
      <c r="B15" s="6"/>
    </row>
  </sheetData>
  <dataValidations count="1">
    <dataValidation type="list" allowBlank="1" showInputMessage="1" showErrorMessage="1" sqref="B6 B4">
      <formula1>$H$2:$H$13</formula1>
    </dataValidation>
  </dataValidation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SUMMARY RRs</vt:lpstr>
      <vt:lpstr>1. FRRR_Res Fixed Only</vt:lpstr>
      <vt:lpstr>2. Rates</vt:lpstr>
      <vt:lpstr>3. Billing Determinants</vt:lpstr>
      <vt:lpstr>4. Customer Count Details</vt:lpstr>
      <vt:lpstr>5 Consumption Demand Details</vt:lpstr>
      <vt:lpstr>Assumptions</vt:lpstr>
      <vt:lpstr>'1. FRRR_Res Fixed Only'!Print_Area</vt:lpstr>
      <vt:lpstr>'2. Rates'!Print_Area</vt:lpstr>
      <vt:lpstr>'3. Billing Determinants'!Print_Area</vt:lpstr>
      <vt:lpstr>'4. Customer Count Details'!Print_Area</vt:lpstr>
      <vt:lpstr>'5 Consumption Demand Details'!Print_Area</vt:lpstr>
      <vt:lpstr>'SUMMARY RRs'!Print_Area</vt:lpstr>
    </vt:vector>
  </TitlesOfParts>
  <Company>PowerStream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Barrett</dc:creator>
  <cp:lastModifiedBy>Vitalika Quenville</cp:lastModifiedBy>
  <cp:lastPrinted>2016-07-21T18:26:18Z</cp:lastPrinted>
  <dcterms:created xsi:type="dcterms:W3CDTF">2012-12-14T15:25:24Z</dcterms:created>
  <dcterms:modified xsi:type="dcterms:W3CDTF">2016-08-15T15:26:26Z</dcterms:modified>
</cp:coreProperties>
</file>